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alimi\Downloads\8202024\BACM Spreadsheets Umbraco Ready\"/>
    </mc:Choice>
  </mc:AlternateContent>
  <xr:revisionPtr revIDLastSave="0" documentId="13_ncr:1_{BD6CDC00-65A6-4D17-889E-570A93A6E3CB}" xr6:coauthVersionLast="47" xr6:coauthVersionMax="47" xr10:uidLastSave="{00000000-0000-0000-0000-000000000000}"/>
  <bookViews>
    <workbookView xWindow="-120" yWindow="-120" windowWidth="29040" windowHeight="15840" tabRatio="862" xr2:uid="{00000000-000D-0000-FFFF-FFFF00000000}"/>
  </bookViews>
  <sheets>
    <sheet name="BACM Summary" sheetId="68" r:id="rId1"/>
    <sheet name="CostData" sheetId="57" r:id="rId2"/>
    <sheet name="ULSRev1" sheetId="88" r:id="rId3"/>
    <sheet name="ULSRev2" sheetId="115" r:id="rId4"/>
    <sheet name="ULSRev3" sheetId="116" r:id="rId5"/>
    <sheet name="ULSRev4" sheetId="113" r:id="rId6"/>
    <sheet name="ULSRev5a" sheetId="118" r:id="rId7"/>
    <sheet name="ULSRev5b" sheetId="117" r:id="rId8"/>
    <sheet name="ULSRev6" sheetId="119" r:id="rId9"/>
    <sheet name="ULSRev7L" sheetId="120" r:id="rId10"/>
    <sheet name="ULSRev7H" sheetId="121" r:id="rId11"/>
    <sheet name="ULSRev8LA" sheetId="122" r:id="rId12"/>
    <sheet name="ULSRev8HA" sheetId="123" r:id="rId13"/>
    <sheet name="ULSRev8LR" sheetId="124" r:id="rId14"/>
    <sheet name="ULSRev8HR" sheetId="125" r:id="rId15"/>
    <sheet name="Lookup" sheetId="34" r:id="rId16"/>
    <sheet name="EIAProjections" sheetId="89" r:id="rId17"/>
    <sheet name="EFs-BTU" sheetId="14" r:id="rId18"/>
    <sheet name="Moisture" sheetId="35" r:id="rId19"/>
    <sheet name="ULSEFs" sheetId="43" r:id="rId20"/>
    <sheet name="BuildSizeG3C" sheetId="90" r:id="rId21"/>
    <sheet name="DevSumOut-2019BSR" sheetId="91" r:id="rId22"/>
    <sheet name="DevSumOut-2020BSR" sheetId="92" r:id="rId23"/>
    <sheet name="DevSumOut-2021BSR" sheetId="93" r:id="rId24"/>
    <sheet name="DevSumOut-2022BSR" sheetId="94" r:id="rId25"/>
    <sheet name="DevSumOut-2023BSR" sheetId="95" r:id="rId26"/>
    <sheet name="DevSumOut-2024BSR" sheetId="96" r:id="rId27"/>
    <sheet name="DevSumOut-2025BSR" sheetId="97" r:id="rId28"/>
    <sheet name="DevSumOut-2026BSR" sheetId="98" r:id="rId29"/>
    <sheet name="DevSumOut-2027BSR" sheetId="99" r:id="rId30"/>
    <sheet name="DevSumOut-2028BSR" sheetId="100" r:id="rId31"/>
    <sheet name="DevSumOut-2029BSR" sheetId="101" r:id="rId32"/>
  </sheets>
  <externalReferences>
    <externalReference r:id="rId33"/>
    <externalReference r:id="rId34"/>
  </externalReferences>
  <definedNames>
    <definedName name="_xlnm._FilterDatabase" localSheetId="21" hidden="1">'DevSumOut-2019BSR'!$A$1:$W$26</definedName>
    <definedName name="_xlnm._FilterDatabase" localSheetId="22" hidden="1">'DevSumOut-2020BSR'!$A$1:$W$26</definedName>
    <definedName name="_xlnm._FilterDatabase" localSheetId="23" hidden="1">'DevSumOut-2021BSR'!$A$1:$W$26</definedName>
    <definedName name="_xlnm._FilterDatabase" localSheetId="24" hidden="1">'DevSumOut-2022BSR'!$A$1:$W$26</definedName>
    <definedName name="_xlnm._FilterDatabase" localSheetId="25" hidden="1">'DevSumOut-2023BSR'!$A$1:$W$26</definedName>
    <definedName name="_xlnm._FilterDatabase" localSheetId="26" hidden="1">'DevSumOut-2024BSR'!$A$1:$W$26</definedName>
    <definedName name="_xlnm._FilterDatabase" localSheetId="27" hidden="1">'DevSumOut-2025BSR'!$A$1:$W$26</definedName>
    <definedName name="_xlnm._FilterDatabase" localSheetId="28" hidden="1">'DevSumOut-2026BSR'!$A$1:$W$26</definedName>
    <definedName name="_xlnm._FilterDatabase" localSheetId="29" hidden="1">'DevSumOut-2027BSR'!$A$1:$W$26</definedName>
    <definedName name="_xlnm._FilterDatabase" localSheetId="30" hidden="1">'DevSumOut-2028BSR'!$A$1:$W$26</definedName>
    <definedName name="_xlnm._FilterDatabase" localSheetId="31" hidden="1">'DevSumOut-2029BSR'!$A$1:$W$26</definedName>
    <definedName name="content" localSheetId="1">CostData!$A$547</definedName>
    <definedName name="ConvLoss">Moisture!$T$13</definedName>
    <definedName name="CRR">CostData!$E$37</definedName>
    <definedName name="CRRCite">CostData!$F$37</definedName>
    <definedName name="DevTechFracs">[1]HHSurvey!$N$48:$Q$63</definedName>
    <definedName name="Ep2Ann">CostData!$S$36</definedName>
    <definedName name="Ep2Wtr">CostData!$S$38</definedName>
    <definedName name="ExAir">Moisture!$T$12</definedName>
    <definedName name="HHVOD">Moisture!$M$22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1">CostData!$A$1:$T$74</definedName>
    <definedName name="Ts">Moisture!$T$11</definedName>
    <definedName name="Tw">Moisture!$T$10</definedName>
    <definedName name="WinterDays">CostData!$E$36</definedName>
    <definedName name="Wtr2Ann">CostData!$S$37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" i="89" l="1"/>
  <c r="D127" i="125"/>
  <c r="D126" i="125" s="1"/>
  <c r="D127" i="124"/>
  <c r="D126" i="124"/>
  <c r="B235" i="125"/>
  <c r="B236" i="125" s="1"/>
  <c r="D231" i="125"/>
  <c r="D230" i="125"/>
  <c r="C220" i="125"/>
  <c r="N210" i="125"/>
  <c r="S209" i="125"/>
  <c r="T209" i="125" s="1"/>
  <c r="R209" i="125"/>
  <c r="O209" i="125"/>
  <c r="S208" i="125"/>
  <c r="T208" i="125" s="1"/>
  <c r="R208" i="125"/>
  <c r="O208" i="125"/>
  <c r="N192" i="125"/>
  <c r="B192" i="125"/>
  <c r="B210" i="125" s="1"/>
  <c r="S191" i="125"/>
  <c r="R191" i="125"/>
  <c r="T191" i="125" s="1"/>
  <c r="O191" i="125"/>
  <c r="N191" i="125"/>
  <c r="B191" i="125"/>
  <c r="B209" i="125" s="1"/>
  <c r="S190" i="125"/>
  <c r="R190" i="125"/>
  <c r="T190" i="125" s="1"/>
  <c r="O190" i="125"/>
  <c r="B190" i="125"/>
  <c r="B208" i="125" s="1"/>
  <c r="A174" i="125"/>
  <c r="A173" i="125"/>
  <c r="A172" i="125"/>
  <c r="A171" i="125"/>
  <c r="A170" i="125"/>
  <c r="A169" i="125"/>
  <c r="A168" i="125"/>
  <c r="B156" i="125"/>
  <c r="G148" i="125"/>
  <c r="B140" i="125"/>
  <c r="D138" i="125"/>
  <c r="F138" i="125" s="1"/>
  <c r="E129" i="125"/>
  <c r="G126" i="125"/>
  <c r="N190" i="125" s="1"/>
  <c r="E125" i="125"/>
  <c r="D120" i="125"/>
  <c r="D121" i="125" s="1"/>
  <c r="D119" i="125"/>
  <c r="B100" i="125"/>
  <c r="D91" i="125"/>
  <c r="D90" i="125"/>
  <c r="D89" i="125"/>
  <c r="B85" i="125"/>
  <c r="B68" i="125"/>
  <c r="K61" i="125"/>
  <c r="L61" i="125" s="1"/>
  <c r="L62" i="125" s="1"/>
  <c r="C61" i="125"/>
  <c r="E61" i="125" s="1"/>
  <c r="L60" i="125"/>
  <c r="K60" i="125"/>
  <c r="L55" i="125"/>
  <c r="J55" i="125"/>
  <c r="E55" i="125"/>
  <c r="C55" i="125"/>
  <c r="B22" i="125"/>
  <c r="D19" i="125"/>
  <c r="D18" i="125"/>
  <c r="H17" i="125"/>
  <c r="B5" i="125"/>
  <c r="B235" i="124"/>
  <c r="B236" i="124" s="1"/>
  <c r="D231" i="124"/>
  <c r="D230" i="124"/>
  <c r="C220" i="124"/>
  <c r="N210" i="124"/>
  <c r="S209" i="124"/>
  <c r="T209" i="124" s="1"/>
  <c r="R209" i="124"/>
  <c r="O209" i="124"/>
  <c r="S208" i="124"/>
  <c r="T208" i="124" s="1"/>
  <c r="R208" i="124"/>
  <c r="O208" i="124"/>
  <c r="N192" i="124"/>
  <c r="B192" i="124"/>
  <c r="B210" i="124" s="1"/>
  <c r="S191" i="124"/>
  <c r="T191" i="124" s="1"/>
  <c r="R191" i="124"/>
  <c r="O191" i="124"/>
  <c r="B191" i="124"/>
  <c r="B209" i="124" s="1"/>
  <c r="S190" i="124"/>
  <c r="T190" i="124" s="1"/>
  <c r="R190" i="124"/>
  <c r="O190" i="124"/>
  <c r="B190" i="124"/>
  <c r="B208" i="124" s="1"/>
  <c r="A174" i="124"/>
  <c r="A173" i="124"/>
  <c r="A172" i="124"/>
  <c r="A171" i="124"/>
  <c r="A170" i="124"/>
  <c r="A169" i="124"/>
  <c r="A168" i="124"/>
  <c r="B156" i="124"/>
  <c r="G148" i="124"/>
  <c r="B140" i="124"/>
  <c r="D138" i="124"/>
  <c r="D119" i="124" s="1"/>
  <c r="E129" i="124"/>
  <c r="G126" i="124"/>
  <c r="N191" i="124" s="1"/>
  <c r="E125" i="124"/>
  <c r="B100" i="124"/>
  <c r="D91" i="124"/>
  <c r="D90" i="124"/>
  <c r="D89" i="124"/>
  <c r="B85" i="124"/>
  <c r="B68" i="124"/>
  <c r="K60" i="124"/>
  <c r="L60" i="124" s="1"/>
  <c r="L55" i="124"/>
  <c r="J55" i="124"/>
  <c r="E55" i="124"/>
  <c r="C55" i="124"/>
  <c r="B22" i="124"/>
  <c r="D19" i="124"/>
  <c r="D18" i="124"/>
  <c r="D120" i="124" s="1"/>
  <c r="D121" i="124" s="1"/>
  <c r="H17" i="124"/>
  <c r="B5" i="124"/>
  <c r="C61" i="124" s="1"/>
  <c r="E61" i="124" s="1"/>
  <c r="K61" i="122"/>
  <c r="L61" i="122" s="1"/>
  <c r="L62" i="122" s="1"/>
  <c r="K60" i="122"/>
  <c r="L60" i="122" s="1"/>
  <c r="L55" i="122"/>
  <c r="J55" i="122"/>
  <c r="K61" i="123"/>
  <c r="L61" i="123" s="1"/>
  <c r="K60" i="123"/>
  <c r="L60" i="123" s="1"/>
  <c r="L55" i="123"/>
  <c r="J55" i="123"/>
  <c r="D120" i="123"/>
  <c r="D120" i="122"/>
  <c r="G126" i="123"/>
  <c r="B235" i="123"/>
  <c r="B236" i="123" s="1"/>
  <c r="D231" i="123"/>
  <c r="D230" i="123"/>
  <c r="C220" i="123"/>
  <c r="N210" i="123"/>
  <c r="S209" i="123"/>
  <c r="T209" i="123" s="1"/>
  <c r="R209" i="123"/>
  <c r="O209" i="123"/>
  <c r="S208" i="123"/>
  <c r="T208" i="123" s="1"/>
  <c r="R208" i="123"/>
  <c r="O208" i="123"/>
  <c r="N192" i="123"/>
  <c r="B192" i="123"/>
  <c r="B210" i="123" s="1"/>
  <c r="T191" i="123"/>
  <c r="S191" i="123"/>
  <c r="R191" i="123"/>
  <c r="O191" i="123"/>
  <c r="N191" i="123"/>
  <c r="B191" i="123"/>
  <c r="B209" i="123" s="1"/>
  <c r="S190" i="123"/>
  <c r="R190" i="123"/>
  <c r="T190" i="123" s="1"/>
  <c r="O190" i="123"/>
  <c r="B190" i="123"/>
  <c r="B208" i="123" s="1"/>
  <c r="A174" i="123"/>
  <c r="A173" i="123"/>
  <c r="A172" i="123"/>
  <c r="A171" i="123"/>
  <c r="A170" i="123"/>
  <c r="A169" i="123"/>
  <c r="A168" i="123"/>
  <c r="B156" i="123"/>
  <c r="B140" i="123"/>
  <c r="D138" i="123"/>
  <c r="F138" i="123" s="1"/>
  <c r="E129" i="123"/>
  <c r="D127" i="123"/>
  <c r="D130" i="123" s="1"/>
  <c r="N190" i="123"/>
  <c r="N208" i="123" s="1"/>
  <c r="N209" i="123" s="1"/>
  <c r="D126" i="123"/>
  <c r="E125" i="123"/>
  <c r="D121" i="123"/>
  <c r="D119" i="123"/>
  <c r="B100" i="123"/>
  <c r="D91" i="123"/>
  <c r="D90" i="123"/>
  <c r="D89" i="123"/>
  <c r="B85" i="123"/>
  <c r="B68" i="123"/>
  <c r="C61" i="123"/>
  <c r="C60" i="123"/>
  <c r="E60" i="123" s="1"/>
  <c r="E55" i="123"/>
  <c r="E61" i="123" s="1"/>
  <c r="E62" i="123" s="1"/>
  <c r="C55" i="123"/>
  <c r="B22" i="123"/>
  <c r="D19" i="123"/>
  <c r="D18" i="123"/>
  <c r="H17" i="123"/>
  <c r="B5" i="123"/>
  <c r="R191" i="122"/>
  <c r="R190" i="122"/>
  <c r="G126" i="122"/>
  <c r="N190" i="122" s="1"/>
  <c r="N208" i="122" s="1"/>
  <c r="N209" i="122" s="1"/>
  <c r="D126" i="122"/>
  <c r="B235" i="122"/>
  <c r="B236" i="122" s="1"/>
  <c r="D231" i="122"/>
  <c r="D230" i="122"/>
  <c r="C220" i="122"/>
  <c r="N210" i="122"/>
  <c r="S209" i="122"/>
  <c r="T209" i="122" s="1"/>
  <c r="R209" i="122"/>
  <c r="O209" i="122"/>
  <c r="S208" i="122"/>
  <c r="T208" i="122" s="1"/>
  <c r="R208" i="122"/>
  <c r="O208" i="122"/>
  <c r="N192" i="122"/>
  <c r="B192" i="122"/>
  <c r="B210" i="122" s="1"/>
  <c r="S191" i="122"/>
  <c r="T191" i="122"/>
  <c r="O191" i="122"/>
  <c r="N191" i="122"/>
  <c r="B191" i="122"/>
  <c r="B209" i="122" s="1"/>
  <c r="S190" i="122"/>
  <c r="T190" i="122"/>
  <c r="O190" i="122"/>
  <c r="B190" i="122"/>
  <c r="B208" i="122" s="1"/>
  <c r="A174" i="122"/>
  <c r="A173" i="122"/>
  <c r="A172" i="122"/>
  <c r="A171" i="122"/>
  <c r="A170" i="122"/>
  <c r="A169" i="122"/>
  <c r="A168" i="122"/>
  <c r="B156" i="122"/>
  <c r="B140" i="122"/>
  <c r="D138" i="122"/>
  <c r="F138" i="122" s="1"/>
  <c r="E129" i="122"/>
  <c r="E125" i="122"/>
  <c r="D121" i="122"/>
  <c r="D119" i="122"/>
  <c r="B100" i="122"/>
  <c r="D91" i="122"/>
  <c r="D90" i="122"/>
  <c r="D89" i="122"/>
  <c r="B85" i="122"/>
  <c r="B68" i="122"/>
  <c r="C61" i="122"/>
  <c r="C60" i="122"/>
  <c r="E60" i="122" s="1"/>
  <c r="E55" i="122"/>
  <c r="E61" i="122" s="1"/>
  <c r="C55" i="122"/>
  <c r="B22" i="122"/>
  <c r="D19" i="122"/>
  <c r="D18" i="122"/>
  <c r="H17" i="122"/>
  <c r="B5" i="122"/>
  <c r="N190" i="120"/>
  <c r="D126" i="121"/>
  <c r="D126" i="120"/>
  <c r="D127" i="121"/>
  <c r="D127" i="120"/>
  <c r="B235" i="121"/>
  <c r="B236" i="121" s="1"/>
  <c r="D231" i="121"/>
  <c r="D230" i="121"/>
  <c r="C220" i="121"/>
  <c r="N210" i="121"/>
  <c r="S209" i="121"/>
  <c r="T209" i="121" s="1"/>
  <c r="R209" i="121"/>
  <c r="O209" i="121"/>
  <c r="S208" i="121"/>
  <c r="T208" i="121" s="1"/>
  <c r="R208" i="121"/>
  <c r="O208" i="121"/>
  <c r="N192" i="121"/>
  <c r="B192" i="121"/>
  <c r="B210" i="121" s="1"/>
  <c r="T191" i="121"/>
  <c r="S191" i="121"/>
  <c r="R191" i="121"/>
  <c r="O191" i="121"/>
  <c r="N191" i="121"/>
  <c r="B191" i="121"/>
  <c r="B209" i="121" s="1"/>
  <c r="S190" i="121"/>
  <c r="R190" i="121"/>
  <c r="T190" i="121" s="1"/>
  <c r="O190" i="121"/>
  <c r="B190" i="121"/>
  <c r="B208" i="121" s="1"/>
  <c r="A174" i="121"/>
  <c r="A173" i="121"/>
  <c r="A172" i="121"/>
  <c r="A171" i="121"/>
  <c r="A170" i="121"/>
  <c r="A169" i="121"/>
  <c r="A168" i="121"/>
  <c r="B156" i="121"/>
  <c r="B140" i="121"/>
  <c r="D138" i="121"/>
  <c r="F138" i="121" s="1"/>
  <c r="E129" i="121"/>
  <c r="D130" i="121"/>
  <c r="I126" i="121"/>
  <c r="G126" i="121"/>
  <c r="N190" i="121" s="1"/>
  <c r="N208" i="121" s="1"/>
  <c r="N209" i="121" s="1"/>
  <c r="E125" i="121"/>
  <c r="D121" i="121"/>
  <c r="D120" i="121"/>
  <c r="D119" i="121"/>
  <c r="B100" i="121"/>
  <c r="D91" i="121"/>
  <c r="D90" i="121"/>
  <c r="D89" i="121"/>
  <c r="B85" i="121"/>
  <c r="B68" i="121"/>
  <c r="C61" i="121"/>
  <c r="E61" i="121" s="1"/>
  <c r="C60" i="121"/>
  <c r="E60" i="121" s="1"/>
  <c r="E55" i="121"/>
  <c r="C55" i="121"/>
  <c r="B22" i="121"/>
  <c r="D19" i="121"/>
  <c r="D18" i="121"/>
  <c r="H17" i="121"/>
  <c r="B5" i="121"/>
  <c r="B235" i="120"/>
  <c r="B236" i="120" s="1"/>
  <c r="D231" i="120"/>
  <c r="D230" i="120"/>
  <c r="C220" i="120"/>
  <c r="N210" i="120"/>
  <c r="S209" i="120"/>
  <c r="T209" i="120" s="1"/>
  <c r="R209" i="120"/>
  <c r="O209" i="120"/>
  <c r="S208" i="120"/>
  <c r="T208" i="120" s="1"/>
  <c r="R208" i="120"/>
  <c r="O208" i="120"/>
  <c r="N192" i="120"/>
  <c r="B192" i="120"/>
  <c r="B210" i="120" s="1"/>
  <c r="T191" i="120"/>
  <c r="S191" i="120"/>
  <c r="R191" i="120"/>
  <c r="O191" i="120"/>
  <c r="B191" i="120"/>
  <c r="B209" i="120" s="1"/>
  <c r="S190" i="120"/>
  <c r="T190" i="120" s="1"/>
  <c r="R190" i="120"/>
  <c r="O190" i="120"/>
  <c r="N208" i="120"/>
  <c r="N209" i="120" s="1"/>
  <c r="B190" i="120"/>
  <c r="B208" i="120" s="1"/>
  <c r="A174" i="120"/>
  <c r="A173" i="120"/>
  <c r="A172" i="120"/>
  <c r="A171" i="120"/>
  <c r="A170" i="120"/>
  <c r="A169" i="120"/>
  <c r="A168" i="120"/>
  <c r="B156" i="120"/>
  <c r="B140" i="120"/>
  <c r="F138" i="120"/>
  <c r="D138" i="120"/>
  <c r="E129" i="120"/>
  <c r="D130" i="120"/>
  <c r="G126" i="120"/>
  <c r="E125" i="120"/>
  <c r="D120" i="120"/>
  <c r="D121" i="120" s="1"/>
  <c r="D119" i="120"/>
  <c r="B100" i="120"/>
  <c r="D91" i="120"/>
  <c r="D90" i="120"/>
  <c r="D89" i="120"/>
  <c r="B85" i="120"/>
  <c r="B68" i="120"/>
  <c r="C61" i="120"/>
  <c r="E61" i="120" s="1"/>
  <c r="E62" i="120" s="1"/>
  <c r="E60" i="120"/>
  <c r="C60" i="120"/>
  <c r="E55" i="120"/>
  <c r="C55" i="120"/>
  <c r="B22" i="120"/>
  <c r="D19" i="120"/>
  <c r="D18" i="120"/>
  <c r="H17" i="120"/>
  <c r="B5" i="120"/>
  <c r="R209" i="119"/>
  <c r="R208" i="119"/>
  <c r="N191" i="119"/>
  <c r="N190" i="119"/>
  <c r="I126" i="119"/>
  <c r="G126" i="119"/>
  <c r="B235" i="119"/>
  <c r="B236" i="119" s="1"/>
  <c r="D231" i="119"/>
  <c r="D230" i="119"/>
  <c r="C220" i="119"/>
  <c r="N210" i="119"/>
  <c r="S209" i="119"/>
  <c r="T209" i="119" s="1"/>
  <c r="O209" i="119"/>
  <c r="T208" i="119"/>
  <c r="S208" i="119"/>
  <c r="O208" i="119"/>
  <c r="N208" i="119"/>
  <c r="N209" i="119" s="1"/>
  <c r="N192" i="119"/>
  <c r="B192" i="119"/>
  <c r="B210" i="119" s="1"/>
  <c r="S191" i="119"/>
  <c r="T191" i="119" s="1"/>
  <c r="R191" i="119"/>
  <c r="O191" i="119"/>
  <c r="B191" i="119"/>
  <c r="B209" i="119" s="1"/>
  <c r="S190" i="119"/>
  <c r="T190" i="119" s="1"/>
  <c r="R190" i="119"/>
  <c r="O190" i="119"/>
  <c r="B190" i="119"/>
  <c r="B208" i="119" s="1"/>
  <c r="A174" i="119"/>
  <c r="A173" i="119"/>
  <c r="A172" i="119"/>
  <c r="A171" i="119"/>
  <c r="A170" i="119"/>
  <c r="A169" i="119"/>
  <c r="A168" i="119"/>
  <c r="B156" i="119"/>
  <c r="B140" i="119"/>
  <c r="D138" i="119"/>
  <c r="F138" i="119" s="1"/>
  <c r="E129" i="119"/>
  <c r="D127" i="119"/>
  <c r="E125" i="119"/>
  <c r="D120" i="119"/>
  <c r="D121" i="119" s="1"/>
  <c r="B100" i="119"/>
  <c r="D91" i="119"/>
  <c r="D90" i="119"/>
  <c r="D89" i="119"/>
  <c r="B85" i="119"/>
  <c r="B68" i="119"/>
  <c r="E55" i="119"/>
  <c r="C55" i="119"/>
  <c r="B22" i="119"/>
  <c r="D19" i="119"/>
  <c r="D18" i="119"/>
  <c r="C60" i="119" s="1"/>
  <c r="E60" i="119" s="1"/>
  <c r="H17" i="119"/>
  <c r="B5" i="119"/>
  <c r="C61" i="119" s="1"/>
  <c r="E61" i="119" s="1"/>
  <c r="E62" i="119" s="1"/>
  <c r="O76" i="57"/>
  <c r="O77" i="57"/>
  <c r="O78" i="57"/>
  <c r="N66" i="57"/>
  <c r="R54" i="34"/>
  <c r="S54" i="34" s="1"/>
  <c r="S53" i="34"/>
  <c r="S52" i="34"/>
  <c r="S51" i="34"/>
  <c r="S50" i="34"/>
  <c r="S49" i="34"/>
  <c r="S48" i="34"/>
  <c r="S47" i="34"/>
  <c r="S46" i="34"/>
  <c r="S45" i="34"/>
  <c r="S44" i="34"/>
  <c r="S43" i="34"/>
  <c r="S42" i="34"/>
  <c r="S41" i="34"/>
  <c r="S40" i="34"/>
  <c r="S39" i="34"/>
  <c r="S38" i="34"/>
  <c r="S37" i="34"/>
  <c r="S36" i="34"/>
  <c r="S35" i="34"/>
  <c r="S34" i="34"/>
  <c r="S33" i="34"/>
  <c r="S32" i="34"/>
  <c r="J38" i="89"/>
  <c r="I38" i="89"/>
  <c r="H38" i="89"/>
  <c r="G38" i="89"/>
  <c r="F38" i="89"/>
  <c r="E38" i="89"/>
  <c r="J37" i="89"/>
  <c r="I37" i="89"/>
  <c r="H37" i="89"/>
  <c r="G37" i="89"/>
  <c r="F37" i="89"/>
  <c r="E37" i="89"/>
  <c r="J36" i="89"/>
  <c r="I36" i="89"/>
  <c r="H36" i="89"/>
  <c r="G36" i="89"/>
  <c r="F36" i="89"/>
  <c r="E36" i="89"/>
  <c r="J35" i="89"/>
  <c r="I35" i="89"/>
  <c r="H35" i="89"/>
  <c r="G35" i="89"/>
  <c r="F35" i="89"/>
  <c r="E35" i="89"/>
  <c r="J34" i="89"/>
  <c r="I34" i="89"/>
  <c r="H34" i="89"/>
  <c r="G34" i="89"/>
  <c r="F34" i="89"/>
  <c r="E34" i="89"/>
  <c r="J33" i="89"/>
  <c r="I33" i="89"/>
  <c r="H33" i="89"/>
  <c r="G33" i="89"/>
  <c r="F33" i="89"/>
  <c r="E33" i="89"/>
  <c r="J32" i="89"/>
  <c r="I32" i="89"/>
  <c r="H32" i="89"/>
  <c r="G32" i="89"/>
  <c r="F32" i="89"/>
  <c r="E32" i="89"/>
  <c r="J31" i="89"/>
  <c r="I31" i="89"/>
  <c r="H31" i="89"/>
  <c r="G31" i="89"/>
  <c r="F31" i="89"/>
  <c r="E31" i="89"/>
  <c r="J30" i="89"/>
  <c r="I30" i="89"/>
  <c r="H30" i="89"/>
  <c r="G30" i="89"/>
  <c r="F30" i="89"/>
  <c r="E30" i="89"/>
  <c r="J29" i="89"/>
  <c r="I29" i="89"/>
  <c r="H29" i="89"/>
  <c r="G29" i="89"/>
  <c r="F29" i="89"/>
  <c r="E29" i="89"/>
  <c r="J28" i="89"/>
  <c r="I28" i="89"/>
  <c r="H28" i="89"/>
  <c r="G28" i="89"/>
  <c r="F28" i="89"/>
  <c r="E28" i="89"/>
  <c r="J27" i="89"/>
  <c r="I27" i="89"/>
  <c r="H27" i="89"/>
  <c r="G27" i="89"/>
  <c r="F27" i="89"/>
  <c r="E27" i="89"/>
  <c r="J26" i="89"/>
  <c r="I26" i="89"/>
  <c r="H26" i="89"/>
  <c r="G26" i="89"/>
  <c r="F26" i="89"/>
  <c r="E26" i="89"/>
  <c r="J25" i="89"/>
  <c r="I25" i="89"/>
  <c r="H25" i="89"/>
  <c r="G25" i="89"/>
  <c r="F25" i="89"/>
  <c r="E25" i="89"/>
  <c r="J24" i="89"/>
  <c r="I24" i="89"/>
  <c r="H24" i="89"/>
  <c r="G24" i="89"/>
  <c r="F24" i="89"/>
  <c r="E24" i="89"/>
  <c r="J23" i="89"/>
  <c r="I23" i="89"/>
  <c r="H23" i="89"/>
  <c r="G23" i="89"/>
  <c r="F23" i="89"/>
  <c r="E23" i="89"/>
  <c r="J22" i="89"/>
  <c r="I22" i="89"/>
  <c r="H22" i="89"/>
  <c r="G22" i="89"/>
  <c r="F22" i="89"/>
  <c r="E22" i="89"/>
  <c r="J21" i="89"/>
  <c r="I21" i="89"/>
  <c r="H21" i="89"/>
  <c r="G21" i="89"/>
  <c r="F21" i="89"/>
  <c r="E21" i="89"/>
  <c r="J20" i="89"/>
  <c r="I20" i="89"/>
  <c r="H20" i="89"/>
  <c r="G20" i="89"/>
  <c r="F20" i="89"/>
  <c r="E20" i="89"/>
  <c r="J19" i="89"/>
  <c r="I19" i="89"/>
  <c r="H19" i="89"/>
  <c r="G19" i="89"/>
  <c r="F19" i="89"/>
  <c r="E19" i="89"/>
  <c r="J18" i="89"/>
  <c r="I18" i="89"/>
  <c r="H18" i="89"/>
  <c r="G18" i="89"/>
  <c r="F18" i="89"/>
  <c r="E18" i="89"/>
  <c r="J17" i="89"/>
  <c r="I17" i="89"/>
  <c r="H17" i="89"/>
  <c r="G17" i="89"/>
  <c r="F17" i="89"/>
  <c r="E17" i="89"/>
  <c r="J16" i="89"/>
  <c r="I16" i="89"/>
  <c r="H16" i="89"/>
  <c r="G16" i="89"/>
  <c r="F16" i="89"/>
  <c r="E16" i="89"/>
  <c r="J15" i="89"/>
  <c r="I15" i="89"/>
  <c r="H15" i="89"/>
  <c r="G15" i="89"/>
  <c r="F15" i="89"/>
  <c r="E15" i="89"/>
  <c r="J14" i="89"/>
  <c r="I14" i="89"/>
  <c r="H14" i="89"/>
  <c r="G14" i="89"/>
  <c r="F14" i="89"/>
  <c r="E14" i="89"/>
  <c r="J13" i="89"/>
  <c r="I13" i="89"/>
  <c r="H13" i="89"/>
  <c r="G13" i="89"/>
  <c r="F13" i="89"/>
  <c r="E13" i="89"/>
  <c r="J12" i="89"/>
  <c r="I12" i="89"/>
  <c r="H12" i="89"/>
  <c r="G12" i="89"/>
  <c r="F12" i="89"/>
  <c r="E12" i="89"/>
  <c r="J11" i="89"/>
  <c r="I11" i="89"/>
  <c r="H11" i="89"/>
  <c r="G11" i="89"/>
  <c r="F11" i="89"/>
  <c r="E11" i="89"/>
  <c r="J10" i="89"/>
  <c r="I10" i="89"/>
  <c r="H10" i="89"/>
  <c r="G10" i="89"/>
  <c r="F10" i="89"/>
  <c r="E10" i="89"/>
  <c r="J9" i="89"/>
  <c r="I9" i="89"/>
  <c r="H9" i="89"/>
  <c r="G9" i="89"/>
  <c r="F9" i="89"/>
  <c r="E9" i="89"/>
  <c r="J8" i="89"/>
  <c r="I8" i="89"/>
  <c r="H8" i="89"/>
  <c r="G8" i="89"/>
  <c r="F8" i="89"/>
  <c r="E8" i="89"/>
  <c r="M7" i="89"/>
  <c r="M8" i="89" s="1"/>
  <c r="M9" i="89" s="1"/>
  <c r="M10" i="89" s="1"/>
  <c r="M11" i="89" s="1"/>
  <c r="M12" i="89" s="1"/>
  <c r="M13" i="89" s="1"/>
  <c r="M14" i="89" s="1"/>
  <c r="M15" i="89" s="1"/>
  <c r="M16" i="89" s="1"/>
  <c r="M17" i="89" s="1"/>
  <c r="M18" i="89" s="1"/>
  <c r="M19" i="89" s="1"/>
  <c r="M20" i="89" s="1"/>
  <c r="M21" i="89" s="1"/>
  <c r="M22" i="89" s="1"/>
  <c r="M23" i="89" s="1"/>
  <c r="M24" i="89" s="1"/>
  <c r="M25" i="89" s="1"/>
  <c r="M26" i="89" s="1"/>
  <c r="M27" i="89" s="1"/>
  <c r="M28" i="89" s="1"/>
  <c r="M29" i="89" s="1"/>
  <c r="M30" i="89" s="1"/>
  <c r="M31" i="89" s="1"/>
  <c r="M32" i="89" s="1"/>
  <c r="M33" i="89" s="1"/>
  <c r="M34" i="89" s="1"/>
  <c r="M35" i="89" s="1"/>
  <c r="M36" i="89" s="1"/>
  <c r="M37" i="89" s="1"/>
  <c r="M38" i="89" s="1"/>
  <c r="G7" i="89"/>
  <c r="F7" i="89"/>
  <c r="E7" i="89"/>
  <c r="N190" i="88"/>
  <c r="N190" i="115"/>
  <c r="N190" i="116"/>
  <c r="N190" i="113"/>
  <c r="N190" i="118"/>
  <c r="N190" i="117"/>
  <c r="G26" i="124"/>
  <c r="D25" i="121"/>
  <c r="E24" i="120"/>
  <c r="G192" i="123"/>
  <c r="B6" i="68" a="1"/>
  <c r="F26" i="124"/>
  <c r="F26" i="120"/>
  <c r="E24" i="123"/>
  <c r="B26" i="125"/>
  <c r="C89" i="123"/>
  <c r="H25" i="124"/>
  <c r="G26" i="119"/>
  <c r="F26" i="125"/>
  <c r="C26" i="124"/>
  <c r="F26" i="123"/>
  <c r="D24" i="123"/>
  <c r="H26" i="122"/>
  <c r="G25" i="125"/>
  <c r="F24" i="122"/>
  <c r="G191" i="121"/>
  <c r="H25" i="122"/>
  <c r="H25" i="119"/>
  <c r="H25" i="123"/>
  <c r="B24" i="122"/>
  <c r="H25" i="121"/>
  <c r="F25" i="120"/>
  <c r="G190" i="123"/>
  <c r="H24" i="121"/>
  <c r="B25" i="123"/>
  <c r="D26" i="123"/>
  <c r="C25" i="120"/>
  <c r="G24" i="119"/>
  <c r="F25" i="119"/>
  <c r="C26" i="125"/>
  <c r="E25" i="122"/>
  <c r="C90" i="125"/>
  <c r="E25" i="125"/>
  <c r="B25" i="122"/>
  <c r="E25" i="120"/>
  <c r="G26" i="125"/>
  <c r="G190" i="121"/>
  <c r="C26" i="121"/>
  <c r="C89" i="121"/>
  <c r="D26" i="120"/>
  <c r="E26" i="119"/>
  <c r="C25" i="123"/>
  <c r="D26" i="119"/>
  <c r="D25" i="120"/>
  <c r="B17" i="68" a="1"/>
  <c r="G192" i="119"/>
  <c r="C91" i="123"/>
  <c r="H25" i="125"/>
  <c r="G24" i="122"/>
  <c r="B14" i="68" a="1"/>
  <c r="D26" i="125"/>
  <c r="G26" i="123"/>
  <c r="B7" i="68" a="1"/>
  <c r="B24" i="119"/>
  <c r="G25" i="119"/>
  <c r="D26" i="121"/>
  <c r="E26" i="120"/>
  <c r="B25" i="121"/>
  <c r="H24" i="120"/>
  <c r="C91" i="125"/>
  <c r="H24" i="122"/>
  <c r="C25" i="119"/>
  <c r="H25" i="120"/>
  <c r="C91" i="122"/>
  <c r="F26" i="122"/>
  <c r="D26" i="124"/>
  <c r="G191" i="122"/>
  <c r="D24" i="119"/>
  <c r="G24" i="121"/>
  <c r="B26" i="120"/>
  <c r="G192" i="122"/>
  <c r="D24" i="122"/>
  <c r="C89" i="120"/>
  <c r="E25" i="123"/>
  <c r="G191" i="123"/>
  <c r="H24" i="119"/>
  <c r="E24" i="121"/>
  <c r="H26" i="120"/>
  <c r="C26" i="120"/>
  <c r="C24" i="125"/>
  <c r="B5" i="68" a="1"/>
  <c r="D24" i="121"/>
  <c r="F26" i="121"/>
  <c r="G192" i="124"/>
  <c r="G191" i="125"/>
  <c r="G24" i="124"/>
  <c r="G190" i="124"/>
  <c r="C91" i="121"/>
  <c r="G26" i="122"/>
  <c r="F25" i="123"/>
  <c r="C24" i="120"/>
  <c r="B24" i="120"/>
  <c r="E26" i="121"/>
  <c r="C91" i="119"/>
  <c r="C90" i="120"/>
  <c r="B24" i="125"/>
  <c r="B24" i="121"/>
  <c r="H26" i="121"/>
  <c r="C24" i="122"/>
  <c r="D24" i="120"/>
  <c r="B11" i="68" a="1"/>
  <c r="B10" i="68" a="1"/>
  <c r="G192" i="120"/>
  <c r="G24" i="123"/>
  <c r="E24" i="124"/>
  <c r="F25" i="122"/>
  <c r="C25" i="124"/>
  <c r="C25" i="122"/>
  <c r="E24" i="119"/>
  <c r="B13" i="68" a="1"/>
  <c r="B9" i="68" a="1"/>
  <c r="G192" i="121"/>
  <c r="B12" i="68" a="1"/>
  <c r="C90" i="124"/>
  <c r="B26" i="122"/>
  <c r="D24" i="125"/>
  <c r="B25" i="120"/>
  <c r="H24" i="124"/>
  <c r="F24" i="123"/>
  <c r="G26" i="120"/>
  <c r="G25" i="120"/>
  <c r="E25" i="124"/>
  <c r="G192" i="125"/>
  <c r="H26" i="125"/>
  <c r="B8" i="68" a="1"/>
  <c r="F24" i="119"/>
  <c r="G25" i="121"/>
  <c r="B24" i="124"/>
  <c r="C91" i="124"/>
  <c r="G24" i="125"/>
  <c r="E25" i="119"/>
  <c r="C90" i="121"/>
  <c r="C90" i="122"/>
  <c r="C26" i="122"/>
  <c r="E24" i="122"/>
  <c r="C90" i="123"/>
  <c r="H24" i="125"/>
  <c r="E26" i="123"/>
  <c r="C91" i="120"/>
  <c r="H24" i="123"/>
  <c r="B26" i="123"/>
  <c r="G190" i="119"/>
  <c r="G191" i="119"/>
  <c r="F24" i="121"/>
  <c r="C26" i="119"/>
  <c r="B25" i="119"/>
  <c r="C25" i="125"/>
  <c r="D26" i="122"/>
  <c r="C25" i="121"/>
  <c r="E26" i="124"/>
  <c r="B26" i="121"/>
  <c r="D25" i="119"/>
  <c r="B26" i="119"/>
  <c r="H26" i="124"/>
  <c r="C90" i="119"/>
  <c r="C24" i="121"/>
  <c r="C24" i="119"/>
  <c r="H26" i="123"/>
  <c r="F24" i="120"/>
  <c r="G190" i="125"/>
  <c r="H26" i="119"/>
  <c r="G26" i="121"/>
  <c r="G191" i="120"/>
  <c r="B24" i="123"/>
  <c r="C24" i="124"/>
  <c r="F26" i="119"/>
  <c r="C89" i="125"/>
  <c r="C24" i="123"/>
  <c r="G25" i="122"/>
  <c r="C26" i="123"/>
  <c r="B16" i="68" a="1"/>
  <c r="G190" i="122"/>
  <c r="G190" i="120"/>
  <c r="B25" i="125"/>
  <c r="G25" i="123"/>
  <c r="C89" i="124"/>
  <c r="B15" i="68" a="1"/>
  <c r="E25" i="121"/>
  <c r="G191" i="124"/>
  <c r="B26" i="124"/>
  <c r="E26" i="122"/>
  <c r="C89" i="122"/>
  <c r="G24" i="120"/>
  <c r="C89" i="119"/>
  <c r="G25" i="124"/>
  <c r="E26" i="125"/>
  <c r="B25" i="124"/>
  <c r="F25" i="121"/>
  <c r="E24" i="125"/>
  <c r="AI36" i="34" l="1"/>
  <c r="AI37" i="34"/>
  <c r="AI38" i="34"/>
  <c r="B17" i="68"/>
  <c r="B16" i="68"/>
  <c r="N208" i="125"/>
  <c r="N209" i="125" s="1"/>
  <c r="U208" i="124"/>
  <c r="U209" i="124"/>
  <c r="U190" i="125"/>
  <c r="U191" i="125"/>
  <c r="U190" i="124"/>
  <c r="U209" i="125"/>
  <c r="U191" i="124"/>
  <c r="D74" i="125"/>
  <c r="D96" i="125"/>
  <c r="D25" i="125"/>
  <c r="D97" i="125" s="1"/>
  <c r="H97" i="124"/>
  <c r="G193" i="124"/>
  <c r="H190" i="124"/>
  <c r="B98" i="124"/>
  <c r="B154" i="124"/>
  <c r="G74" i="125"/>
  <c r="G96" i="125"/>
  <c r="G194" i="125"/>
  <c r="P191" i="125"/>
  <c r="H191" i="125"/>
  <c r="Q191" i="125" s="1"/>
  <c r="V191" i="125" s="1"/>
  <c r="C98" i="124"/>
  <c r="C154" i="124"/>
  <c r="H74" i="125"/>
  <c r="H96" i="125"/>
  <c r="D98" i="124"/>
  <c r="D154" i="124"/>
  <c r="B97" i="125"/>
  <c r="E98" i="124"/>
  <c r="E154" i="124"/>
  <c r="C97" i="125"/>
  <c r="F98" i="124"/>
  <c r="F154" i="124"/>
  <c r="G98" i="124"/>
  <c r="G154" i="124"/>
  <c r="E97" i="125"/>
  <c r="H98" i="124"/>
  <c r="H154" i="124"/>
  <c r="C92" i="124"/>
  <c r="E89" i="124"/>
  <c r="G195" i="124"/>
  <c r="P192" i="124"/>
  <c r="W192" i="124" s="1"/>
  <c r="H192" i="124"/>
  <c r="Q192" i="124" s="1"/>
  <c r="V192" i="124" s="1"/>
  <c r="G97" i="125"/>
  <c r="H97" i="125"/>
  <c r="P190" i="125"/>
  <c r="H190" i="125"/>
  <c r="Q190" i="125" s="1"/>
  <c r="V190" i="125" s="1"/>
  <c r="G193" i="125"/>
  <c r="E90" i="124"/>
  <c r="B146" i="124" s="1"/>
  <c r="B98" i="125"/>
  <c r="B154" i="125"/>
  <c r="B74" i="124"/>
  <c r="B96" i="124"/>
  <c r="C98" i="125"/>
  <c r="C154" i="125"/>
  <c r="C96" i="124"/>
  <c r="C74" i="124"/>
  <c r="D98" i="125"/>
  <c r="D154" i="125"/>
  <c r="E91" i="124"/>
  <c r="B147" i="124" s="1"/>
  <c r="E98" i="125"/>
  <c r="E154" i="125"/>
  <c r="E96" i="124"/>
  <c r="F98" i="125"/>
  <c r="F154" i="125"/>
  <c r="G98" i="125"/>
  <c r="G154" i="125"/>
  <c r="G96" i="124"/>
  <c r="G74" i="124"/>
  <c r="G194" i="124"/>
  <c r="P191" i="124"/>
  <c r="H191" i="124"/>
  <c r="Q191" i="124" s="1"/>
  <c r="V191" i="124" s="1"/>
  <c r="H98" i="125"/>
  <c r="H154" i="125"/>
  <c r="E89" i="125"/>
  <c r="C92" i="125"/>
  <c r="H74" i="124"/>
  <c r="H96" i="124"/>
  <c r="P192" i="125"/>
  <c r="W192" i="125" s="1"/>
  <c r="H192" i="125"/>
  <c r="Q192" i="125" s="1"/>
  <c r="V192" i="125" s="1"/>
  <c r="G195" i="125"/>
  <c r="B97" i="124"/>
  <c r="C97" i="124"/>
  <c r="E90" i="125"/>
  <c r="B146" i="125" s="1"/>
  <c r="B74" i="125"/>
  <c r="B96" i="125"/>
  <c r="E97" i="124"/>
  <c r="C74" i="125"/>
  <c r="C96" i="125"/>
  <c r="E91" i="125"/>
  <c r="B147" i="125" s="1"/>
  <c r="G97" i="124"/>
  <c r="E96" i="125"/>
  <c r="E62" i="125"/>
  <c r="D130" i="124"/>
  <c r="D128" i="124"/>
  <c r="E62" i="124"/>
  <c r="D130" i="125"/>
  <c r="D128" i="125"/>
  <c r="U208" i="125"/>
  <c r="N190" i="124"/>
  <c r="N208" i="124" s="1"/>
  <c r="N209" i="124" s="1"/>
  <c r="F138" i="124"/>
  <c r="C60" i="124"/>
  <c r="E60" i="124" s="1"/>
  <c r="K61" i="124"/>
  <c r="L61" i="124" s="1"/>
  <c r="L62" i="124" s="1"/>
  <c r="C60" i="125"/>
  <c r="E60" i="125" s="1"/>
  <c r="D25" i="123"/>
  <c r="D97" i="123" s="1"/>
  <c r="D25" i="122"/>
  <c r="D97" i="122" s="1"/>
  <c r="L62" i="123"/>
  <c r="U190" i="123"/>
  <c r="U191" i="123"/>
  <c r="U209" i="123"/>
  <c r="B74" i="123"/>
  <c r="B96" i="123"/>
  <c r="C74" i="123"/>
  <c r="C96" i="123"/>
  <c r="G194" i="123"/>
  <c r="P191" i="123"/>
  <c r="H191" i="123"/>
  <c r="Q191" i="123" s="1"/>
  <c r="V191" i="123" s="1"/>
  <c r="D74" i="123"/>
  <c r="D96" i="123"/>
  <c r="E96" i="123"/>
  <c r="F74" i="123"/>
  <c r="F96" i="123"/>
  <c r="H74" i="123"/>
  <c r="H96" i="123"/>
  <c r="G74" i="123"/>
  <c r="G96" i="123"/>
  <c r="B97" i="123"/>
  <c r="P190" i="123"/>
  <c r="H190" i="123"/>
  <c r="Q190" i="123" s="1"/>
  <c r="V190" i="123" s="1"/>
  <c r="G193" i="123"/>
  <c r="C97" i="123"/>
  <c r="E97" i="123"/>
  <c r="F97" i="123"/>
  <c r="G97" i="123"/>
  <c r="H97" i="123"/>
  <c r="E89" i="123"/>
  <c r="C92" i="123"/>
  <c r="B98" i="123"/>
  <c r="B154" i="123"/>
  <c r="C98" i="123"/>
  <c r="C154" i="123"/>
  <c r="P192" i="123"/>
  <c r="W192" i="123" s="1"/>
  <c r="H192" i="123"/>
  <c r="Q192" i="123" s="1"/>
  <c r="V192" i="123" s="1"/>
  <c r="G195" i="123"/>
  <c r="D98" i="123"/>
  <c r="D154" i="123"/>
  <c r="E90" i="123"/>
  <c r="B146" i="123" s="1"/>
  <c r="E98" i="123"/>
  <c r="E154" i="123"/>
  <c r="F98" i="123"/>
  <c r="F154" i="123"/>
  <c r="G98" i="123"/>
  <c r="G154" i="123"/>
  <c r="E91" i="123"/>
  <c r="B147" i="123" s="1"/>
  <c r="H98" i="123"/>
  <c r="H154" i="123"/>
  <c r="U208" i="123"/>
  <c r="D128" i="123"/>
  <c r="B13" i="68"/>
  <c r="B15" i="68"/>
  <c r="B12" i="68"/>
  <c r="B14" i="68"/>
  <c r="B11" i="68"/>
  <c r="U190" i="122"/>
  <c r="U191" i="122"/>
  <c r="U209" i="122"/>
  <c r="G194" i="122"/>
  <c r="P191" i="122"/>
  <c r="H191" i="122"/>
  <c r="Q191" i="122" s="1"/>
  <c r="V191" i="122" s="1"/>
  <c r="B74" i="122"/>
  <c r="B96" i="122"/>
  <c r="C74" i="122"/>
  <c r="C96" i="122"/>
  <c r="D74" i="122"/>
  <c r="D96" i="122"/>
  <c r="E96" i="122"/>
  <c r="F74" i="122"/>
  <c r="F96" i="122"/>
  <c r="H74" i="122"/>
  <c r="H96" i="122"/>
  <c r="B97" i="122"/>
  <c r="P190" i="122"/>
  <c r="H190" i="122"/>
  <c r="Q190" i="122" s="1"/>
  <c r="V190" i="122" s="1"/>
  <c r="G193" i="122"/>
  <c r="C97" i="122"/>
  <c r="F97" i="122"/>
  <c r="G97" i="122"/>
  <c r="H97" i="122"/>
  <c r="E89" i="122"/>
  <c r="C92" i="122"/>
  <c r="B98" i="122"/>
  <c r="B154" i="122"/>
  <c r="C98" i="122"/>
  <c r="C154" i="122"/>
  <c r="P192" i="122"/>
  <c r="W192" i="122" s="1"/>
  <c r="H192" i="122"/>
  <c r="Q192" i="122" s="1"/>
  <c r="V192" i="122" s="1"/>
  <c r="G195" i="122"/>
  <c r="D98" i="122"/>
  <c r="D154" i="122"/>
  <c r="E90" i="122"/>
  <c r="B146" i="122" s="1"/>
  <c r="E98" i="122"/>
  <c r="E154" i="122"/>
  <c r="F98" i="122"/>
  <c r="F154" i="122"/>
  <c r="G98" i="122"/>
  <c r="G154" i="122"/>
  <c r="E91" i="122"/>
  <c r="B147" i="122" s="1"/>
  <c r="G74" i="122"/>
  <c r="G96" i="122"/>
  <c r="H98" i="122"/>
  <c r="H154" i="122"/>
  <c r="E97" i="122"/>
  <c r="U208" i="122"/>
  <c r="E62" i="122"/>
  <c r="D127" i="122"/>
  <c r="U191" i="120"/>
  <c r="U209" i="120"/>
  <c r="U191" i="121"/>
  <c r="U190" i="121"/>
  <c r="U208" i="120"/>
  <c r="U209" i="121"/>
  <c r="U190" i="120"/>
  <c r="B74" i="120"/>
  <c r="B96" i="120"/>
  <c r="G194" i="121"/>
  <c r="P191" i="121"/>
  <c r="H191" i="121"/>
  <c r="Q191" i="121" s="1"/>
  <c r="V191" i="121" s="1"/>
  <c r="D74" i="120"/>
  <c r="D96" i="120"/>
  <c r="B74" i="121"/>
  <c r="B96" i="121"/>
  <c r="C74" i="121"/>
  <c r="C96" i="121"/>
  <c r="F74" i="120"/>
  <c r="F96" i="120"/>
  <c r="D74" i="121"/>
  <c r="D96" i="121"/>
  <c r="E96" i="121"/>
  <c r="H74" i="120"/>
  <c r="H96" i="120"/>
  <c r="G193" i="120"/>
  <c r="P190" i="120"/>
  <c r="H190" i="120"/>
  <c r="Q190" i="120" s="1"/>
  <c r="V190" i="120" s="1"/>
  <c r="F74" i="121"/>
  <c r="F96" i="121"/>
  <c r="G74" i="121"/>
  <c r="G96" i="121"/>
  <c r="B97" i="120"/>
  <c r="C97" i="120"/>
  <c r="H74" i="121"/>
  <c r="H96" i="121"/>
  <c r="G96" i="120"/>
  <c r="G74" i="120"/>
  <c r="B97" i="121"/>
  <c r="P190" i="121"/>
  <c r="H190" i="121"/>
  <c r="Q190" i="121" s="1"/>
  <c r="V190" i="121" s="1"/>
  <c r="G193" i="121"/>
  <c r="D97" i="120"/>
  <c r="E97" i="120"/>
  <c r="C97" i="121"/>
  <c r="F97" i="120"/>
  <c r="D97" i="121"/>
  <c r="E97" i="121"/>
  <c r="H97" i="120"/>
  <c r="C92" i="120"/>
  <c r="E89" i="120"/>
  <c r="F97" i="121"/>
  <c r="P192" i="120"/>
  <c r="W192" i="120" s="1"/>
  <c r="H192" i="120"/>
  <c r="Q192" i="120" s="1"/>
  <c r="V192" i="120" s="1"/>
  <c r="G195" i="120"/>
  <c r="G97" i="121"/>
  <c r="C74" i="120"/>
  <c r="C96" i="120"/>
  <c r="C98" i="120"/>
  <c r="C154" i="120"/>
  <c r="H97" i="121"/>
  <c r="E89" i="121"/>
  <c r="C92" i="121"/>
  <c r="D98" i="120"/>
  <c r="D154" i="120"/>
  <c r="E90" i="120"/>
  <c r="B146" i="120" s="1"/>
  <c r="B98" i="121"/>
  <c r="B154" i="121"/>
  <c r="E98" i="120"/>
  <c r="E154" i="120"/>
  <c r="C98" i="121"/>
  <c r="C154" i="121"/>
  <c r="P192" i="121"/>
  <c r="W192" i="121" s="1"/>
  <c r="H192" i="121"/>
  <c r="Q192" i="121" s="1"/>
  <c r="V192" i="121" s="1"/>
  <c r="G195" i="121"/>
  <c r="E96" i="120"/>
  <c r="F98" i="120"/>
  <c r="F154" i="120"/>
  <c r="D98" i="121"/>
  <c r="D154" i="121"/>
  <c r="E90" i="121"/>
  <c r="B146" i="121" s="1"/>
  <c r="G97" i="120"/>
  <c r="G98" i="120"/>
  <c r="G154" i="120"/>
  <c r="E91" i="120"/>
  <c r="B147" i="120" s="1"/>
  <c r="E98" i="121"/>
  <c r="E154" i="121"/>
  <c r="H98" i="120"/>
  <c r="H154" i="120"/>
  <c r="F98" i="121"/>
  <c r="F154" i="121"/>
  <c r="B98" i="120"/>
  <c r="B154" i="120"/>
  <c r="G98" i="121"/>
  <c r="G154" i="121"/>
  <c r="E91" i="121"/>
  <c r="B147" i="121" s="1"/>
  <c r="H191" i="120"/>
  <c r="G194" i="120"/>
  <c r="H98" i="121"/>
  <c r="H154" i="121"/>
  <c r="U208" i="121"/>
  <c r="E62" i="121"/>
  <c r="D128" i="120"/>
  <c r="D128" i="121"/>
  <c r="U190" i="119"/>
  <c r="U191" i="119"/>
  <c r="G194" i="119"/>
  <c r="P191" i="119"/>
  <c r="H191" i="119"/>
  <c r="Q191" i="119" s="1"/>
  <c r="V191" i="119" s="1"/>
  <c r="B74" i="119"/>
  <c r="B96" i="119"/>
  <c r="D74" i="119"/>
  <c r="D96" i="119"/>
  <c r="F74" i="119"/>
  <c r="F96" i="119"/>
  <c r="G74" i="119"/>
  <c r="G96" i="119"/>
  <c r="P190" i="119"/>
  <c r="H190" i="119"/>
  <c r="Q190" i="119" s="1"/>
  <c r="V190" i="119" s="1"/>
  <c r="G193" i="119"/>
  <c r="H74" i="119"/>
  <c r="H96" i="119"/>
  <c r="B97" i="119"/>
  <c r="H154" i="119"/>
  <c r="H98" i="119"/>
  <c r="C97" i="119"/>
  <c r="E91" i="119"/>
  <c r="B147" i="119" s="1"/>
  <c r="D97" i="119"/>
  <c r="E97" i="119"/>
  <c r="G97" i="119"/>
  <c r="C74" i="119"/>
  <c r="C96" i="119"/>
  <c r="H97" i="119"/>
  <c r="E89" i="119"/>
  <c r="C92" i="119"/>
  <c r="B98" i="119"/>
  <c r="B154" i="119"/>
  <c r="P192" i="119"/>
  <c r="W192" i="119" s="1"/>
  <c r="H192" i="119"/>
  <c r="Q192" i="119" s="1"/>
  <c r="V192" i="119" s="1"/>
  <c r="G195" i="119"/>
  <c r="C98" i="119"/>
  <c r="C154" i="119"/>
  <c r="F97" i="119"/>
  <c r="D98" i="119"/>
  <c r="D154" i="119"/>
  <c r="E90" i="119"/>
  <c r="B146" i="119" s="1"/>
  <c r="E98" i="119"/>
  <c r="E154" i="119"/>
  <c r="G154" i="119"/>
  <c r="G98" i="119"/>
  <c r="E96" i="119"/>
  <c r="F98" i="119"/>
  <c r="F154" i="119"/>
  <c r="D130" i="119"/>
  <c r="D128" i="119"/>
  <c r="U209" i="119"/>
  <c r="U208" i="119"/>
  <c r="D119" i="119"/>
  <c r="B5" i="68"/>
  <c r="B8" i="68"/>
  <c r="B7" i="68"/>
  <c r="B9" i="68"/>
  <c r="B10" i="68"/>
  <c r="B6" i="68"/>
  <c r="L7" i="89"/>
  <c r="L8" i="89" s="1"/>
  <c r="K8" i="89"/>
  <c r="D24" i="124"/>
  <c r="F24" i="125"/>
  <c r="F25" i="125"/>
  <c r="K9" i="89" l="1"/>
  <c r="AG36" i="34"/>
  <c r="C104" i="124"/>
  <c r="L9" i="89"/>
  <c r="AH36" i="34"/>
  <c r="H103" i="125"/>
  <c r="G102" i="124"/>
  <c r="G103" i="125"/>
  <c r="W191" i="125"/>
  <c r="B104" i="124"/>
  <c r="W191" i="124"/>
  <c r="U211" i="125"/>
  <c r="H104" i="125"/>
  <c r="U193" i="124"/>
  <c r="U211" i="124"/>
  <c r="U211" i="123"/>
  <c r="B104" i="125"/>
  <c r="D104" i="124"/>
  <c r="E102" i="124"/>
  <c r="C103" i="125"/>
  <c r="H102" i="124"/>
  <c r="C104" i="125"/>
  <c r="B102" i="124"/>
  <c r="E104" i="124"/>
  <c r="B103" i="125"/>
  <c r="U193" i="125"/>
  <c r="F74" i="125"/>
  <c r="F96" i="125"/>
  <c r="F102" i="125" s="1"/>
  <c r="F97" i="125"/>
  <c r="F103" i="125" s="1"/>
  <c r="D96" i="124"/>
  <c r="D102" i="124" s="1"/>
  <c r="D25" i="124"/>
  <c r="D97" i="124" s="1"/>
  <c r="D103" i="124" s="1"/>
  <c r="D74" i="124"/>
  <c r="H152" i="124"/>
  <c r="H153" i="124"/>
  <c r="B153" i="124"/>
  <c r="B152" i="124"/>
  <c r="B145" i="125"/>
  <c r="E92" i="125"/>
  <c r="C146" i="124"/>
  <c r="D146" i="124" s="1"/>
  <c r="E191" i="124"/>
  <c r="H102" i="125"/>
  <c r="H153" i="125"/>
  <c r="H152" i="125"/>
  <c r="W190" i="125"/>
  <c r="P193" i="125"/>
  <c r="G153" i="124"/>
  <c r="G152" i="124"/>
  <c r="E102" i="125"/>
  <c r="G103" i="124"/>
  <c r="E192" i="125"/>
  <c r="D147" i="125"/>
  <c r="G104" i="125"/>
  <c r="G102" i="125"/>
  <c r="C102" i="125"/>
  <c r="G153" i="125"/>
  <c r="G152" i="125"/>
  <c r="C152" i="125"/>
  <c r="C153" i="125"/>
  <c r="F104" i="125"/>
  <c r="E92" i="124"/>
  <c r="B145" i="124"/>
  <c r="E103" i="124"/>
  <c r="B102" i="125"/>
  <c r="Q190" i="124"/>
  <c r="V190" i="124" s="1"/>
  <c r="B152" i="125"/>
  <c r="B153" i="125"/>
  <c r="E104" i="125"/>
  <c r="H104" i="124"/>
  <c r="P190" i="124"/>
  <c r="E191" i="125"/>
  <c r="C146" i="125"/>
  <c r="D146" i="125" s="1"/>
  <c r="D147" i="124"/>
  <c r="E192" i="124"/>
  <c r="E103" i="125"/>
  <c r="C103" i="124"/>
  <c r="H103" i="124"/>
  <c r="B103" i="124"/>
  <c r="D104" i="125"/>
  <c r="G104" i="124"/>
  <c r="D103" i="125"/>
  <c r="C153" i="124"/>
  <c r="C152" i="124"/>
  <c r="D102" i="125"/>
  <c r="C102" i="124"/>
  <c r="F104" i="124"/>
  <c r="D152" i="125"/>
  <c r="D153" i="125"/>
  <c r="G102" i="123"/>
  <c r="H102" i="123"/>
  <c r="F102" i="123"/>
  <c r="E102" i="123"/>
  <c r="U211" i="121"/>
  <c r="C103" i="123"/>
  <c r="B103" i="123"/>
  <c r="W191" i="123"/>
  <c r="D103" i="122"/>
  <c r="C103" i="122"/>
  <c r="U211" i="122"/>
  <c r="D102" i="123"/>
  <c r="B103" i="122"/>
  <c r="U193" i="123"/>
  <c r="F103" i="123"/>
  <c r="E103" i="123"/>
  <c r="H104" i="123"/>
  <c r="D103" i="123"/>
  <c r="E192" i="123"/>
  <c r="D147" i="123"/>
  <c r="W190" i="123"/>
  <c r="P193" i="123"/>
  <c r="F104" i="123"/>
  <c r="G104" i="123"/>
  <c r="E104" i="123"/>
  <c r="G152" i="123"/>
  <c r="G153" i="123"/>
  <c r="E191" i="123"/>
  <c r="C146" i="123"/>
  <c r="D146" i="123" s="1"/>
  <c r="H153" i="123"/>
  <c r="H152" i="123"/>
  <c r="D104" i="123"/>
  <c r="F152" i="123"/>
  <c r="E74" i="123"/>
  <c r="F153" i="123"/>
  <c r="D152" i="123"/>
  <c r="D153" i="123"/>
  <c r="C104" i="123"/>
  <c r="B104" i="123"/>
  <c r="C102" i="123"/>
  <c r="B145" i="123"/>
  <c r="E92" i="123"/>
  <c r="C152" i="123"/>
  <c r="C153" i="123"/>
  <c r="H103" i="123"/>
  <c r="B102" i="123"/>
  <c r="E102" i="120"/>
  <c r="G103" i="123"/>
  <c r="B152" i="123"/>
  <c r="B153" i="123"/>
  <c r="H104" i="120"/>
  <c r="D104" i="120"/>
  <c r="U193" i="120"/>
  <c r="W191" i="121"/>
  <c r="W191" i="122"/>
  <c r="D102" i="119"/>
  <c r="H104" i="122"/>
  <c r="F103" i="122"/>
  <c r="D103" i="120"/>
  <c r="G104" i="122"/>
  <c r="F103" i="120"/>
  <c r="D102" i="121"/>
  <c r="F102" i="119"/>
  <c r="E104" i="120"/>
  <c r="C103" i="121"/>
  <c r="E103" i="122"/>
  <c r="H103" i="122"/>
  <c r="B104" i="120"/>
  <c r="E103" i="120"/>
  <c r="G103" i="122"/>
  <c r="U193" i="122"/>
  <c r="E192" i="122"/>
  <c r="D147" i="122"/>
  <c r="W190" i="122"/>
  <c r="P193" i="122"/>
  <c r="F104" i="122"/>
  <c r="H102" i="122"/>
  <c r="H153" i="122"/>
  <c r="H152" i="122"/>
  <c r="G153" i="122"/>
  <c r="G152" i="122"/>
  <c r="E104" i="122"/>
  <c r="F102" i="122"/>
  <c r="E191" i="122"/>
  <c r="C146" i="122"/>
  <c r="D146" i="122" s="1"/>
  <c r="F152" i="122"/>
  <c r="E74" i="122"/>
  <c r="F153" i="122"/>
  <c r="E102" i="122"/>
  <c r="D104" i="122"/>
  <c r="D102" i="122"/>
  <c r="D152" i="122"/>
  <c r="D153" i="122"/>
  <c r="G102" i="122"/>
  <c r="C102" i="122"/>
  <c r="C152" i="122"/>
  <c r="C153" i="122"/>
  <c r="B102" i="122"/>
  <c r="E92" i="122"/>
  <c r="B145" i="122"/>
  <c r="C104" i="122"/>
  <c r="B152" i="122"/>
  <c r="B153" i="122"/>
  <c r="E103" i="121"/>
  <c r="D130" i="122"/>
  <c r="D128" i="122"/>
  <c r="B104" i="122"/>
  <c r="G102" i="119"/>
  <c r="D103" i="121"/>
  <c r="E102" i="121"/>
  <c r="H103" i="120"/>
  <c r="C102" i="121"/>
  <c r="U193" i="121"/>
  <c r="G104" i="120"/>
  <c r="U211" i="120"/>
  <c r="D104" i="121"/>
  <c r="F102" i="121"/>
  <c r="F104" i="120"/>
  <c r="H102" i="119"/>
  <c r="F103" i="121"/>
  <c r="H104" i="121"/>
  <c r="H152" i="120"/>
  <c r="H153" i="120"/>
  <c r="D152" i="121"/>
  <c r="D153" i="121"/>
  <c r="F102" i="120"/>
  <c r="G153" i="121"/>
  <c r="G152" i="121"/>
  <c r="E92" i="120"/>
  <c r="B145" i="120"/>
  <c r="E192" i="121"/>
  <c r="D147" i="121"/>
  <c r="F152" i="120"/>
  <c r="E74" i="120"/>
  <c r="F153" i="120"/>
  <c r="H102" i="120"/>
  <c r="F104" i="121"/>
  <c r="C152" i="121"/>
  <c r="C153" i="121"/>
  <c r="W190" i="121"/>
  <c r="P193" i="121"/>
  <c r="B102" i="121"/>
  <c r="G104" i="121"/>
  <c r="B103" i="121"/>
  <c r="B152" i="121"/>
  <c r="B153" i="121"/>
  <c r="B145" i="121"/>
  <c r="E92" i="121"/>
  <c r="G152" i="120"/>
  <c r="G153" i="120"/>
  <c r="D102" i="120"/>
  <c r="C104" i="121"/>
  <c r="E192" i="120"/>
  <c r="D147" i="120"/>
  <c r="H103" i="121"/>
  <c r="G102" i="120"/>
  <c r="D152" i="120"/>
  <c r="D153" i="120"/>
  <c r="E74" i="121"/>
  <c r="F153" i="121"/>
  <c r="F152" i="121"/>
  <c r="B104" i="121"/>
  <c r="H102" i="121"/>
  <c r="U211" i="119"/>
  <c r="C104" i="120"/>
  <c r="H153" i="121"/>
  <c r="H152" i="121"/>
  <c r="W190" i="120"/>
  <c r="E104" i="121"/>
  <c r="F104" i="119"/>
  <c r="D103" i="119"/>
  <c r="G103" i="120"/>
  <c r="C102" i="120"/>
  <c r="C103" i="120"/>
  <c r="E191" i="121"/>
  <c r="C146" i="121"/>
  <c r="D146" i="121" s="1"/>
  <c r="B103" i="120"/>
  <c r="B102" i="120"/>
  <c r="C146" i="120"/>
  <c r="D146" i="120" s="1"/>
  <c r="E191" i="120"/>
  <c r="E102" i="119"/>
  <c r="C152" i="120"/>
  <c r="C153" i="120"/>
  <c r="C103" i="119"/>
  <c r="G103" i="121"/>
  <c r="G102" i="121"/>
  <c r="B152" i="120"/>
  <c r="B153" i="120"/>
  <c r="B103" i="119"/>
  <c r="U193" i="119"/>
  <c r="W191" i="119"/>
  <c r="G103" i="119"/>
  <c r="E103" i="119"/>
  <c r="H104" i="119"/>
  <c r="E192" i="119"/>
  <c r="D147" i="119"/>
  <c r="H153" i="119"/>
  <c r="H152" i="119"/>
  <c r="B102" i="119"/>
  <c r="G104" i="119"/>
  <c r="D104" i="119"/>
  <c r="D153" i="119"/>
  <c r="D152" i="119"/>
  <c r="B145" i="119"/>
  <c r="E92" i="119"/>
  <c r="B152" i="119"/>
  <c r="B153" i="119"/>
  <c r="E191" i="119"/>
  <c r="C146" i="119"/>
  <c r="D146" i="119" s="1"/>
  <c r="C104" i="119"/>
  <c r="G153" i="119"/>
  <c r="G152" i="119"/>
  <c r="E74" i="119"/>
  <c r="F153" i="119"/>
  <c r="F152" i="119"/>
  <c r="W190" i="119"/>
  <c r="P193" i="119"/>
  <c r="B104" i="119"/>
  <c r="H103" i="119"/>
  <c r="C102" i="119"/>
  <c r="E104" i="119"/>
  <c r="F103" i="119"/>
  <c r="C152" i="119"/>
  <c r="C153" i="119"/>
  <c r="G126" i="115"/>
  <c r="G126" i="116"/>
  <c r="G126" i="113"/>
  <c r="G126" i="118"/>
  <c r="G126" i="117"/>
  <c r="G126" i="88"/>
  <c r="AI48" i="34"/>
  <c r="AI47" i="34"/>
  <c r="AI46" i="34"/>
  <c r="AI45" i="34"/>
  <c r="AI44" i="34"/>
  <c r="AI43" i="34"/>
  <c r="AI42" i="34"/>
  <c r="AI41" i="34"/>
  <c r="AI40" i="34"/>
  <c r="AI39" i="34"/>
  <c r="V27" i="34"/>
  <c r="V22" i="34"/>
  <c r="V21" i="34"/>
  <c r="V20" i="34"/>
  <c r="V19" i="34"/>
  <c r="V18" i="34"/>
  <c r="V17" i="34"/>
  <c r="V16" i="34"/>
  <c r="R25" i="34"/>
  <c r="R26" i="34" s="1"/>
  <c r="E4" i="89"/>
  <c r="P26" i="34"/>
  <c r="Q25" i="34"/>
  <c r="Q26" i="34" s="1"/>
  <c r="P25" i="34"/>
  <c r="F25" i="124"/>
  <c r="F24" i="124"/>
  <c r="W193" i="125" l="1"/>
  <c r="C224" i="125" s="1"/>
  <c r="H105" i="125"/>
  <c r="C105" i="125"/>
  <c r="B105" i="124"/>
  <c r="H105" i="124"/>
  <c r="L10" i="89"/>
  <c r="AH37" i="34"/>
  <c r="K10" i="89"/>
  <c r="AG37" i="34"/>
  <c r="D105" i="125"/>
  <c r="G105" i="125"/>
  <c r="E105" i="124"/>
  <c r="B105" i="125"/>
  <c r="G105" i="124"/>
  <c r="F96" i="124"/>
  <c r="F102" i="124" s="1"/>
  <c r="F74" i="124"/>
  <c r="F97" i="124"/>
  <c r="F103" i="124" s="1"/>
  <c r="E146" i="125"/>
  <c r="H146" i="125" s="1"/>
  <c r="E146" i="124"/>
  <c r="H146" i="124" s="1"/>
  <c r="L191" i="124"/>
  <c r="L209" i="124" s="1"/>
  <c r="F191" i="124"/>
  <c r="E190" i="124"/>
  <c r="C145" i="124"/>
  <c r="C148" i="124" s="1"/>
  <c r="B148" i="124"/>
  <c r="L192" i="124"/>
  <c r="L210" i="124" s="1"/>
  <c r="F192" i="124"/>
  <c r="E147" i="124"/>
  <c r="F147" i="124" s="1"/>
  <c r="F148" i="124" s="1"/>
  <c r="C145" i="125"/>
  <c r="C148" i="125" s="1"/>
  <c r="B148" i="125"/>
  <c r="E190" i="125"/>
  <c r="L191" i="125"/>
  <c r="L209" i="125" s="1"/>
  <c r="F191" i="125"/>
  <c r="E147" i="125"/>
  <c r="F147" i="125" s="1"/>
  <c r="F148" i="125" s="1"/>
  <c r="P193" i="124"/>
  <c r="W190" i="124"/>
  <c r="W193" i="124" s="1"/>
  <c r="C224" i="124" s="1"/>
  <c r="L192" i="125"/>
  <c r="L210" i="125" s="1"/>
  <c r="F192" i="125"/>
  <c r="B105" i="123"/>
  <c r="H105" i="123"/>
  <c r="W193" i="123"/>
  <c r="C224" i="123" s="1"/>
  <c r="C105" i="124"/>
  <c r="E105" i="125"/>
  <c r="D153" i="124"/>
  <c r="D152" i="124"/>
  <c r="D105" i="124"/>
  <c r="F105" i="125"/>
  <c r="E74" i="125"/>
  <c r="F153" i="125"/>
  <c r="F152" i="125"/>
  <c r="E105" i="123"/>
  <c r="G105" i="123"/>
  <c r="C105" i="123"/>
  <c r="E105" i="120"/>
  <c r="F105" i="123"/>
  <c r="D105" i="123"/>
  <c r="W193" i="122"/>
  <c r="C224" i="122" s="1"/>
  <c r="W193" i="121"/>
  <c r="C224" i="121" s="1"/>
  <c r="E146" i="123"/>
  <c r="H146" i="123" s="1"/>
  <c r="F191" i="123"/>
  <c r="L191" i="123"/>
  <c r="L209" i="123" s="1"/>
  <c r="G148" i="123"/>
  <c r="C145" i="123"/>
  <c r="C148" i="123" s="1"/>
  <c r="B148" i="123"/>
  <c r="E190" i="123"/>
  <c r="E147" i="123"/>
  <c r="F147" i="123" s="1"/>
  <c r="F148" i="123" s="1"/>
  <c r="L192" i="123"/>
  <c r="L210" i="123" s="1"/>
  <c r="F192" i="123"/>
  <c r="E152" i="123"/>
  <c r="E153" i="123"/>
  <c r="H105" i="122"/>
  <c r="C105" i="121"/>
  <c r="D105" i="120"/>
  <c r="F105" i="120"/>
  <c r="G105" i="122"/>
  <c r="F105" i="122"/>
  <c r="E105" i="122"/>
  <c r="G105" i="120"/>
  <c r="D105" i="121"/>
  <c r="E146" i="122"/>
  <c r="H146" i="122" s="1"/>
  <c r="F191" i="122"/>
  <c r="L191" i="122"/>
  <c r="L209" i="122" s="1"/>
  <c r="E152" i="122"/>
  <c r="E153" i="122"/>
  <c r="G148" i="122"/>
  <c r="C145" i="122"/>
  <c r="C148" i="122" s="1"/>
  <c r="B148" i="122"/>
  <c r="E190" i="122"/>
  <c r="B105" i="122"/>
  <c r="C105" i="122"/>
  <c r="H105" i="120"/>
  <c r="E105" i="121"/>
  <c r="E147" i="122"/>
  <c r="F147" i="122" s="1"/>
  <c r="F148" i="122" s="1"/>
  <c r="D105" i="122"/>
  <c r="L192" i="122"/>
  <c r="L210" i="122" s="1"/>
  <c r="F192" i="122"/>
  <c r="F105" i="121"/>
  <c r="W193" i="119"/>
  <c r="C224" i="119" s="1"/>
  <c r="G105" i="121"/>
  <c r="D105" i="119"/>
  <c r="E146" i="120"/>
  <c r="H146" i="120" s="1"/>
  <c r="L191" i="121"/>
  <c r="L209" i="121" s="1"/>
  <c r="F191" i="121"/>
  <c r="E152" i="120"/>
  <c r="E153" i="120"/>
  <c r="E152" i="121"/>
  <c r="E153" i="121"/>
  <c r="E147" i="121"/>
  <c r="F147" i="121" s="1"/>
  <c r="F148" i="121" s="1"/>
  <c r="G145" i="120"/>
  <c r="G148" i="120" s="1"/>
  <c r="C145" i="120"/>
  <c r="C148" i="120" s="1"/>
  <c r="B148" i="120"/>
  <c r="E190" i="120"/>
  <c r="G105" i="119"/>
  <c r="H105" i="121"/>
  <c r="L192" i="121"/>
  <c r="L210" i="121" s="1"/>
  <c r="F192" i="121"/>
  <c r="G145" i="121"/>
  <c r="G148" i="121" s="1"/>
  <c r="C145" i="121"/>
  <c r="C148" i="121" s="1"/>
  <c r="B148" i="121"/>
  <c r="E190" i="121"/>
  <c r="F105" i="119"/>
  <c r="B105" i="121"/>
  <c r="E146" i="121"/>
  <c r="H146" i="121" s="1"/>
  <c r="E105" i="119"/>
  <c r="B105" i="120"/>
  <c r="C105" i="120"/>
  <c r="L192" i="120"/>
  <c r="L210" i="120" s="1"/>
  <c r="F192" i="120"/>
  <c r="F191" i="120"/>
  <c r="L191" i="120"/>
  <c r="L209" i="120" s="1"/>
  <c r="E147" i="120"/>
  <c r="F147" i="120" s="1"/>
  <c r="F148" i="120" s="1"/>
  <c r="H105" i="119"/>
  <c r="C105" i="119"/>
  <c r="G145" i="119"/>
  <c r="G148" i="119" s="1"/>
  <c r="C145" i="119"/>
  <c r="C148" i="119" s="1"/>
  <c r="B148" i="119"/>
  <c r="E190" i="119"/>
  <c r="E153" i="119"/>
  <c r="E152" i="119"/>
  <c r="B105" i="119"/>
  <c r="E147" i="119"/>
  <c r="F147" i="119" s="1"/>
  <c r="F148" i="119" s="1"/>
  <c r="E146" i="119"/>
  <c r="H146" i="119" s="1"/>
  <c r="L192" i="119"/>
  <c r="L210" i="119" s="1"/>
  <c r="F192" i="119"/>
  <c r="L191" i="119"/>
  <c r="L209" i="119" s="1"/>
  <c r="F191" i="119"/>
  <c r="R191" i="117"/>
  <c r="R190" i="117"/>
  <c r="O67" i="57"/>
  <c r="R209" i="118" s="1"/>
  <c r="B235" i="118"/>
  <c r="B236" i="118" s="1"/>
  <c r="D231" i="118"/>
  <c r="D230" i="118"/>
  <c r="S209" i="118"/>
  <c r="S208" i="118"/>
  <c r="B192" i="118"/>
  <c r="B210" i="118" s="1"/>
  <c r="S191" i="118"/>
  <c r="R191" i="118"/>
  <c r="B191" i="118"/>
  <c r="B209" i="118" s="1"/>
  <c r="S190" i="118"/>
  <c r="R190" i="118"/>
  <c r="T190" i="118" s="1"/>
  <c r="B190" i="118"/>
  <c r="B208" i="118" s="1"/>
  <c r="A174" i="118"/>
  <c r="A173" i="118"/>
  <c r="A172" i="118"/>
  <c r="A171" i="118"/>
  <c r="A170" i="118"/>
  <c r="A169" i="118"/>
  <c r="A168" i="118"/>
  <c r="B156" i="118"/>
  <c r="B140" i="118"/>
  <c r="D138" i="118"/>
  <c r="F138" i="118" s="1"/>
  <c r="E129" i="118"/>
  <c r="E125" i="118"/>
  <c r="D120" i="118"/>
  <c r="D121" i="118" s="1"/>
  <c r="D119" i="118"/>
  <c r="B100" i="118"/>
  <c r="B85" i="118"/>
  <c r="B68" i="118"/>
  <c r="E55" i="118"/>
  <c r="C55" i="118"/>
  <c r="B22" i="118"/>
  <c r="D19" i="118"/>
  <c r="D18" i="118"/>
  <c r="C60" i="118" s="1"/>
  <c r="E60" i="118" s="1"/>
  <c r="B5" i="118"/>
  <c r="C61" i="118" s="1"/>
  <c r="E61" i="118" s="1"/>
  <c r="E62" i="118" s="1"/>
  <c r="D120" i="117"/>
  <c r="D121" i="117" s="1"/>
  <c r="S209" i="117"/>
  <c r="T209" i="117" s="1"/>
  <c r="S208" i="117"/>
  <c r="T208" i="117" s="1"/>
  <c r="S191" i="117"/>
  <c r="S190" i="117"/>
  <c r="B235" i="117"/>
  <c r="B236" i="117" s="1"/>
  <c r="D231" i="117"/>
  <c r="D230" i="117"/>
  <c r="B192" i="117"/>
  <c r="B210" i="117" s="1"/>
  <c r="T191" i="117"/>
  <c r="B191" i="117"/>
  <c r="B209" i="117" s="1"/>
  <c r="B190" i="117"/>
  <c r="B208" i="117" s="1"/>
  <c r="A174" i="117"/>
  <c r="A173" i="117"/>
  <c r="A172" i="117"/>
  <c r="A171" i="117"/>
  <c r="A170" i="117"/>
  <c r="A169" i="117"/>
  <c r="A168" i="117"/>
  <c r="B156" i="117"/>
  <c r="B140" i="117"/>
  <c r="D138" i="117"/>
  <c r="F138" i="117" s="1"/>
  <c r="E129" i="117"/>
  <c r="E125" i="117"/>
  <c r="D119" i="117"/>
  <c r="B100" i="117"/>
  <c r="B85" i="117"/>
  <c r="B68" i="117"/>
  <c r="E55" i="117"/>
  <c r="C55" i="117"/>
  <c r="B22" i="117"/>
  <c r="D19" i="117"/>
  <c r="D18" i="117"/>
  <c r="C60" i="117" s="1"/>
  <c r="E60" i="117" s="1"/>
  <c r="B5" i="117"/>
  <c r="C61" i="117" s="1"/>
  <c r="E61" i="117" s="1"/>
  <c r="E62" i="117" s="1"/>
  <c r="F24" i="117"/>
  <c r="C89" i="117"/>
  <c r="D24" i="117"/>
  <c r="C25" i="117"/>
  <c r="D26" i="117"/>
  <c r="F26" i="117"/>
  <c r="C25" i="118"/>
  <c r="G26" i="118"/>
  <c r="C24" i="117"/>
  <c r="H24" i="117"/>
  <c r="H26" i="117"/>
  <c r="C91" i="118"/>
  <c r="D25" i="118"/>
  <c r="E26" i="117"/>
  <c r="E25" i="118"/>
  <c r="G25" i="118"/>
  <c r="G25" i="117"/>
  <c r="H24" i="118"/>
  <c r="F26" i="118"/>
  <c r="F25" i="118"/>
  <c r="E24" i="118"/>
  <c r="C26" i="117"/>
  <c r="B26" i="118"/>
  <c r="E24" i="117"/>
  <c r="F25" i="117"/>
  <c r="B24" i="118"/>
  <c r="C24" i="118"/>
  <c r="C89" i="118"/>
  <c r="E25" i="117"/>
  <c r="H25" i="117"/>
  <c r="E26" i="118"/>
  <c r="G26" i="117"/>
  <c r="D26" i="118"/>
  <c r="B26" i="117"/>
  <c r="C90" i="117"/>
  <c r="D24" i="118"/>
  <c r="G24" i="117"/>
  <c r="B25" i="118"/>
  <c r="B25" i="117"/>
  <c r="F24" i="118"/>
  <c r="C90" i="118"/>
  <c r="H25" i="118"/>
  <c r="H26" i="118"/>
  <c r="D25" i="117"/>
  <c r="B24" i="117"/>
  <c r="G24" i="118"/>
  <c r="C91" i="117"/>
  <c r="C26" i="118"/>
  <c r="K11" i="89" l="1"/>
  <c r="AG38" i="34"/>
  <c r="L11" i="89"/>
  <c r="AH38" i="34"/>
  <c r="H147" i="124"/>
  <c r="E210" i="124" s="1"/>
  <c r="I146" i="124"/>
  <c r="E209" i="124"/>
  <c r="H159" i="124"/>
  <c r="B159" i="124"/>
  <c r="G159" i="124"/>
  <c r="C159" i="124"/>
  <c r="I146" i="125"/>
  <c r="E209" i="125"/>
  <c r="B159" i="125"/>
  <c r="H159" i="125"/>
  <c r="C159" i="125"/>
  <c r="D159" i="125"/>
  <c r="G159" i="125"/>
  <c r="D145" i="124"/>
  <c r="F190" i="124"/>
  <c r="E193" i="124"/>
  <c r="L190" i="124"/>
  <c r="L208" i="124" s="1"/>
  <c r="F159" i="125"/>
  <c r="H147" i="125"/>
  <c r="E152" i="125"/>
  <c r="E153" i="125"/>
  <c r="E159" i="125" s="1"/>
  <c r="D159" i="124"/>
  <c r="L190" i="125"/>
  <c r="L208" i="125" s="1"/>
  <c r="F190" i="125"/>
  <c r="E193" i="125"/>
  <c r="D145" i="125"/>
  <c r="F153" i="124"/>
  <c r="F159" i="124" s="1"/>
  <c r="F152" i="124"/>
  <c r="E74" i="124"/>
  <c r="F105" i="124"/>
  <c r="I146" i="123"/>
  <c r="E209" i="123"/>
  <c r="H159" i="123"/>
  <c r="F159" i="123"/>
  <c r="D159" i="123"/>
  <c r="B159" i="123"/>
  <c r="C159" i="123"/>
  <c r="G159" i="123"/>
  <c r="D145" i="123"/>
  <c r="L190" i="123"/>
  <c r="L208" i="123" s="1"/>
  <c r="F190" i="123"/>
  <c r="E193" i="123"/>
  <c r="E159" i="123"/>
  <c r="H147" i="123"/>
  <c r="F159" i="122"/>
  <c r="H159" i="122"/>
  <c r="B159" i="122"/>
  <c r="C159" i="122"/>
  <c r="D159" i="122"/>
  <c r="G159" i="122"/>
  <c r="E159" i="122"/>
  <c r="D145" i="122"/>
  <c r="H147" i="122"/>
  <c r="L190" i="122"/>
  <c r="L208" i="122" s="1"/>
  <c r="F190" i="122"/>
  <c r="E193" i="122"/>
  <c r="I146" i="122"/>
  <c r="E209" i="122"/>
  <c r="C159" i="120"/>
  <c r="D159" i="120"/>
  <c r="G159" i="120"/>
  <c r="F159" i="120"/>
  <c r="H159" i="120"/>
  <c r="B159" i="120"/>
  <c r="E159" i="120"/>
  <c r="I146" i="121"/>
  <c r="E209" i="121"/>
  <c r="G159" i="121"/>
  <c r="D159" i="121"/>
  <c r="C159" i="121"/>
  <c r="B159" i="121"/>
  <c r="F159" i="121"/>
  <c r="H159" i="121"/>
  <c r="H147" i="121"/>
  <c r="E159" i="121"/>
  <c r="L190" i="121"/>
  <c r="L208" i="121" s="1"/>
  <c r="F190" i="121"/>
  <c r="E193" i="121"/>
  <c r="E193" i="120"/>
  <c r="L190" i="120"/>
  <c r="L208" i="120" s="1"/>
  <c r="F190" i="120"/>
  <c r="D145" i="121"/>
  <c r="H147" i="120"/>
  <c r="D145" i="120"/>
  <c r="E209" i="120"/>
  <c r="I146" i="120"/>
  <c r="H147" i="119"/>
  <c r="E210" i="119" s="1"/>
  <c r="I146" i="119"/>
  <c r="E209" i="119"/>
  <c r="C159" i="119"/>
  <c r="D159" i="119"/>
  <c r="F159" i="119"/>
  <c r="G159" i="119"/>
  <c r="B159" i="119"/>
  <c r="H159" i="119"/>
  <c r="L190" i="119"/>
  <c r="L208" i="119" s="1"/>
  <c r="F190" i="119"/>
  <c r="E193" i="119"/>
  <c r="E159" i="119"/>
  <c r="D145" i="119"/>
  <c r="R208" i="118"/>
  <c r="T208" i="118" s="1"/>
  <c r="U208" i="118" s="1"/>
  <c r="T191" i="118"/>
  <c r="T190" i="117"/>
  <c r="T209" i="118"/>
  <c r="U209" i="118" s="1"/>
  <c r="U190" i="118"/>
  <c r="U191" i="118"/>
  <c r="B74" i="118"/>
  <c r="B96" i="118"/>
  <c r="D96" i="118"/>
  <c r="D74" i="118"/>
  <c r="F74" i="118"/>
  <c r="F96" i="118"/>
  <c r="C96" i="118"/>
  <c r="C74" i="118"/>
  <c r="H74" i="118"/>
  <c r="H96" i="118"/>
  <c r="B97" i="118"/>
  <c r="C97" i="118"/>
  <c r="D97" i="118"/>
  <c r="E97" i="118"/>
  <c r="H97" i="118"/>
  <c r="C92" i="118"/>
  <c r="E96" i="118"/>
  <c r="G97" i="118"/>
  <c r="B98" i="118"/>
  <c r="B154" i="118"/>
  <c r="C98" i="118"/>
  <c r="C154" i="118"/>
  <c r="D98" i="118"/>
  <c r="D154" i="118"/>
  <c r="E98" i="118"/>
  <c r="E154" i="118"/>
  <c r="G96" i="118"/>
  <c r="G74" i="118"/>
  <c r="F97" i="118"/>
  <c r="F98" i="118"/>
  <c r="F154" i="118"/>
  <c r="G98" i="118"/>
  <c r="G154" i="118"/>
  <c r="H98" i="118"/>
  <c r="H154" i="118"/>
  <c r="U190" i="117"/>
  <c r="U191" i="117"/>
  <c r="C92" i="117"/>
  <c r="F154" i="117"/>
  <c r="F98" i="117"/>
  <c r="D154" i="117"/>
  <c r="D98" i="117"/>
  <c r="H154" i="117"/>
  <c r="H98" i="117"/>
  <c r="C154" i="117"/>
  <c r="C98" i="117"/>
  <c r="E154" i="117"/>
  <c r="E98" i="117"/>
  <c r="B74" i="117"/>
  <c r="B96" i="117"/>
  <c r="C74" i="117"/>
  <c r="C96" i="117"/>
  <c r="G97" i="117"/>
  <c r="E96" i="117"/>
  <c r="G74" i="117"/>
  <c r="G96" i="117"/>
  <c r="H97" i="117"/>
  <c r="B98" i="117"/>
  <c r="B154" i="117"/>
  <c r="F74" i="117"/>
  <c r="F96" i="117"/>
  <c r="B97" i="117"/>
  <c r="H74" i="117"/>
  <c r="H96" i="117"/>
  <c r="D74" i="117"/>
  <c r="D96" i="117"/>
  <c r="D97" i="117"/>
  <c r="E97" i="117"/>
  <c r="G154" i="117"/>
  <c r="G98" i="117"/>
  <c r="C97" i="117"/>
  <c r="F97" i="117"/>
  <c r="U208" i="117"/>
  <c r="U209" i="117"/>
  <c r="B235" i="113"/>
  <c r="B236" i="113" s="1"/>
  <c r="B235" i="116"/>
  <c r="B236" i="116" s="1"/>
  <c r="D231" i="116"/>
  <c r="D230" i="116"/>
  <c r="T209" i="116"/>
  <c r="T208" i="116"/>
  <c r="B192" i="116"/>
  <c r="B210" i="116" s="1"/>
  <c r="T191" i="116"/>
  <c r="B191" i="116"/>
  <c r="B209" i="116" s="1"/>
  <c r="T190" i="116"/>
  <c r="B190" i="116"/>
  <c r="B208" i="116" s="1"/>
  <c r="A174" i="116"/>
  <c r="A173" i="116"/>
  <c r="A172" i="116"/>
  <c r="A171" i="116"/>
  <c r="A170" i="116"/>
  <c r="A169" i="116"/>
  <c r="A168" i="116"/>
  <c r="B156" i="116"/>
  <c r="B140" i="116"/>
  <c r="D138" i="116"/>
  <c r="D119" i="116" s="1"/>
  <c r="E129" i="116"/>
  <c r="E125" i="116"/>
  <c r="D121" i="116"/>
  <c r="B100" i="116"/>
  <c r="B85" i="116"/>
  <c r="B68" i="116"/>
  <c r="E55" i="116"/>
  <c r="C55" i="116"/>
  <c r="B22" i="116"/>
  <c r="D19" i="116"/>
  <c r="D18" i="116"/>
  <c r="C60" i="116" s="1"/>
  <c r="E60" i="116" s="1"/>
  <c r="B5" i="116"/>
  <c r="C61" i="116" s="1"/>
  <c r="F26" i="116"/>
  <c r="H25" i="116"/>
  <c r="B24" i="116"/>
  <c r="G26" i="116"/>
  <c r="D25" i="116"/>
  <c r="F24" i="116"/>
  <c r="H24" i="116"/>
  <c r="E25" i="116"/>
  <c r="C89" i="116"/>
  <c r="C90" i="116"/>
  <c r="B26" i="116"/>
  <c r="B25" i="116"/>
  <c r="D24" i="116"/>
  <c r="E26" i="116"/>
  <c r="C25" i="116"/>
  <c r="G24" i="116"/>
  <c r="G25" i="116"/>
  <c r="C26" i="116"/>
  <c r="E24" i="116"/>
  <c r="C91" i="116"/>
  <c r="H26" i="116"/>
  <c r="D26" i="116"/>
  <c r="F25" i="116"/>
  <c r="C24" i="116"/>
  <c r="L12" i="89" l="1"/>
  <c r="AH39" i="34"/>
  <c r="K12" i="89"/>
  <c r="AG39" i="34"/>
  <c r="B160" i="124"/>
  <c r="G160" i="124"/>
  <c r="D160" i="124"/>
  <c r="E160" i="124"/>
  <c r="F160" i="124"/>
  <c r="H160" i="124"/>
  <c r="C160" i="124"/>
  <c r="I147" i="124"/>
  <c r="E145" i="124"/>
  <c r="E148" i="124" s="1"/>
  <c r="D148" i="124"/>
  <c r="G210" i="124"/>
  <c r="F210" i="124"/>
  <c r="G209" i="125"/>
  <c r="F209" i="125"/>
  <c r="E145" i="125"/>
  <c r="E148" i="125" s="1"/>
  <c r="D148" i="125"/>
  <c r="E210" i="125"/>
  <c r="I147" i="125"/>
  <c r="E160" i="125"/>
  <c r="C160" i="125"/>
  <c r="G160" i="125"/>
  <c r="F160" i="125"/>
  <c r="B160" i="125"/>
  <c r="H160" i="125"/>
  <c r="D160" i="125"/>
  <c r="E153" i="124"/>
  <c r="E159" i="124" s="1"/>
  <c r="E152" i="124"/>
  <c r="G209" i="124"/>
  <c r="F209" i="124"/>
  <c r="E210" i="123"/>
  <c r="I147" i="123"/>
  <c r="H160" i="123"/>
  <c r="F160" i="123"/>
  <c r="C160" i="123"/>
  <c r="E160" i="123"/>
  <c r="B160" i="123"/>
  <c r="D160" i="123"/>
  <c r="G160" i="123"/>
  <c r="E145" i="123"/>
  <c r="E148" i="123" s="1"/>
  <c r="D148" i="123"/>
  <c r="G209" i="123"/>
  <c r="F209" i="123"/>
  <c r="G209" i="122"/>
  <c r="F209" i="122"/>
  <c r="E210" i="122"/>
  <c r="I147" i="122"/>
  <c r="H160" i="122"/>
  <c r="F160" i="122"/>
  <c r="D160" i="122"/>
  <c r="E160" i="122"/>
  <c r="C160" i="122"/>
  <c r="G160" i="122"/>
  <c r="B160" i="122"/>
  <c r="E145" i="122"/>
  <c r="E148" i="122" s="1"/>
  <c r="D148" i="122"/>
  <c r="G160" i="119"/>
  <c r="D160" i="119"/>
  <c r="C160" i="119"/>
  <c r="F160" i="119"/>
  <c r="E160" i="119"/>
  <c r="E145" i="121"/>
  <c r="E148" i="121" s="1"/>
  <c r="D148" i="121"/>
  <c r="E210" i="121"/>
  <c r="I147" i="121"/>
  <c r="F160" i="121"/>
  <c r="E160" i="121"/>
  <c r="G160" i="121"/>
  <c r="H160" i="121"/>
  <c r="D160" i="121"/>
  <c r="B160" i="121"/>
  <c r="C160" i="121"/>
  <c r="E210" i="120"/>
  <c r="I147" i="120"/>
  <c r="E160" i="120"/>
  <c r="D160" i="120"/>
  <c r="G160" i="120"/>
  <c r="H160" i="120"/>
  <c r="C160" i="120"/>
  <c r="B160" i="120"/>
  <c r="F160" i="120"/>
  <c r="F209" i="120"/>
  <c r="G209" i="120"/>
  <c r="G209" i="121"/>
  <c r="F209" i="121"/>
  <c r="E145" i="120"/>
  <c r="E148" i="120" s="1"/>
  <c r="D148" i="120"/>
  <c r="H160" i="119"/>
  <c r="B160" i="119"/>
  <c r="I147" i="119"/>
  <c r="G210" i="119"/>
  <c r="F210" i="119"/>
  <c r="E145" i="119"/>
  <c r="E148" i="119" s="1"/>
  <c r="D148" i="119"/>
  <c r="G209" i="119"/>
  <c r="F209" i="119"/>
  <c r="U211" i="118"/>
  <c r="U193" i="118"/>
  <c r="H153" i="118"/>
  <c r="H152" i="118"/>
  <c r="C152" i="118"/>
  <c r="C153" i="118"/>
  <c r="F152" i="118"/>
  <c r="E74" i="118"/>
  <c r="F153" i="118"/>
  <c r="D152" i="118"/>
  <c r="D153" i="118"/>
  <c r="B152" i="118"/>
  <c r="B153" i="118"/>
  <c r="G152" i="118"/>
  <c r="G153" i="118"/>
  <c r="U211" i="117"/>
  <c r="U193" i="117"/>
  <c r="G153" i="117"/>
  <c r="G152" i="117"/>
  <c r="E74" i="117"/>
  <c r="F153" i="117"/>
  <c r="F152" i="117"/>
  <c r="B152" i="117"/>
  <c r="B153" i="117"/>
  <c r="D153" i="117"/>
  <c r="D152" i="117"/>
  <c r="C153" i="117"/>
  <c r="C152" i="117"/>
  <c r="H153" i="117"/>
  <c r="H152" i="117"/>
  <c r="E61" i="116"/>
  <c r="E62" i="116" s="1"/>
  <c r="F74" i="116" s="1"/>
  <c r="U190" i="116"/>
  <c r="U191" i="116"/>
  <c r="U209" i="116"/>
  <c r="D97" i="116"/>
  <c r="E97" i="116"/>
  <c r="F97" i="116"/>
  <c r="G97" i="116"/>
  <c r="D154" i="116"/>
  <c r="D98" i="116"/>
  <c r="E98" i="116"/>
  <c r="E154" i="116"/>
  <c r="F98" i="116"/>
  <c r="F154" i="116"/>
  <c r="H98" i="116"/>
  <c r="H154" i="116"/>
  <c r="B74" i="116"/>
  <c r="B96" i="116"/>
  <c r="B154" i="116"/>
  <c r="B98" i="116"/>
  <c r="C74" i="116"/>
  <c r="C96" i="116"/>
  <c r="G98" i="116"/>
  <c r="G154" i="116"/>
  <c r="D74" i="116"/>
  <c r="D96" i="116"/>
  <c r="E96" i="116"/>
  <c r="C154" i="116"/>
  <c r="C98" i="116"/>
  <c r="F96" i="116"/>
  <c r="G96" i="116"/>
  <c r="G74" i="116"/>
  <c r="H97" i="116"/>
  <c r="H96" i="116"/>
  <c r="H74" i="116"/>
  <c r="C92" i="116"/>
  <c r="B97" i="116"/>
  <c r="C97" i="116"/>
  <c r="U208" i="116"/>
  <c r="F138" i="116"/>
  <c r="K13" i="89" l="1"/>
  <c r="AG40" i="34"/>
  <c r="L13" i="89"/>
  <c r="AH40" i="34"/>
  <c r="G210" i="125"/>
  <c r="F210" i="125"/>
  <c r="G212" i="125"/>
  <c r="P209" i="125"/>
  <c r="W209" i="125" s="1"/>
  <c r="H209" i="125"/>
  <c r="Q209" i="125" s="1"/>
  <c r="V209" i="125" s="1"/>
  <c r="H145" i="125"/>
  <c r="P210" i="124"/>
  <c r="W210" i="124" s="1"/>
  <c r="H210" i="124"/>
  <c r="Q210" i="124" s="1"/>
  <c r="V210" i="124" s="1"/>
  <c r="G213" i="124"/>
  <c r="H145" i="124"/>
  <c r="G212" i="124"/>
  <c r="P209" i="124"/>
  <c r="W209" i="124" s="1"/>
  <c r="H209" i="124"/>
  <c r="Q209" i="124" s="1"/>
  <c r="V209" i="124" s="1"/>
  <c r="G212" i="123"/>
  <c r="P209" i="123"/>
  <c r="W209" i="123" s="1"/>
  <c r="H209" i="123"/>
  <c r="Q209" i="123" s="1"/>
  <c r="V209" i="123" s="1"/>
  <c r="H145" i="123"/>
  <c r="G210" i="123"/>
  <c r="F210" i="123"/>
  <c r="H145" i="119"/>
  <c r="I145" i="119" s="1"/>
  <c r="H145" i="122"/>
  <c r="G210" i="122"/>
  <c r="F210" i="122"/>
  <c r="G212" i="122"/>
  <c r="P209" i="122"/>
  <c r="W209" i="122" s="1"/>
  <c r="H209" i="122"/>
  <c r="Q209" i="122" s="1"/>
  <c r="V209" i="122" s="1"/>
  <c r="H145" i="120"/>
  <c r="E158" i="120" s="1"/>
  <c r="E161" i="120" s="1"/>
  <c r="E168" i="120" s="1"/>
  <c r="E169" i="120" s="1"/>
  <c r="E170" i="120" s="1"/>
  <c r="E171" i="120" s="1"/>
  <c r="E172" i="120" s="1"/>
  <c r="E173" i="120" s="1"/>
  <c r="E174" i="120" s="1"/>
  <c r="G212" i="120"/>
  <c r="P209" i="120"/>
  <c r="W209" i="120" s="1"/>
  <c r="H209" i="120"/>
  <c r="Q209" i="120" s="1"/>
  <c r="V209" i="120" s="1"/>
  <c r="G210" i="120"/>
  <c r="F210" i="120"/>
  <c r="G210" i="121"/>
  <c r="F210" i="121"/>
  <c r="G212" i="121"/>
  <c r="P209" i="121"/>
  <c r="W209" i="121" s="1"/>
  <c r="H209" i="121"/>
  <c r="Q209" i="121" s="1"/>
  <c r="V209" i="121" s="1"/>
  <c r="H145" i="121"/>
  <c r="P209" i="119"/>
  <c r="W209" i="119" s="1"/>
  <c r="G212" i="119"/>
  <c r="H209" i="119"/>
  <c r="Q209" i="119" s="1"/>
  <c r="V209" i="119" s="1"/>
  <c r="P210" i="119"/>
  <c r="W210" i="119" s="1"/>
  <c r="H210" i="119"/>
  <c r="Q210" i="119" s="1"/>
  <c r="V210" i="119" s="1"/>
  <c r="G213" i="119"/>
  <c r="E152" i="118"/>
  <c r="E153" i="118"/>
  <c r="E153" i="117"/>
  <c r="E152" i="117"/>
  <c r="U211" i="116"/>
  <c r="U193" i="116"/>
  <c r="C153" i="116"/>
  <c r="C152" i="116"/>
  <c r="G153" i="116"/>
  <c r="G152" i="116"/>
  <c r="B153" i="116"/>
  <c r="B152" i="116"/>
  <c r="H153" i="116"/>
  <c r="H152" i="116"/>
  <c r="E74" i="116"/>
  <c r="F153" i="116"/>
  <c r="F152" i="116"/>
  <c r="D153" i="116"/>
  <c r="D152" i="116"/>
  <c r="I145" i="120" l="1"/>
  <c r="H148" i="120"/>
  <c r="I148" i="120" s="1"/>
  <c r="E208" i="120"/>
  <c r="E211" i="120" s="1"/>
  <c r="L14" i="89"/>
  <c r="AH41" i="34"/>
  <c r="K14" i="89"/>
  <c r="AG41" i="34"/>
  <c r="I145" i="124"/>
  <c r="H148" i="124"/>
  <c r="I148" i="124" s="1"/>
  <c r="E208" i="124"/>
  <c r="G158" i="124"/>
  <c r="G161" i="124" s="1"/>
  <c r="G168" i="124" s="1"/>
  <c r="G169" i="124" s="1"/>
  <c r="G170" i="124" s="1"/>
  <c r="G171" i="124" s="1"/>
  <c r="G172" i="124" s="1"/>
  <c r="G173" i="124" s="1"/>
  <c r="G174" i="124" s="1"/>
  <c r="B158" i="124"/>
  <c r="B161" i="124" s="1"/>
  <c r="B168" i="124" s="1"/>
  <c r="B169" i="124" s="1"/>
  <c r="B170" i="124" s="1"/>
  <c r="B171" i="124" s="1"/>
  <c r="B172" i="124" s="1"/>
  <c r="B173" i="124" s="1"/>
  <c r="B174" i="124" s="1"/>
  <c r="C158" i="124"/>
  <c r="C161" i="124" s="1"/>
  <c r="C168" i="124" s="1"/>
  <c r="C169" i="124" s="1"/>
  <c r="C170" i="124" s="1"/>
  <c r="C171" i="124" s="1"/>
  <c r="C172" i="124" s="1"/>
  <c r="C173" i="124" s="1"/>
  <c r="C174" i="124" s="1"/>
  <c r="H158" i="124"/>
  <c r="H161" i="124" s="1"/>
  <c r="H168" i="124" s="1"/>
  <c r="H169" i="124" s="1"/>
  <c r="H170" i="124" s="1"/>
  <c r="H171" i="124" s="1"/>
  <c r="H172" i="124" s="1"/>
  <c r="H173" i="124" s="1"/>
  <c r="H174" i="124" s="1"/>
  <c r="D158" i="124"/>
  <c r="D161" i="124" s="1"/>
  <c r="D168" i="124" s="1"/>
  <c r="F158" i="124"/>
  <c r="F161" i="124" s="1"/>
  <c r="F168" i="124" s="1"/>
  <c r="P210" i="125"/>
  <c r="W210" i="125" s="1"/>
  <c r="H210" i="125"/>
  <c r="Q210" i="125" s="1"/>
  <c r="V210" i="125" s="1"/>
  <c r="G213" i="125"/>
  <c r="I145" i="125"/>
  <c r="H148" i="125"/>
  <c r="I148" i="125" s="1"/>
  <c r="E208" i="125"/>
  <c r="D158" i="125"/>
  <c r="D161" i="125" s="1"/>
  <c r="D168" i="125" s="1"/>
  <c r="B158" i="125"/>
  <c r="B161" i="125" s="1"/>
  <c r="B168" i="125" s="1"/>
  <c r="B169" i="125" s="1"/>
  <c r="B170" i="125" s="1"/>
  <c r="B171" i="125" s="1"/>
  <c r="B172" i="125" s="1"/>
  <c r="B173" i="125" s="1"/>
  <c r="B174" i="125" s="1"/>
  <c r="C158" i="125"/>
  <c r="C161" i="125" s="1"/>
  <c r="C168" i="125" s="1"/>
  <c r="C169" i="125" s="1"/>
  <c r="C170" i="125" s="1"/>
  <c r="C171" i="125" s="1"/>
  <c r="C172" i="125" s="1"/>
  <c r="C173" i="125" s="1"/>
  <c r="C174" i="125" s="1"/>
  <c r="G158" i="125"/>
  <c r="G161" i="125" s="1"/>
  <c r="G168" i="125" s="1"/>
  <c r="G169" i="125" s="1"/>
  <c r="G170" i="125" s="1"/>
  <c r="G171" i="125" s="1"/>
  <c r="G172" i="125" s="1"/>
  <c r="G173" i="125" s="1"/>
  <c r="G174" i="125" s="1"/>
  <c r="H158" i="125"/>
  <c r="H161" i="125" s="1"/>
  <c r="H168" i="125" s="1"/>
  <c r="H169" i="125" s="1"/>
  <c r="H170" i="125" s="1"/>
  <c r="H171" i="125" s="1"/>
  <c r="H172" i="125" s="1"/>
  <c r="H173" i="125" s="1"/>
  <c r="H174" i="125" s="1"/>
  <c r="F158" i="125"/>
  <c r="F161" i="125" s="1"/>
  <c r="F168" i="125" s="1"/>
  <c r="E158" i="125"/>
  <c r="E161" i="125" s="1"/>
  <c r="E168" i="125" s="1"/>
  <c r="E169" i="125" s="1"/>
  <c r="E170" i="125" s="1"/>
  <c r="E171" i="125" s="1"/>
  <c r="E172" i="125" s="1"/>
  <c r="E173" i="125" s="1"/>
  <c r="E174" i="125" s="1"/>
  <c r="E158" i="124"/>
  <c r="E161" i="124" s="1"/>
  <c r="E168" i="124" s="1"/>
  <c r="E169" i="124" s="1"/>
  <c r="E170" i="124" s="1"/>
  <c r="E171" i="124" s="1"/>
  <c r="E172" i="124" s="1"/>
  <c r="E173" i="124" s="1"/>
  <c r="E174" i="124" s="1"/>
  <c r="E158" i="119"/>
  <c r="E161" i="119" s="1"/>
  <c r="E168" i="119" s="1"/>
  <c r="E169" i="119" s="1"/>
  <c r="E170" i="119" s="1"/>
  <c r="E171" i="119" s="1"/>
  <c r="E172" i="119" s="1"/>
  <c r="E173" i="119" s="1"/>
  <c r="E174" i="119" s="1"/>
  <c r="H158" i="119"/>
  <c r="H161" i="119" s="1"/>
  <c r="H168" i="119" s="1"/>
  <c r="H169" i="119" s="1"/>
  <c r="H170" i="119" s="1"/>
  <c r="H171" i="119" s="1"/>
  <c r="H172" i="119" s="1"/>
  <c r="H173" i="119" s="1"/>
  <c r="H174" i="119" s="1"/>
  <c r="F158" i="119"/>
  <c r="F161" i="119" s="1"/>
  <c r="F168" i="119" s="1"/>
  <c r="F169" i="119" s="1"/>
  <c r="F170" i="119" s="1"/>
  <c r="F171" i="119" s="1"/>
  <c r="F172" i="119" s="1"/>
  <c r="F173" i="119" s="1"/>
  <c r="F174" i="119" s="1"/>
  <c r="G158" i="119"/>
  <c r="G161" i="119" s="1"/>
  <c r="G168" i="119" s="1"/>
  <c r="G169" i="119" s="1"/>
  <c r="G170" i="119" s="1"/>
  <c r="G171" i="119" s="1"/>
  <c r="G172" i="119" s="1"/>
  <c r="G173" i="119" s="1"/>
  <c r="G174" i="119" s="1"/>
  <c r="D158" i="119"/>
  <c r="D161" i="119" s="1"/>
  <c r="D168" i="119" s="1"/>
  <c r="D169" i="119" s="1"/>
  <c r="D170" i="119" s="1"/>
  <c r="D171" i="119" s="1"/>
  <c r="D172" i="119" s="1"/>
  <c r="D173" i="119" s="1"/>
  <c r="D174" i="119" s="1"/>
  <c r="E208" i="119"/>
  <c r="H148" i="119"/>
  <c r="I148" i="119" s="1"/>
  <c r="C158" i="119"/>
  <c r="C161" i="119" s="1"/>
  <c r="C168" i="119" s="1"/>
  <c r="C169" i="119" s="1"/>
  <c r="C170" i="119" s="1"/>
  <c r="C171" i="119" s="1"/>
  <c r="C172" i="119" s="1"/>
  <c r="C173" i="119" s="1"/>
  <c r="C174" i="119" s="1"/>
  <c r="B158" i="119"/>
  <c r="B161" i="119" s="1"/>
  <c r="B168" i="119" s="1"/>
  <c r="B169" i="119" s="1"/>
  <c r="B170" i="119" s="1"/>
  <c r="B171" i="119" s="1"/>
  <c r="B172" i="119" s="1"/>
  <c r="B173" i="119" s="1"/>
  <c r="B174" i="119" s="1"/>
  <c r="G158" i="120"/>
  <c r="G161" i="120" s="1"/>
  <c r="G168" i="120" s="1"/>
  <c r="G169" i="120" s="1"/>
  <c r="G170" i="120" s="1"/>
  <c r="G171" i="120" s="1"/>
  <c r="G172" i="120" s="1"/>
  <c r="G173" i="120" s="1"/>
  <c r="G174" i="120" s="1"/>
  <c r="P210" i="123"/>
  <c r="W210" i="123" s="1"/>
  <c r="H210" i="123"/>
  <c r="Q210" i="123" s="1"/>
  <c r="V210" i="123" s="1"/>
  <c r="G213" i="123"/>
  <c r="H158" i="120"/>
  <c r="H161" i="120" s="1"/>
  <c r="H168" i="120" s="1"/>
  <c r="H169" i="120" s="1"/>
  <c r="H170" i="120" s="1"/>
  <c r="H171" i="120" s="1"/>
  <c r="H172" i="120" s="1"/>
  <c r="H173" i="120" s="1"/>
  <c r="H174" i="120" s="1"/>
  <c r="I145" i="123"/>
  <c r="H148" i="123"/>
  <c r="I148" i="123" s="1"/>
  <c r="E208" i="123"/>
  <c r="D158" i="123"/>
  <c r="D161" i="123" s="1"/>
  <c r="D168" i="123" s="1"/>
  <c r="H158" i="123"/>
  <c r="H161" i="123" s="1"/>
  <c r="H168" i="123" s="1"/>
  <c r="H169" i="123" s="1"/>
  <c r="H170" i="123" s="1"/>
  <c r="H171" i="123" s="1"/>
  <c r="H172" i="123" s="1"/>
  <c r="H173" i="123" s="1"/>
  <c r="H174" i="123" s="1"/>
  <c r="B158" i="123"/>
  <c r="B161" i="123" s="1"/>
  <c r="B168" i="123" s="1"/>
  <c r="B169" i="123" s="1"/>
  <c r="B170" i="123" s="1"/>
  <c r="B171" i="123" s="1"/>
  <c r="B172" i="123" s="1"/>
  <c r="B173" i="123" s="1"/>
  <c r="B174" i="123" s="1"/>
  <c r="F158" i="123"/>
  <c r="F161" i="123" s="1"/>
  <c r="F168" i="123" s="1"/>
  <c r="C158" i="123"/>
  <c r="C161" i="123" s="1"/>
  <c r="C168" i="123" s="1"/>
  <c r="C169" i="123" s="1"/>
  <c r="C170" i="123" s="1"/>
  <c r="C171" i="123" s="1"/>
  <c r="C172" i="123" s="1"/>
  <c r="C173" i="123" s="1"/>
  <c r="C174" i="123" s="1"/>
  <c r="G158" i="123"/>
  <c r="G161" i="123" s="1"/>
  <c r="G168" i="123" s="1"/>
  <c r="G169" i="123" s="1"/>
  <c r="G170" i="123" s="1"/>
  <c r="G171" i="123" s="1"/>
  <c r="G172" i="123" s="1"/>
  <c r="G173" i="123" s="1"/>
  <c r="G174" i="123" s="1"/>
  <c r="E158" i="123"/>
  <c r="E161" i="123" s="1"/>
  <c r="E168" i="123" s="1"/>
  <c r="E169" i="123" s="1"/>
  <c r="E170" i="123" s="1"/>
  <c r="E171" i="123" s="1"/>
  <c r="E172" i="123" s="1"/>
  <c r="E173" i="123" s="1"/>
  <c r="E174" i="123" s="1"/>
  <c r="C158" i="120"/>
  <c r="C161" i="120" s="1"/>
  <c r="C168" i="120" s="1"/>
  <c r="C169" i="120" s="1"/>
  <c r="C170" i="120" s="1"/>
  <c r="C171" i="120" s="1"/>
  <c r="C172" i="120" s="1"/>
  <c r="C173" i="120" s="1"/>
  <c r="C174" i="120" s="1"/>
  <c r="B158" i="120"/>
  <c r="B161" i="120" s="1"/>
  <c r="B168" i="120" s="1"/>
  <c r="B169" i="120" s="1"/>
  <c r="B170" i="120" s="1"/>
  <c r="B171" i="120" s="1"/>
  <c r="B172" i="120" s="1"/>
  <c r="B173" i="120" s="1"/>
  <c r="B174" i="120" s="1"/>
  <c r="F158" i="120"/>
  <c r="F161" i="120" s="1"/>
  <c r="F168" i="120" s="1"/>
  <c r="F169" i="120" s="1"/>
  <c r="F170" i="120" s="1"/>
  <c r="F171" i="120" s="1"/>
  <c r="F172" i="120" s="1"/>
  <c r="F173" i="120" s="1"/>
  <c r="F174" i="120" s="1"/>
  <c r="D158" i="120"/>
  <c r="D161" i="120" s="1"/>
  <c r="D168" i="120" s="1"/>
  <c r="D169" i="120" s="1"/>
  <c r="D170" i="120" s="1"/>
  <c r="D171" i="120" s="1"/>
  <c r="D172" i="120" s="1"/>
  <c r="D173" i="120" s="1"/>
  <c r="D174" i="120" s="1"/>
  <c r="P210" i="122"/>
  <c r="W210" i="122" s="1"/>
  <c r="H210" i="122"/>
  <c r="Q210" i="122" s="1"/>
  <c r="V210" i="122" s="1"/>
  <c r="G213" i="122"/>
  <c r="I145" i="122"/>
  <c r="H148" i="122"/>
  <c r="I148" i="122" s="1"/>
  <c r="E208" i="122"/>
  <c r="F158" i="122"/>
  <c r="F161" i="122" s="1"/>
  <c r="F168" i="122" s="1"/>
  <c r="D158" i="122"/>
  <c r="D161" i="122" s="1"/>
  <c r="D168" i="122" s="1"/>
  <c r="C158" i="122"/>
  <c r="C161" i="122" s="1"/>
  <c r="C168" i="122" s="1"/>
  <c r="C169" i="122" s="1"/>
  <c r="C170" i="122" s="1"/>
  <c r="C171" i="122" s="1"/>
  <c r="C172" i="122" s="1"/>
  <c r="C173" i="122" s="1"/>
  <c r="C174" i="122" s="1"/>
  <c r="B158" i="122"/>
  <c r="B161" i="122" s="1"/>
  <c r="B168" i="122" s="1"/>
  <c r="B169" i="122" s="1"/>
  <c r="B170" i="122" s="1"/>
  <c r="B171" i="122" s="1"/>
  <c r="B172" i="122" s="1"/>
  <c r="B173" i="122" s="1"/>
  <c r="B174" i="122" s="1"/>
  <c r="G158" i="122"/>
  <c r="G161" i="122" s="1"/>
  <c r="G168" i="122" s="1"/>
  <c r="G169" i="122" s="1"/>
  <c r="G170" i="122" s="1"/>
  <c r="G171" i="122" s="1"/>
  <c r="G172" i="122" s="1"/>
  <c r="G173" i="122" s="1"/>
  <c r="G174" i="122" s="1"/>
  <c r="H158" i="122"/>
  <c r="H161" i="122" s="1"/>
  <c r="H168" i="122" s="1"/>
  <c r="H169" i="122" s="1"/>
  <c r="H170" i="122" s="1"/>
  <c r="H171" i="122" s="1"/>
  <c r="H172" i="122" s="1"/>
  <c r="H173" i="122" s="1"/>
  <c r="H174" i="122" s="1"/>
  <c r="E158" i="122"/>
  <c r="E161" i="122" s="1"/>
  <c r="E168" i="122" s="1"/>
  <c r="E169" i="122" s="1"/>
  <c r="E170" i="122" s="1"/>
  <c r="E171" i="122" s="1"/>
  <c r="E172" i="122" s="1"/>
  <c r="E173" i="122" s="1"/>
  <c r="E174" i="122" s="1"/>
  <c r="I145" i="121"/>
  <c r="H148" i="121"/>
  <c r="I148" i="121" s="1"/>
  <c r="E208" i="121"/>
  <c r="C158" i="121"/>
  <c r="C161" i="121" s="1"/>
  <c r="C168" i="121" s="1"/>
  <c r="C169" i="121" s="1"/>
  <c r="C170" i="121" s="1"/>
  <c r="C171" i="121" s="1"/>
  <c r="C172" i="121" s="1"/>
  <c r="C173" i="121" s="1"/>
  <c r="C174" i="121" s="1"/>
  <c r="F158" i="121"/>
  <c r="F161" i="121" s="1"/>
  <c r="F168" i="121" s="1"/>
  <c r="H158" i="121"/>
  <c r="H161" i="121" s="1"/>
  <c r="H168" i="121" s="1"/>
  <c r="H169" i="121" s="1"/>
  <c r="H170" i="121" s="1"/>
  <c r="H171" i="121" s="1"/>
  <c r="H172" i="121" s="1"/>
  <c r="H173" i="121" s="1"/>
  <c r="H174" i="121" s="1"/>
  <c r="D158" i="121"/>
  <c r="D161" i="121" s="1"/>
  <c r="D168" i="121" s="1"/>
  <c r="G158" i="121"/>
  <c r="G161" i="121" s="1"/>
  <c r="G168" i="121" s="1"/>
  <c r="G169" i="121" s="1"/>
  <c r="G170" i="121" s="1"/>
  <c r="G171" i="121" s="1"/>
  <c r="G172" i="121" s="1"/>
  <c r="G173" i="121" s="1"/>
  <c r="G174" i="121" s="1"/>
  <c r="B158" i="121"/>
  <c r="B161" i="121" s="1"/>
  <c r="B168" i="121" s="1"/>
  <c r="B169" i="121" s="1"/>
  <c r="B170" i="121" s="1"/>
  <c r="B171" i="121" s="1"/>
  <c r="B172" i="121" s="1"/>
  <c r="B173" i="121" s="1"/>
  <c r="B174" i="121" s="1"/>
  <c r="E158" i="121"/>
  <c r="E161" i="121" s="1"/>
  <c r="E168" i="121" s="1"/>
  <c r="E169" i="121" s="1"/>
  <c r="E170" i="121" s="1"/>
  <c r="E171" i="121" s="1"/>
  <c r="E172" i="121" s="1"/>
  <c r="E173" i="121" s="1"/>
  <c r="E174" i="121" s="1"/>
  <c r="G208" i="120"/>
  <c r="P210" i="121"/>
  <c r="W210" i="121" s="1"/>
  <c r="H210" i="121"/>
  <c r="Q210" i="121" s="1"/>
  <c r="V210" i="121" s="1"/>
  <c r="G213" i="121"/>
  <c r="P210" i="120"/>
  <c r="W210" i="120" s="1"/>
  <c r="H210" i="120"/>
  <c r="Q210" i="120" s="1"/>
  <c r="V210" i="120" s="1"/>
  <c r="G213" i="120"/>
  <c r="C231" i="119"/>
  <c r="G208" i="119"/>
  <c r="F208" i="119"/>
  <c r="E211" i="119"/>
  <c r="E152" i="116"/>
  <c r="E153" i="116"/>
  <c r="E11" i="68" a="1"/>
  <c r="F208" i="120" l="1"/>
  <c r="C230" i="119"/>
  <c r="K15" i="89"/>
  <c r="AG42" i="34"/>
  <c r="L15" i="89"/>
  <c r="AH42" i="34"/>
  <c r="C230" i="125"/>
  <c r="F169" i="125"/>
  <c r="F170" i="125" s="1"/>
  <c r="F171" i="125" s="1"/>
  <c r="F172" i="125" s="1"/>
  <c r="F173" i="125" s="1"/>
  <c r="F174" i="125" s="1"/>
  <c r="G208" i="125"/>
  <c r="F208" i="125"/>
  <c r="E211" i="125"/>
  <c r="C230" i="124"/>
  <c r="F169" i="124"/>
  <c r="F170" i="124" s="1"/>
  <c r="F171" i="124" s="1"/>
  <c r="F172" i="124" s="1"/>
  <c r="F173" i="124" s="1"/>
  <c r="F174" i="124" s="1"/>
  <c r="C231" i="124"/>
  <c r="D169" i="124"/>
  <c r="D170" i="124" s="1"/>
  <c r="D171" i="124" s="1"/>
  <c r="D172" i="124" s="1"/>
  <c r="D173" i="124" s="1"/>
  <c r="D174" i="124" s="1"/>
  <c r="E211" i="124"/>
  <c r="G208" i="124"/>
  <c r="F208" i="124"/>
  <c r="C231" i="125"/>
  <c r="D169" i="125"/>
  <c r="D170" i="125" s="1"/>
  <c r="D171" i="125" s="1"/>
  <c r="D172" i="125" s="1"/>
  <c r="D173" i="125" s="1"/>
  <c r="D174" i="125" s="1"/>
  <c r="C230" i="120"/>
  <c r="G208" i="123"/>
  <c r="F208" i="123"/>
  <c r="E211" i="123"/>
  <c r="C231" i="120"/>
  <c r="C231" i="123"/>
  <c r="D169" i="123"/>
  <c r="D170" i="123" s="1"/>
  <c r="D171" i="123" s="1"/>
  <c r="D172" i="123" s="1"/>
  <c r="D173" i="123" s="1"/>
  <c r="D174" i="123" s="1"/>
  <c r="C230" i="123"/>
  <c r="F169" i="123"/>
  <c r="F170" i="123" s="1"/>
  <c r="F171" i="123" s="1"/>
  <c r="F172" i="123" s="1"/>
  <c r="F173" i="123" s="1"/>
  <c r="F174" i="123" s="1"/>
  <c r="E11" i="68"/>
  <c r="C230" i="122"/>
  <c r="F169" i="122"/>
  <c r="F170" i="122" s="1"/>
  <c r="F171" i="122" s="1"/>
  <c r="F172" i="122" s="1"/>
  <c r="F173" i="122" s="1"/>
  <c r="F174" i="122" s="1"/>
  <c r="G208" i="122"/>
  <c r="F208" i="122"/>
  <c r="E211" i="122"/>
  <c r="C231" i="122"/>
  <c r="D169" i="122"/>
  <c r="D170" i="122" s="1"/>
  <c r="D171" i="122" s="1"/>
  <c r="D172" i="122" s="1"/>
  <c r="D173" i="122" s="1"/>
  <c r="D174" i="122" s="1"/>
  <c r="P208" i="120"/>
  <c r="H208" i="120"/>
  <c r="Q208" i="120" s="1"/>
  <c r="V208" i="120" s="1"/>
  <c r="G211" i="120"/>
  <c r="C230" i="121"/>
  <c r="F169" i="121"/>
  <c r="F170" i="121" s="1"/>
  <c r="F171" i="121" s="1"/>
  <c r="F172" i="121" s="1"/>
  <c r="F173" i="121" s="1"/>
  <c r="F174" i="121" s="1"/>
  <c r="C231" i="121"/>
  <c r="D169" i="121"/>
  <c r="D170" i="121" s="1"/>
  <c r="D171" i="121" s="1"/>
  <c r="D172" i="121" s="1"/>
  <c r="D173" i="121" s="1"/>
  <c r="D174" i="121" s="1"/>
  <c r="G208" i="121"/>
  <c r="F208" i="121"/>
  <c r="E211" i="121"/>
  <c r="P208" i="119"/>
  <c r="H208" i="119"/>
  <c r="Q208" i="119" s="1"/>
  <c r="V208" i="119" s="1"/>
  <c r="G211" i="119"/>
  <c r="D231" i="115"/>
  <c r="D230" i="115"/>
  <c r="T209" i="115"/>
  <c r="T208" i="115"/>
  <c r="B192" i="115"/>
  <c r="B210" i="115" s="1"/>
  <c r="T191" i="115"/>
  <c r="B191" i="115"/>
  <c r="B209" i="115" s="1"/>
  <c r="U209" i="115" s="1"/>
  <c r="T190" i="115"/>
  <c r="B190" i="115"/>
  <c r="B208" i="115" s="1"/>
  <c r="A174" i="115"/>
  <c r="A173" i="115"/>
  <c r="A172" i="115"/>
  <c r="A171" i="115"/>
  <c r="A170" i="115"/>
  <c r="A169" i="115"/>
  <c r="A168" i="115"/>
  <c r="B156" i="115"/>
  <c r="B140" i="115"/>
  <c r="D138" i="115"/>
  <c r="F138" i="115" s="1"/>
  <c r="E129" i="115"/>
  <c r="E125" i="115"/>
  <c r="D121" i="115"/>
  <c r="D119" i="115"/>
  <c r="B100" i="115"/>
  <c r="B85" i="115"/>
  <c r="B68" i="115"/>
  <c r="E55" i="115"/>
  <c r="C55" i="115"/>
  <c r="B22" i="115"/>
  <c r="D19" i="115"/>
  <c r="D18" i="115"/>
  <c r="C60" i="115" s="1"/>
  <c r="E60" i="115" s="1"/>
  <c r="B5" i="115"/>
  <c r="C61" i="115" s="1"/>
  <c r="E61" i="115" s="1"/>
  <c r="E62" i="115" s="1"/>
  <c r="D120" i="113"/>
  <c r="D121" i="113" s="1"/>
  <c r="O68" i="57"/>
  <c r="N67" i="57"/>
  <c r="S36" i="57"/>
  <c r="H17" i="115" s="1"/>
  <c r="Z8" i="57"/>
  <c r="W12" i="57" s="1"/>
  <c r="W28" i="57"/>
  <c r="F9" i="57"/>
  <c r="B68" i="113"/>
  <c r="T208" i="113"/>
  <c r="B190" i="113"/>
  <c r="B208" i="113" s="1"/>
  <c r="U208" i="113" s="1"/>
  <c r="D90" i="113"/>
  <c r="T209" i="113"/>
  <c r="B191" i="113"/>
  <c r="D91" i="113"/>
  <c r="D138" i="113"/>
  <c r="F138" i="113"/>
  <c r="T190" i="113"/>
  <c r="T191" i="113"/>
  <c r="B5" i="113"/>
  <c r="C61" i="113" s="1"/>
  <c r="E61" i="113" s="1"/>
  <c r="E62" i="113" s="1"/>
  <c r="D18" i="113"/>
  <c r="C55" i="113"/>
  <c r="E55" i="113"/>
  <c r="C60" i="113"/>
  <c r="E60" i="113"/>
  <c r="D231" i="113"/>
  <c r="D230" i="113"/>
  <c r="B192" i="113"/>
  <c r="B210" i="113" s="1"/>
  <c r="A174" i="113"/>
  <c r="A173" i="113"/>
  <c r="A172" i="113"/>
  <c r="A171" i="113"/>
  <c r="A170" i="113"/>
  <c r="A169" i="113"/>
  <c r="A168" i="113"/>
  <c r="B156" i="113"/>
  <c r="B140" i="113"/>
  <c r="E129" i="113"/>
  <c r="E125" i="113"/>
  <c r="D119" i="113"/>
  <c r="B100" i="113"/>
  <c r="B85" i="113"/>
  <c r="B22" i="113"/>
  <c r="D19" i="113"/>
  <c r="H17" i="113"/>
  <c r="D89" i="88"/>
  <c r="D90" i="88"/>
  <c r="H17" i="88"/>
  <c r="U72" i="93"/>
  <c r="U72" i="94"/>
  <c r="U72" i="95"/>
  <c r="U72" i="96"/>
  <c r="U72" i="97"/>
  <c r="U72" i="98"/>
  <c r="U72" i="99"/>
  <c r="U72" i="100"/>
  <c r="U72" i="101"/>
  <c r="U72" i="92"/>
  <c r="U72" i="91"/>
  <c r="D91" i="88"/>
  <c r="S9" i="57"/>
  <c r="E12" i="57"/>
  <c r="E19" i="57"/>
  <c r="W13" i="57"/>
  <c r="W29" i="57"/>
  <c r="I55" i="57"/>
  <c r="I56" i="57"/>
  <c r="I62" i="57"/>
  <c r="I61" i="57"/>
  <c r="W11" i="57"/>
  <c r="W27" i="57"/>
  <c r="E73" i="57"/>
  <c r="O38" i="57"/>
  <c r="E71" i="57"/>
  <c r="I63" i="57"/>
  <c r="E10" i="57"/>
  <c r="E6" i="57"/>
  <c r="E7" i="57"/>
  <c r="S37" i="57"/>
  <c r="B190" i="88"/>
  <c r="B191" i="88"/>
  <c r="U191" i="88" s="1"/>
  <c r="C220" i="88"/>
  <c r="I60" i="57"/>
  <c r="O42" i="57"/>
  <c r="F3" i="68"/>
  <c r="B156" i="88"/>
  <c r="AG35" i="34"/>
  <c r="AJ35" i="34"/>
  <c r="AG34" i="34"/>
  <c r="AG33" i="34"/>
  <c r="AG32" i="34"/>
  <c r="AG31" i="34"/>
  <c r="AG30" i="34"/>
  <c r="AG27" i="34"/>
  <c r="AG28" i="34"/>
  <c r="AG29" i="34"/>
  <c r="AG26" i="34"/>
  <c r="AG25" i="34"/>
  <c r="AG24" i="34"/>
  <c r="AG23" i="34"/>
  <c r="AG22" i="34"/>
  <c r="AG21" i="34"/>
  <c r="AG20" i="34"/>
  <c r="AG19" i="34"/>
  <c r="AG18" i="34"/>
  <c r="AG17" i="34"/>
  <c r="AG16" i="34"/>
  <c r="W27" i="34"/>
  <c r="O25" i="34"/>
  <c r="O26" i="34"/>
  <c r="B25" i="34"/>
  <c r="V25" i="34" s="1"/>
  <c r="B24" i="34"/>
  <c r="V24" i="34" s="1"/>
  <c r="W24" i="34" s="1"/>
  <c r="B23" i="34"/>
  <c r="V23" i="34" s="1"/>
  <c r="W23" i="34" s="1"/>
  <c r="W22" i="34"/>
  <c r="W21" i="34"/>
  <c r="W20" i="34"/>
  <c r="W19" i="34"/>
  <c r="W18" i="34"/>
  <c r="W17" i="34"/>
  <c r="W16" i="34"/>
  <c r="N25" i="34"/>
  <c r="N26" i="34" s="1"/>
  <c r="E18" i="57" s="1"/>
  <c r="H53" i="57"/>
  <c r="AE80" i="92"/>
  <c r="AD80" i="92"/>
  <c r="AC80" i="92"/>
  <c r="U80" i="92"/>
  <c r="T80" i="92"/>
  <c r="S80" i="92"/>
  <c r="R80" i="92"/>
  <c r="Q80" i="92"/>
  <c r="AB80" i="92"/>
  <c r="P80" i="92"/>
  <c r="AA80" i="92"/>
  <c r="O80" i="92"/>
  <c r="Z80" i="92"/>
  <c r="N80" i="92"/>
  <c r="Y80" i="92"/>
  <c r="V79" i="92"/>
  <c r="V83" i="92"/>
  <c r="V84" i="92" s="1"/>
  <c r="U79" i="92"/>
  <c r="Z79" i="92"/>
  <c r="T79" i="92"/>
  <c r="AE79" i="92"/>
  <c r="S79" i="92"/>
  <c r="AD79" i="92"/>
  <c r="R79" i="92"/>
  <c r="AC79" i="92"/>
  <c r="Q79" i="92"/>
  <c r="P79" i="92"/>
  <c r="AA79" i="92"/>
  <c r="O79" i="92"/>
  <c r="N79" i="92"/>
  <c r="Y79" i="92"/>
  <c r="AA78" i="92"/>
  <c r="Z78" i="92"/>
  <c r="Y78" i="92"/>
  <c r="V78" i="92"/>
  <c r="U78" i="92"/>
  <c r="AD78" i="92"/>
  <c r="T78" i="92"/>
  <c r="AE78" i="92"/>
  <c r="S78" i="92"/>
  <c r="R78" i="92"/>
  <c r="AC78" i="92"/>
  <c r="Q78" i="92"/>
  <c r="P78" i="92"/>
  <c r="O78" i="92"/>
  <c r="N78" i="92"/>
  <c r="AE77" i="92"/>
  <c r="AD77" i="92"/>
  <c r="AC77" i="92"/>
  <c r="AB77" i="92"/>
  <c r="U77" i="92"/>
  <c r="U81" i="92"/>
  <c r="T77" i="92"/>
  <c r="T81" i="92"/>
  <c r="AE81" i="92"/>
  <c r="S77" i="92"/>
  <c r="R77" i="92"/>
  <c r="R81" i="92"/>
  <c r="AC81" i="92"/>
  <c r="Q77" i="92"/>
  <c r="Q81" i="92"/>
  <c r="AB81" i="92"/>
  <c r="P77" i="92"/>
  <c r="P81" i="92"/>
  <c r="AA81" i="92"/>
  <c r="O77" i="92"/>
  <c r="O81" i="92"/>
  <c r="Z81" i="92"/>
  <c r="N77" i="92"/>
  <c r="N81" i="92"/>
  <c r="Y81" i="92"/>
  <c r="V83" i="93"/>
  <c r="V84" i="93" s="1"/>
  <c r="S81" i="93"/>
  <c r="R81" i="93"/>
  <c r="U80" i="93"/>
  <c r="AC80" i="93"/>
  <c r="T80" i="93"/>
  <c r="AE80" i="93"/>
  <c r="S80" i="93"/>
  <c r="AD80" i="93"/>
  <c r="R80" i="93"/>
  <c r="Q80" i="93"/>
  <c r="AB80" i="93"/>
  <c r="P80" i="93"/>
  <c r="O80" i="93"/>
  <c r="N80" i="93"/>
  <c r="AD79" i="93"/>
  <c r="AC79" i="93"/>
  <c r="AB79" i="93"/>
  <c r="AA79" i="93"/>
  <c r="V79" i="93"/>
  <c r="U79" i="93"/>
  <c r="AE79" i="93"/>
  <c r="T79" i="93"/>
  <c r="S79" i="93"/>
  <c r="R79" i="93"/>
  <c r="Q79" i="93"/>
  <c r="P79" i="93"/>
  <c r="O79" i="93"/>
  <c r="Z79" i="93"/>
  <c r="N79" i="93"/>
  <c r="Y79" i="93"/>
  <c r="AE78" i="93"/>
  <c r="AA78" i="93"/>
  <c r="Y78" i="93"/>
  <c r="V78" i="93"/>
  <c r="U78" i="93"/>
  <c r="T78" i="93"/>
  <c r="S78" i="93"/>
  <c r="AD78" i="93"/>
  <c r="R78" i="93"/>
  <c r="AC78" i="93"/>
  <c r="Q78" i="93"/>
  <c r="Q81" i="93"/>
  <c r="P78" i="93"/>
  <c r="O78" i="93"/>
  <c r="Z78" i="93"/>
  <c r="N78" i="93"/>
  <c r="U77" i="93"/>
  <c r="Y77" i="93"/>
  <c r="T77" i="93"/>
  <c r="T81" i="93"/>
  <c r="S77" i="93"/>
  <c r="AD77" i="93"/>
  <c r="R77" i="93"/>
  <c r="AC77" i="93"/>
  <c r="Q77" i="93"/>
  <c r="P77" i="93"/>
  <c r="AA77" i="93"/>
  <c r="O77" i="93"/>
  <c r="O81" i="93"/>
  <c r="N77" i="93"/>
  <c r="N81" i="94"/>
  <c r="AE80" i="94"/>
  <c r="U80" i="94"/>
  <c r="T80" i="94"/>
  <c r="S80" i="94"/>
  <c r="AD80" i="94"/>
  <c r="R80" i="94"/>
  <c r="AC80" i="94"/>
  <c r="Q80" i="94"/>
  <c r="AB80" i="94"/>
  <c r="P80" i="94"/>
  <c r="AA80" i="94"/>
  <c r="O80" i="94"/>
  <c r="Z80" i="94"/>
  <c r="N80" i="94"/>
  <c r="Y80" i="94"/>
  <c r="V79" i="94"/>
  <c r="V83" i="94"/>
  <c r="V84" i="94" s="1"/>
  <c r="U79" i="94"/>
  <c r="AB79" i="94"/>
  <c r="T79" i="94"/>
  <c r="AE79" i="94"/>
  <c r="S79" i="94"/>
  <c r="S81" i="94"/>
  <c r="R79" i="94"/>
  <c r="AC79" i="94"/>
  <c r="Q79" i="94"/>
  <c r="P79" i="94"/>
  <c r="AA79" i="94"/>
  <c r="O79" i="94"/>
  <c r="N79" i="94"/>
  <c r="AD78" i="94"/>
  <c r="AC78" i="94"/>
  <c r="AB78" i="94"/>
  <c r="AA78" i="94"/>
  <c r="Z78" i="94"/>
  <c r="V78" i="94"/>
  <c r="U78" i="94"/>
  <c r="T78" i="94"/>
  <c r="AE78" i="94"/>
  <c r="S78" i="94"/>
  <c r="R78" i="94"/>
  <c r="Q78" i="94"/>
  <c r="P78" i="94"/>
  <c r="O78" i="94"/>
  <c r="N78" i="94"/>
  <c r="Y78" i="94"/>
  <c r="AE77" i="94"/>
  <c r="AD77" i="94"/>
  <c r="U77" i="94"/>
  <c r="T77" i="94"/>
  <c r="T81" i="94"/>
  <c r="S77" i="94"/>
  <c r="R77" i="94"/>
  <c r="R81" i="94"/>
  <c r="Q77" i="94"/>
  <c r="Q81" i="94"/>
  <c r="P77" i="94"/>
  <c r="AA77" i="94"/>
  <c r="O77" i="94"/>
  <c r="O81" i="94"/>
  <c r="N77" i="94"/>
  <c r="Y77" i="94"/>
  <c r="U81" i="95"/>
  <c r="T81" i="95"/>
  <c r="AE81" i="95"/>
  <c r="AC80" i="95"/>
  <c r="AB80" i="95"/>
  <c r="AA80" i="95"/>
  <c r="Z80" i="95"/>
  <c r="U80" i="95"/>
  <c r="AE80" i="95"/>
  <c r="T80" i="95"/>
  <c r="S80" i="95"/>
  <c r="AD80" i="95"/>
  <c r="R80" i="95"/>
  <c r="Q80" i="95"/>
  <c r="P80" i="95"/>
  <c r="O80" i="95"/>
  <c r="N80" i="95"/>
  <c r="Y80" i="95"/>
  <c r="AE79" i="95"/>
  <c r="AD79" i="95"/>
  <c r="AC79" i="95"/>
  <c r="V79" i="95"/>
  <c r="V83" i="95"/>
  <c r="V84" i="95" s="1"/>
  <c r="U79" i="95"/>
  <c r="T79" i="95"/>
  <c r="S79" i="95"/>
  <c r="R79" i="95"/>
  <c r="Q79" i="95"/>
  <c r="AB79" i="95"/>
  <c r="P79" i="95"/>
  <c r="AA79" i="95"/>
  <c r="O79" i="95"/>
  <c r="Z79" i="95"/>
  <c r="N79" i="95"/>
  <c r="N81" i="95"/>
  <c r="Y81" i="95"/>
  <c r="V78" i="95"/>
  <c r="U78" i="95"/>
  <c r="AA78" i="95"/>
  <c r="T78" i="95"/>
  <c r="AE78" i="95"/>
  <c r="S78" i="95"/>
  <c r="S81" i="95"/>
  <c r="AD81" i="95"/>
  <c r="R78" i="95"/>
  <c r="AC78" i="95"/>
  <c r="Q78" i="95"/>
  <c r="AB78" i="95"/>
  <c r="P78" i="95"/>
  <c r="O78" i="95"/>
  <c r="Z78" i="95"/>
  <c r="N78" i="95"/>
  <c r="AB77" i="95"/>
  <c r="AA77" i="95"/>
  <c r="Z77" i="95"/>
  <c r="Y77" i="95"/>
  <c r="U77" i="95"/>
  <c r="AD77" i="95"/>
  <c r="T77" i="95"/>
  <c r="AE77" i="95"/>
  <c r="S77" i="95"/>
  <c r="R77" i="95"/>
  <c r="AC77" i="95"/>
  <c r="Q77" i="95"/>
  <c r="Q81" i="95"/>
  <c r="AB81" i="95"/>
  <c r="P77" i="95"/>
  <c r="O77" i="95"/>
  <c r="O81" i="95"/>
  <c r="Z81" i="95"/>
  <c r="N77" i="95"/>
  <c r="P81" i="96"/>
  <c r="AA81" i="96"/>
  <c r="O81" i="96"/>
  <c r="U80" i="96"/>
  <c r="Z80" i="96"/>
  <c r="T80" i="96"/>
  <c r="AE80" i="96"/>
  <c r="S80" i="96"/>
  <c r="AD80" i="96"/>
  <c r="R80" i="96"/>
  <c r="AC80" i="96"/>
  <c r="Q80" i="96"/>
  <c r="AB80" i="96"/>
  <c r="P80" i="96"/>
  <c r="AA80" i="96"/>
  <c r="O80" i="96"/>
  <c r="N80" i="96"/>
  <c r="Y80" i="96"/>
  <c r="AA79" i="96"/>
  <c r="Z79" i="96"/>
  <c r="Y79" i="96"/>
  <c r="V79" i="96"/>
  <c r="V83" i="96"/>
  <c r="V84" i="96" s="1"/>
  <c r="U79" i="96"/>
  <c r="U81" i="96"/>
  <c r="T79" i="96"/>
  <c r="AE79" i="96"/>
  <c r="S79" i="96"/>
  <c r="R79" i="96"/>
  <c r="AC79" i="96"/>
  <c r="Q79" i="96"/>
  <c r="P79" i="96"/>
  <c r="O79" i="96"/>
  <c r="N79" i="96"/>
  <c r="AE78" i="96"/>
  <c r="AD78" i="96"/>
  <c r="AC78" i="96"/>
  <c r="AB78" i="96"/>
  <c r="V78" i="96"/>
  <c r="U78" i="96"/>
  <c r="T78" i="96"/>
  <c r="S78" i="96"/>
  <c r="R78" i="96"/>
  <c r="Q78" i="96"/>
  <c r="P78" i="96"/>
  <c r="AA78" i="96"/>
  <c r="O78" i="96"/>
  <c r="Z78" i="96"/>
  <c r="N78" i="96"/>
  <c r="N81" i="96"/>
  <c r="Y81" i="96"/>
  <c r="Y77" i="96"/>
  <c r="U77" i="96"/>
  <c r="T77" i="96"/>
  <c r="T81" i="96"/>
  <c r="S77" i="96"/>
  <c r="S81" i="96"/>
  <c r="R77" i="96"/>
  <c r="R81" i="96"/>
  <c r="AC81" i="96"/>
  <c r="Q77" i="96"/>
  <c r="Q81" i="96"/>
  <c r="AB81" i="96"/>
  <c r="P77" i="96"/>
  <c r="AA77" i="96"/>
  <c r="O77" i="96"/>
  <c r="Z77" i="96"/>
  <c r="N77" i="96"/>
  <c r="AE80" i="97"/>
  <c r="AD80" i="97"/>
  <c r="AC80" i="97"/>
  <c r="AB80" i="97"/>
  <c r="U80" i="97"/>
  <c r="T80" i="97"/>
  <c r="S80" i="97"/>
  <c r="R80" i="97"/>
  <c r="Q80" i="97"/>
  <c r="P80" i="97"/>
  <c r="AA80" i="97"/>
  <c r="O80" i="97"/>
  <c r="Z80" i="97"/>
  <c r="N80" i="97"/>
  <c r="Y80" i="97"/>
  <c r="AE79" i="97"/>
  <c r="Y79" i="97"/>
  <c r="V79" i="97"/>
  <c r="V83" i="97"/>
  <c r="V84" i="97" s="1"/>
  <c r="U79" i="97"/>
  <c r="T79" i="97"/>
  <c r="S79" i="97"/>
  <c r="AD79" i="97"/>
  <c r="R79" i="97"/>
  <c r="AC79" i="97"/>
  <c r="Q79" i="97"/>
  <c r="AB79" i="97"/>
  <c r="P79" i="97"/>
  <c r="P81" i="97"/>
  <c r="O79" i="97"/>
  <c r="Z79" i="97"/>
  <c r="N79" i="97"/>
  <c r="V78" i="97"/>
  <c r="U78" i="97"/>
  <c r="AC78" i="97"/>
  <c r="T78" i="97"/>
  <c r="AE78" i="97"/>
  <c r="S78" i="97"/>
  <c r="AD78" i="97"/>
  <c r="R78" i="97"/>
  <c r="Q78" i="97"/>
  <c r="AB78" i="97"/>
  <c r="P78" i="97"/>
  <c r="O78" i="97"/>
  <c r="N78" i="97"/>
  <c r="AD77" i="97"/>
  <c r="AC77" i="97"/>
  <c r="AB77" i="97"/>
  <c r="AA77" i="97"/>
  <c r="U77" i="97"/>
  <c r="T77" i="97"/>
  <c r="AE77" i="97"/>
  <c r="S77" i="97"/>
  <c r="S81" i="97"/>
  <c r="R77" i="97"/>
  <c r="R81" i="97"/>
  <c r="Q77" i="97"/>
  <c r="Q81" i="97"/>
  <c r="P77" i="97"/>
  <c r="O77" i="97"/>
  <c r="O81" i="97"/>
  <c r="N77" i="97"/>
  <c r="N81" i="97"/>
  <c r="V83" i="98"/>
  <c r="V84" i="98" s="1"/>
  <c r="R81" i="98"/>
  <c r="Q81" i="98"/>
  <c r="U80" i="98"/>
  <c r="AB80" i="98"/>
  <c r="T80" i="98"/>
  <c r="AE80" i="98"/>
  <c r="S80" i="98"/>
  <c r="AD80" i="98"/>
  <c r="R80" i="98"/>
  <c r="AC80" i="98"/>
  <c r="Q80" i="98"/>
  <c r="P80" i="98"/>
  <c r="AA80" i="98"/>
  <c r="O80" i="98"/>
  <c r="N80" i="98"/>
  <c r="AD79" i="98"/>
  <c r="AC79" i="98"/>
  <c r="AB79" i="98"/>
  <c r="AA79" i="98"/>
  <c r="Z79" i="98"/>
  <c r="V79" i="98"/>
  <c r="U79" i="98"/>
  <c r="T79" i="98"/>
  <c r="AE79" i="98"/>
  <c r="S79" i="98"/>
  <c r="R79" i="98"/>
  <c r="Q79" i="98"/>
  <c r="P79" i="98"/>
  <c r="O79" i="98"/>
  <c r="N79" i="98"/>
  <c r="Y79" i="98"/>
  <c r="AE78" i="98"/>
  <c r="AD78" i="98"/>
  <c r="V78" i="98"/>
  <c r="U78" i="98"/>
  <c r="T78" i="98"/>
  <c r="S78" i="98"/>
  <c r="R78" i="98"/>
  <c r="AC78" i="98"/>
  <c r="Q78" i="98"/>
  <c r="AB78" i="98"/>
  <c r="P78" i="98"/>
  <c r="P81" i="98"/>
  <c r="O78" i="98"/>
  <c r="Z78" i="98"/>
  <c r="N78" i="98"/>
  <c r="Y78" i="98"/>
  <c r="U77" i="98"/>
  <c r="AA77" i="98"/>
  <c r="T77" i="98"/>
  <c r="AE77" i="98"/>
  <c r="S77" i="98"/>
  <c r="AD77" i="98"/>
  <c r="R77" i="98"/>
  <c r="AC77" i="98"/>
  <c r="Q77" i="98"/>
  <c r="AB77" i="98"/>
  <c r="P77" i="98"/>
  <c r="O77" i="98"/>
  <c r="Z77" i="98"/>
  <c r="N77" i="98"/>
  <c r="N81" i="98"/>
  <c r="AE80" i="99"/>
  <c r="AD80" i="99"/>
  <c r="U80" i="99"/>
  <c r="T80" i="99"/>
  <c r="S80" i="99"/>
  <c r="R80" i="99"/>
  <c r="AC80" i="99"/>
  <c r="Q80" i="99"/>
  <c r="AB80" i="99"/>
  <c r="P80" i="99"/>
  <c r="AA80" i="99"/>
  <c r="O80" i="99"/>
  <c r="Z80" i="99"/>
  <c r="N80" i="99"/>
  <c r="Y80" i="99"/>
  <c r="V79" i="99"/>
  <c r="V83" i="99"/>
  <c r="V84" i="99" s="1"/>
  <c r="U79" i="99"/>
  <c r="AA79" i="99"/>
  <c r="T79" i="99"/>
  <c r="AE79" i="99"/>
  <c r="S79" i="99"/>
  <c r="AD79" i="99"/>
  <c r="R79" i="99"/>
  <c r="R81" i="99"/>
  <c r="AC81" i="99"/>
  <c r="Q79" i="99"/>
  <c r="AB79" i="99"/>
  <c r="P79" i="99"/>
  <c r="O79" i="99"/>
  <c r="Z79" i="99"/>
  <c r="N79" i="99"/>
  <c r="AB78" i="99"/>
  <c r="AA78" i="99"/>
  <c r="Z78" i="99"/>
  <c r="Y78" i="99"/>
  <c r="V78" i="99"/>
  <c r="U78" i="99"/>
  <c r="AE78" i="99"/>
  <c r="T78" i="99"/>
  <c r="S78" i="99"/>
  <c r="AD78" i="99"/>
  <c r="R78" i="99"/>
  <c r="Q78" i="99"/>
  <c r="P78" i="99"/>
  <c r="O78" i="99"/>
  <c r="N78" i="99"/>
  <c r="AE77" i="99"/>
  <c r="AD77" i="99"/>
  <c r="AC77" i="99"/>
  <c r="U77" i="99"/>
  <c r="U81" i="99"/>
  <c r="T77" i="99"/>
  <c r="T81" i="99"/>
  <c r="AE81" i="99"/>
  <c r="S77" i="99"/>
  <c r="S81" i="99"/>
  <c r="R77" i="99"/>
  <c r="Q77" i="99"/>
  <c r="Q81" i="99"/>
  <c r="AB81" i="99"/>
  <c r="P77" i="99"/>
  <c r="P81" i="99"/>
  <c r="AA81" i="99"/>
  <c r="O77" i="99"/>
  <c r="Z77" i="99"/>
  <c r="N77" i="99"/>
  <c r="N81" i="99"/>
  <c r="V83" i="100"/>
  <c r="V84" i="100" s="1"/>
  <c r="T81" i="100"/>
  <c r="S81" i="100"/>
  <c r="AA80" i="100"/>
  <c r="Z80" i="100"/>
  <c r="Y80" i="100"/>
  <c r="U80" i="100"/>
  <c r="AB80" i="100"/>
  <c r="T80" i="100"/>
  <c r="AE80" i="100"/>
  <c r="S80" i="100"/>
  <c r="R80" i="100"/>
  <c r="AC80" i="100"/>
  <c r="Q80" i="100"/>
  <c r="P80" i="100"/>
  <c r="O80" i="100"/>
  <c r="N80" i="100"/>
  <c r="AE79" i="100"/>
  <c r="AD79" i="100"/>
  <c r="AC79" i="100"/>
  <c r="AB79" i="100"/>
  <c r="V79" i="100"/>
  <c r="U79" i="100"/>
  <c r="T79" i="100"/>
  <c r="S79" i="100"/>
  <c r="R79" i="100"/>
  <c r="Q79" i="100"/>
  <c r="P79" i="100"/>
  <c r="AA79" i="100"/>
  <c r="O79" i="100"/>
  <c r="Z79" i="100"/>
  <c r="N79" i="100"/>
  <c r="Y79" i="100"/>
  <c r="V78" i="100"/>
  <c r="U78" i="100"/>
  <c r="Z78" i="100"/>
  <c r="T78" i="100"/>
  <c r="AE78" i="100"/>
  <c r="S78" i="100"/>
  <c r="AD78" i="100"/>
  <c r="R78" i="100"/>
  <c r="R81" i="100"/>
  <c r="Q78" i="100"/>
  <c r="Q81" i="100"/>
  <c r="P78" i="100"/>
  <c r="AA78" i="100"/>
  <c r="O78" i="100"/>
  <c r="N78" i="100"/>
  <c r="Y78" i="100"/>
  <c r="U77" i="100"/>
  <c r="AA77" i="100"/>
  <c r="T77" i="100"/>
  <c r="AE77" i="100"/>
  <c r="S77" i="100"/>
  <c r="AD77" i="100"/>
  <c r="R77" i="100"/>
  <c r="Q77" i="100"/>
  <c r="AB77" i="100"/>
  <c r="P77" i="100"/>
  <c r="P81" i="100"/>
  <c r="O77" i="100"/>
  <c r="O81" i="100"/>
  <c r="N77" i="100"/>
  <c r="N81" i="100"/>
  <c r="O81" i="101"/>
  <c r="Z81" i="101"/>
  <c r="N81" i="101"/>
  <c r="Y81" i="101"/>
  <c r="AE80" i="101"/>
  <c r="U80" i="101"/>
  <c r="Y80" i="101"/>
  <c r="T80" i="101"/>
  <c r="S80" i="101"/>
  <c r="AD80" i="101"/>
  <c r="R80" i="101"/>
  <c r="AC80" i="101"/>
  <c r="Q80" i="101"/>
  <c r="AB80" i="101"/>
  <c r="P80" i="101"/>
  <c r="AA80" i="101"/>
  <c r="O80" i="101"/>
  <c r="Z80" i="101"/>
  <c r="N80" i="101"/>
  <c r="V79" i="101"/>
  <c r="V83" i="101"/>
  <c r="V84" i="101" s="1"/>
  <c r="U79" i="101"/>
  <c r="AC79" i="101"/>
  <c r="T79" i="101"/>
  <c r="T81" i="101"/>
  <c r="AE81" i="101"/>
  <c r="S79" i="101"/>
  <c r="AD79" i="101"/>
  <c r="R79" i="101"/>
  <c r="Q79" i="101"/>
  <c r="AB79" i="101"/>
  <c r="P79" i="101"/>
  <c r="O79" i="101"/>
  <c r="N79" i="101"/>
  <c r="AD78" i="101"/>
  <c r="AC78" i="101"/>
  <c r="AB78" i="101"/>
  <c r="AA78" i="101"/>
  <c r="V78" i="101"/>
  <c r="U78" i="101"/>
  <c r="AE78" i="101"/>
  <c r="T78" i="101"/>
  <c r="S78" i="101"/>
  <c r="R78" i="101"/>
  <c r="Q78" i="101"/>
  <c r="P78" i="101"/>
  <c r="O78" i="101"/>
  <c r="Z78" i="101"/>
  <c r="N78" i="101"/>
  <c r="Y78" i="101"/>
  <c r="AE77" i="101"/>
  <c r="AD77" i="101"/>
  <c r="U77" i="101"/>
  <c r="U81" i="101"/>
  <c r="T77" i="101"/>
  <c r="S77" i="101"/>
  <c r="S81" i="101"/>
  <c r="AD81" i="101"/>
  <c r="R77" i="101"/>
  <c r="R81" i="101"/>
  <c r="Q77" i="101"/>
  <c r="AB77" i="101"/>
  <c r="P77" i="101"/>
  <c r="P81" i="101"/>
  <c r="O77" i="101"/>
  <c r="Z77" i="101"/>
  <c r="N77" i="101"/>
  <c r="Y77" i="101"/>
  <c r="U81" i="91"/>
  <c r="AD80" i="91"/>
  <c r="AC80" i="91"/>
  <c r="AB80" i="91"/>
  <c r="AA80" i="91"/>
  <c r="Z80" i="91"/>
  <c r="U80" i="91"/>
  <c r="T80" i="91"/>
  <c r="AE80" i="91"/>
  <c r="S80" i="91"/>
  <c r="R80" i="91"/>
  <c r="Q80" i="91"/>
  <c r="P80" i="91"/>
  <c r="O80" i="91"/>
  <c r="N80" i="91"/>
  <c r="Y80" i="91"/>
  <c r="AE79" i="91"/>
  <c r="AD79" i="91"/>
  <c r="V79" i="91"/>
  <c r="V83" i="91"/>
  <c r="V84" i="91" s="1"/>
  <c r="U79" i="91"/>
  <c r="T79" i="91"/>
  <c r="S79" i="91"/>
  <c r="R79" i="91"/>
  <c r="AC79" i="91"/>
  <c r="Q79" i="91"/>
  <c r="AB79" i="91"/>
  <c r="P79" i="91"/>
  <c r="AA79" i="91"/>
  <c r="O79" i="91"/>
  <c r="Z79" i="91"/>
  <c r="N79" i="91"/>
  <c r="Y79" i="91"/>
  <c r="V78" i="91"/>
  <c r="U78" i="91"/>
  <c r="AA78" i="91"/>
  <c r="T78" i="91"/>
  <c r="T81" i="91"/>
  <c r="AE81" i="91"/>
  <c r="S78" i="91"/>
  <c r="S81" i="91"/>
  <c r="AD81" i="91"/>
  <c r="R78" i="91"/>
  <c r="AC78" i="91"/>
  <c r="Q78" i="91"/>
  <c r="P78" i="91"/>
  <c r="O78" i="91"/>
  <c r="N78" i="91"/>
  <c r="AB77" i="91"/>
  <c r="AA77" i="91"/>
  <c r="Z77" i="91"/>
  <c r="Y77" i="91"/>
  <c r="U77" i="91"/>
  <c r="AC77" i="91"/>
  <c r="T77" i="91"/>
  <c r="S77" i="91"/>
  <c r="AD77" i="91"/>
  <c r="R77" i="91"/>
  <c r="R81" i="91"/>
  <c r="AC81" i="91"/>
  <c r="Q77" i="91"/>
  <c r="Q81" i="91"/>
  <c r="AB81" i="91"/>
  <c r="P77" i="91"/>
  <c r="P81" i="91"/>
  <c r="AA81" i="91"/>
  <c r="O77" i="91"/>
  <c r="O81" i="91"/>
  <c r="Z81" i="91"/>
  <c r="N77" i="91"/>
  <c r="N81" i="91"/>
  <c r="Y81" i="91"/>
  <c r="AC81" i="93"/>
  <c r="AD81" i="93"/>
  <c r="AB81" i="94"/>
  <c r="AA81" i="101"/>
  <c r="AC81" i="94"/>
  <c r="AD81" i="94"/>
  <c r="AC81" i="101"/>
  <c r="Y81" i="99"/>
  <c r="AE81" i="94"/>
  <c r="Y81" i="94"/>
  <c r="AB81" i="93"/>
  <c r="AA81" i="97"/>
  <c r="Z81" i="93"/>
  <c r="Y81" i="97"/>
  <c r="Z81" i="97"/>
  <c r="AD81" i="96"/>
  <c r="AD81" i="99"/>
  <c r="AE81" i="96"/>
  <c r="Z81" i="96"/>
  <c r="Y80" i="93"/>
  <c r="S81" i="98"/>
  <c r="Q81" i="101"/>
  <c r="AB81" i="101"/>
  <c r="O81" i="99"/>
  <c r="Z81" i="99"/>
  <c r="T81" i="98"/>
  <c r="Z78" i="97"/>
  <c r="P81" i="94"/>
  <c r="U81" i="93"/>
  <c r="AE81" i="93"/>
  <c r="AB78" i="91"/>
  <c r="AE79" i="101"/>
  <c r="AB78" i="100"/>
  <c r="Y77" i="99"/>
  <c r="AA79" i="97"/>
  <c r="AB77" i="96"/>
  <c r="Y79" i="95"/>
  <c r="P81" i="95"/>
  <c r="AA81" i="95"/>
  <c r="Z77" i="94"/>
  <c r="AD79" i="94"/>
  <c r="U81" i="94"/>
  <c r="Z81" i="94"/>
  <c r="AE77" i="93"/>
  <c r="N81" i="93"/>
  <c r="Y81" i="93"/>
  <c r="AB79" i="92"/>
  <c r="S81" i="92"/>
  <c r="AD81" i="92"/>
  <c r="Y77" i="100"/>
  <c r="Z77" i="100"/>
  <c r="U81" i="100"/>
  <c r="AB81" i="100"/>
  <c r="Y78" i="97"/>
  <c r="Y78" i="91"/>
  <c r="Z79" i="101"/>
  <c r="Y79" i="94"/>
  <c r="Z77" i="93"/>
  <c r="AD78" i="91"/>
  <c r="AA77" i="101"/>
  <c r="AC79" i="99"/>
  <c r="AE78" i="91"/>
  <c r="AC78" i="100"/>
  <c r="AA78" i="98"/>
  <c r="AC77" i="96"/>
  <c r="Y78" i="96"/>
  <c r="AD78" i="95"/>
  <c r="AB78" i="93"/>
  <c r="Y77" i="92"/>
  <c r="AC77" i="101"/>
  <c r="AA77" i="99"/>
  <c r="O81" i="98"/>
  <c r="Y77" i="97"/>
  <c r="T81" i="97"/>
  <c r="AE81" i="97"/>
  <c r="AD77" i="96"/>
  <c r="R81" i="95"/>
  <c r="AC81" i="95"/>
  <c r="AB77" i="94"/>
  <c r="P81" i="93"/>
  <c r="AA81" i="93"/>
  <c r="Z77" i="92"/>
  <c r="AB77" i="99"/>
  <c r="Z77" i="97"/>
  <c r="U81" i="97"/>
  <c r="AB81" i="97"/>
  <c r="AE77" i="96"/>
  <c r="AC77" i="94"/>
  <c r="AA77" i="92"/>
  <c r="Z80" i="93"/>
  <c r="Y77" i="98"/>
  <c r="Z80" i="98"/>
  <c r="Z78" i="91"/>
  <c r="AA79" i="101"/>
  <c r="AC78" i="99"/>
  <c r="Y79" i="99"/>
  <c r="U81" i="98"/>
  <c r="Y81" i="98"/>
  <c r="AA78" i="97"/>
  <c r="AB79" i="96"/>
  <c r="Y78" i="95"/>
  <c r="Z79" i="94"/>
  <c r="AB78" i="92"/>
  <c r="Y79" i="101"/>
  <c r="Y80" i="98"/>
  <c r="AA80" i="93"/>
  <c r="AE77" i="91"/>
  <c r="AC77" i="100"/>
  <c r="AD80" i="100"/>
  <c r="AB77" i="93"/>
  <c r="AD79" i="96"/>
  <c r="AC81" i="98"/>
  <c r="AE81" i="100"/>
  <c r="AD81" i="100"/>
  <c r="AA81" i="100"/>
  <c r="AB81" i="98"/>
  <c r="AA81" i="98"/>
  <c r="Z81" i="98"/>
  <c r="AA81" i="94"/>
  <c r="AC81" i="97"/>
  <c r="AE81" i="98"/>
  <c r="Z81" i="100"/>
  <c r="AC81" i="100"/>
  <c r="AD81" i="97"/>
  <c r="Y81" i="100"/>
  <c r="AD81" i="98"/>
  <c r="AA75" i="92"/>
  <c r="U75" i="92"/>
  <c r="T75" i="92"/>
  <c r="AE75" i="92"/>
  <c r="S75" i="92"/>
  <c r="AD75" i="92"/>
  <c r="R75" i="92"/>
  <c r="AC75" i="92"/>
  <c r="Q75" i="92"/>
  <c r="AB75" i="92"/>
  <c r="P75" i="92"/>
  <c r="O75" i="92"/>
  <c r="Z75" i="92"/>
  <c r="N75" i="92"/>
  <c r="Y75" i="92"/>
  <c r="AD75" i="93"/>
  <c r="Y75" i="93"/>
  <c r="U75" i="93"/>
  <c r="AA75" i="93"/>
  <c r="T75" i="93"/>
  <c r="AE75" i="93"/>
  <c r="S75" i="93"/>
  <c r="R75" i="93"/>
  <c r="AC75" i="93"/>
  <c r="Q75" i="93"/>
  <c r="AB75" i="93"/>
  <c r="P75" i="93"/>
  <c r="O75" i="93"/>
  <c r="Z75" i="93"/>
  <c r="N75" i="93"/>
  <c r="AB75" i="94"/>
  <c r="Z75" i="94"/>
  <c r="U75" i="94"/>
  <c r="AD75" i="94"/>
  <c r="T75" i="94"/>
  <c r="AE75" i="94"/>
  <c r="S75" i="94"/>
  <c r="R75" i="94"/>
  <c r="AC75" i="94"/>
  <c r="Q75" i="94"/>
  <c r="P75" i="94"/>
  <c r="O75" i="94"/>
  <c r="N75" i="94"/>
  <c r="Y75" i="94"/>
  <c r="AC75" i="95"/>
  <c r="U75" i="95"/>
  <c r="Z75" i="95"/>
  <c r="T75" i="95"/>
  <c r="S75" i="95"/>
  <c r="R75" i="95"/>
  <c r="Q75" i="95"/>
  <c r="AB75" i="95"/>
  <c r="P75" i="95"/>
  <c r="AA75" i="95"/>
  <c r="O75" i="95"/>
  <c r="N75" i="95"/>
  <c r="Y75" i="95"/>
  <c r="AC75" i="96"/>
  <c r="AA75" i="96"/>
  <c r="U75" i="96"/>
  <c r="T75" i="96"/>
  <c r="AE75" i="96"/>
  <c r="S75" i="96"/>
  <c r="AD75" i="96"/>
  <c r="R75" i="96"/>
  <c r="Q75" i="96"/>
  <c r="AB75" i="96"/>
  <c r="P75" i="96"/>
  <c r="O75" i="96"/>
  <c r="Z75" i="96"/>
  <c r="N75" i="96"/>
  <c r="Y75" i="96"/>
  <c r="AD75" i="97"/>
  <c r="Y75" i="97"/>
  <c r="U75" i="97"/>
  <c r="AA75" i="97"/>
  <c r="T75" i="97"/>
  <c r="AE75" i="97"/>
  <c r="S75" i="97"/>
  <c r="R75" i="97"/>
  <c r="AC75" i="97"/>
  <c r="Q75" i="97"/>
  <c r="AB75" i="97"/>
  <c r="P75" i="97"/>
  <c r="O75" i="97"/>
  <c r="Z75" i="97"/>
  <c r="N75" i="97"/>
  <c r="AB75" i="98"/>
  <c r="Z75" i="98"/>
  <c r="U75" i="98"/>
  <c r="AD75" i="98"/>
  <c r="T75" i="98"/>
  <c r="AE75" i="98"/>
  <c r="S75" i="98"/>
  <c r="R75" i="98"/>
  <c r="AC75" i="98"/>
  <c r="Q75" i="98"/>
  <c r="P75" i="98"/>
  <c r="O75" i="98"/>
  <c r="N75" i="98"/>
  <c r="Y75" i="98"/>
  <c r="AE75" i="99"/>
  <c r="AC75" i="99"/>
  <c r="Z75" i="99"/>
  <c r="U75" i="99"/>
  <c r="AD75" i="99"/>
  <c r="T75" i="99"/>
  <c r="S75" i="99"/>
  <c r="R75" i="99"/>
  <c r="Q75" i="99"/>
  <c r="AB75" i="99"/>
  <c r="P75" i="99"/>
  <c r="AA75" i="99"/>
  <c r="O75" i="99"/>
  <c r="N75" i="99"/>
  <c r="Y75" i="99"/>
  <c r="AC75" i="100"/>
  <c r="AA75" i="100"/>
  <c r="U75" i="100"/>
  <c r="T75" i="100"/>
  <c r="AE75" i="100"/>
  <c r="S75" i="100"/>
  <c r="AD75" i="100"/>
  <c r="R75" i="100"/>
  <c r="Q75" i="100"/>
  <c r="AB75" i="100"/>
  <c r="P75" i="100"/>
  <c r="O75" i="100"/>
  <c r="Z75" i="100"/>
  <c r="N75" i="100"/>
  <c r="Y75" i="100"/>
  <c r="AD75" i="101"/>
  <c r="Y75" i="101"/>
  <c r="U75" i="101"/>
  <c r="AA75" i="101"/>
  <c r="T75" i="101"/>
  <c r="AE75" i="101"/>
  <c r="S75" i="101"/>
  <c r="R75" i="101"/>
  <c r="AC75" i="101"/>
  <c r="Q75" i="101"/>
  <c r="AB75" i="101"/>
  <c r="P75" i="101"/>
  <c r="O75" i="101"/>
  <c r="Z75" i="101"/>
  <c r="N75" i="101"/>
  <c r="AB75" i="91"/>
  <c r="Z75" i="91"/>
  <c r="U75" i="91"/>
  <c r="AD75" i="91"/>
  <c r="T75" i="91"/>
  <c r="AE75" i="91"/>
  <c r="S75" i="91"/>
  <c r="R75" i="91"/>
  <c r="AC75" i="91"/>
  <c r="Q75" i="91"/>
  <c r="P75" i="91"/>
  <c r="O75" i="91"/>
  <c r="N75" i="91"/>
  <c r="Y75" i="91"/>
  <c r="AC76" i="101"/>
  <c r="AA76" i="101"/>
  <c r="Z76" i="101"/>
  <c r="Y76" i="101"/>
  <c r="V76" i="101"/>
  <c r="U76" i="101"/>
  <c r="T76" i="101"/>
  <c r="AE76" i="101"/>
  <c r="S76" i="101"/>
  <c r="AD76" i="101"/>
  <c r="R76" i="101"/>
  <c r="Q76" i="101"/>
  <c r="P76" i="101"/>
  <c r="O76" i="101"/>
  <c r="N76" i="101"/>
  <c r="AE74" i="101"/>
  <c r="U74" i="101"/>
  <c r="T74" i="101"/>
  <c r="S74" i="101"/>
  <c r="AD74" i="101"/>
  <c r="R74" i="101"/>
  <c r="AC74" i="101"/>
  <c r="Q74" i="101"/>
  <c r="AB74" i="101"/>
  <c r="P74" i="101"/>
  <c r="AA74" i="101"/>
  <c r="O74" i="101"/>
  <c r="Z74" i="101"/>
  <c r="N74" i="101"/>
  <c r="Y74" i="101"/>
  <c r="U71" i="101"/>
  <c r="AE70" i="101"/>
  <c r="AD70" i="101"/>
  <c r="AC70" i="101"/>
  <c r="AB70" i="101"/>
  <c r="AA70" i="101"/>
  <c r="Z70" i="101"/>
  <c r="Y70" i="101"/>
  <c r="AE69" i="101"/>
  <c r="AD69" i="101"/>
  <c r="AC69" i="101"/>
  <c r="AB69" i="101"/>
  <c r="AA69" i="101"/>
  <c r="Z69" i="101"/>
  <c r="Y69" i="101"/>
  <c r="AE66" i="101"/>
  <c r="AD66" i="101"/>
  <c r="AC66" i="101"/>
  <c r="AB66" i="101"/>
  <c r="AA66" i="101"/>
  <c r="Z66" i="101"/>
  <c r="Y66" i="101"/>
  <c r="AE65" i="101"/>
  <c r="AD65" i="101"/>
  <c r="AC65" i="101"/>
  <c r="AB65" i="101"/>
  <c r="AA65" i="101"/>
  <c r="Z65" i="101"/>
  <c r="Y65" i="101"/>
  <c r="AE64" i="101"/>
  <c r="AD64" i="101"/>
  <c r="AC64" i="101"/>
  <c r="AB64" i="101"/>
  <c r="AA64" i="101"/>
  <c r="Z64" i="101"/>
  <c r="Y64" i="101"/>
  <c r="AE63" i="101"/>
  <c r="AD63" i="101"/>
  <c r="AC63" i="101"/>
  <c r="AB63" i="101"/>
  <c r="AA63" i="101"/>
  <c r="Z63" i="101"/>
  <c r="Y63" i="101"/>
  <c r="AE62" i="101"/>
  <c r="AD62" i="101"/>
  <c r="AC62" i="101"/>
  <c r="AB62" i="101"/>
  <c r="AA62" i="101"/>
  <c r="Z62" i="101"/>
  <c r="Y62" i="101"/>
  <c r="AE61" i="101"/>
  <c r="AD61" i="101"/>
  <c r="AC61" i="101"/>
  <c r="AB61" i="101"/>
  <c r="AA61" i="101"/>
  <c r="Z61" i="101"/>
  <c r="Y61" i="101"/>
  <c r="AE60" i="101"/>
  <c r="AD60" i="101"/>
  <c r="AC60" i="101"/>
  <c r="AB60" i="101"/>
  <c r="AA60" i="101"/>
  <c r="Z60" i="101"/>
  <c r="Y60" i="101"/>
  <c r="AE59" i="101"/>
  <c r="AD59" i="101"/>
  <c r="AC59" i="101"/>
  <c r="AB59" i="101"/>
  <c r="AA59" i="101"/>
  <c r="Z59" i="101"/>
  <c r="Y59" i="101"/>
  <c r="AE58" i="101"/>
  <c r="AD58" i="101"/>
  <c r="AC58" i="101"/>
  <c r="AB58" i="101"/>
  <c r="AA58" i="101"/>
  <c r="Z58" i="101"/>
  <c r="Y58" i="101"/>
  <c r="AE57" i="101"/>
  <c r="AD57" i="101"/>
  <c r="AC57" i="101"/>
  <c r="AB57" i="101"/>
  <c r="AA57" i="101"/>
  <c r="Z57" i="101"/>
  <c r="Y57" i="101"/>
  <c r="AE56" i="101"/>
  <c r="AD56" i="101"/>
  <c r="AC56" i="101"/>
  <c r="AB56" i="101"/>
  <c r="AA56" i="101"/>
  <c r="Z56" i="101"/>
  <c r="Y56" i="101"/>
  <c r="AE55" i="101"/>
  <c r="AD55" i="101"/>
  <c r="AC55" i="101"/>
  <c r="AB55" i="101"/>
  <c r="AA55" i="101"/>
  <c r="Z55" i="101"/>
  <c r="Y55" i="101"/>
  <c r="AE54" i="101"/>
  <c r="AD54" i="101"/>
  <c r="AC54" i="101"/>
  <c r="AB54" i="101"/>
  <c r="AA54" i="101"/>
  <c r="Z54" i="101"/>
  <c r="Y54" i="101"/>
  <c r="AE53" i="101"/>
  <c r="AD53" i="101"/>
  <c r="AC53" i="101"/>
  <c r="AB53" i="101"/>
  <c r="AA53" i="101"/>
  <c r="Z53" i="101"/>
  <c r="Y53" i="101"/>
  <c r="AE52" i="101"/>
  <c r="AD52" i="101"/>
  <c r="AC52" i="101"/>
  <c r="AB52" i="101"/>
  <c r="AA52" i="101"/>
  <c r="Z52" i="101"/>
  <c r="Y52" i="101"/>
  <c r="AE51" i="101"/>
  <c r="AD51" i="101"/>
  <c r="AC51" i="101"/>
  <c r="AB51" i="101"/>
  <c r="AA51" i="101"/>
  <c r="Z51" i="101"/>
  <c r="Y51" i="101"/>
  <c r="AE50" i="101"/>
  <c r="AD50" i="101"/>
  <c r="AC50" i="101"/>
  <c r="AB50" i="101"/>
  <c r="AA50" i="101"/>
  <c r="Z50" i="101"/>
  <c r="Y50" i="101"/>
  <c r="AE76" i="100"/>
  <c r="AD76" i="100"/>
  <c r="AC76" i="100"/>
  <c r="V76" i="100"/>
  <c r="U76" i="100"/>
  <c r="T76" i="100"/>
  <c r="S76" i="100"/>
  <c r="R76" i="100"/>
  <c r="Q76" i="100"/>
  <c r="AB76" i="100"/>
  <c r="P76" i="100"/>
  <c r="AA76" i="100"/>
  <c r="O76" i="100"/>
  <c r="Z76" i="100"/>
  <c r="N76" i="100"/>
  <c r="Y76" i="100"/>
  <c r="U74" i="100"/>
  <c r="AC74" i="100"/>
  <c r="T74" i="100"/>
  <c r="AE74" i="100"/>
  <c r="S74" i="100"/>
  <c r="AD74" i="100"/>
  <c r="R74" i="100"/>
  <c r="Q74" i="100"/>
  <c r="AB74" i="100"/>
  <c r="P74" i="100"/>
  <c r="O74" i="100"/>
  <c r="N74" i="100"/>
  <c r="Y74" i="100"/>
  <c r="U71" i="100"/>
  <c r="AE70" i="100"/>
  <c r="AD70" i="100"/>
  <c r="AC70" i="100"/>
  <c r="AB70" i="100"/>
  <c r="AA70" i="100"/>
  <c r="Z70" i="100"/>
  <c r="Y70" i="100"/>
  <c r="AE69" i="100"/>
  <c r="AD69" i="100"/>
  <c r="AC69" i="100"/>
  <c r="AB69" i="100"/>
  <c r="AA69" i="100"/>
  <c r="Z69" i="100"/>
  <c r="Y69" i="100"/>
  <c r="AE66" i="100"/>
  <c r="AD66" i="100"/>
  <c r="AC66" i="100"/>
  <c r="AB66" i="100"/>
  <c r="AA66" i="100"/>
  <c r="Z66" i="100"/>
  <c r="Y66" i="100"/>
  <c r="AE65" i="100"/>
  <c r="AD65" i="100"/>
  <c r="AC65" i="100"/>
  <c r="AB65" i="100"/>
  <c r="AA65" i="100"/>
  <c r="Z65" i="100"/>
  <c r="Y65" i="100"/>
  <c r="AE64" i="100"/>
  <c r="AD64" i="100"/>
  <c r="AC64" i="100"/>
  <c r="AB64" i="100"/>
  <c r="AA64" i="100"/>
  <c r="Z64" i="100"/>
  <c r="Y64" i="100"/>
  <c r="AE63" i="100"/>
  <c r="AD63" i="100"/>
  <c r="AC63" i="100"/>
  <c r="AB63" i="100"/>
  <c r="AA63" i="100"/>
  <c r="Z63" i="100"/>
  <c r="Y63" i="100"/>
  <c r="AE62" i="100"/>
  <c r="AD62" i="100"/>
  <c r="AC62" i="100"/>
  <c r="AB62" i="100"/>
  <c r="AA62" i="100"/>
  <c r="Z62" i="100"/>
  <c r="Y62" i="100"/>
  <c r="AE61" i="100"/>
  <c r="AD61" i="100"/>
  <c r="AC61" i="100"/>
  <c r="AB61" i="100"/>
  <c r="AA61" i="100"/>
  <c r="Z61" i="100"/>
  <c r="Y61" i="100"/>
  <c r="AE60" i="100"/>
  <c r="AD60" i="100"/>
  <c r="AC60" i="100"/>
  <c r="AB60" i="100"/>
  <c r="AA60" i="100"/>
  <c r="Z60" i="100"/>
  <c r="Y60" i="100"/>
  <c r="AE59" i="100"/>
  <c r="AD59" i="100"/>
  <c r="AC59" i="100"/>
  <c r="AB59" i="100"/>
  <c r="AA59" i="100"/>
  <c r="Z59" i="100"/>
  <c r="Y59" i="100"/>
  <c r="AE58" i="100"/>
  <c r="AD58" i="100"/>
  <c r="AC58" i="100"/>
  <c r="AB58" i="100"/>
  <c r="AA58" i="100"/>
  <c r="Z58" i="100"/>
  <c r="Y58" i="100"/>
  <c r="AE57" i="100"/>
  <c r="AD57" i="100"/>
  <c r="AC57" i="100"/>
  <c r="AB57" i="100"/>
  <c r="AA57" i="100"/>
  <c r="Z57" i="100"/>
  <c r="Y57" i="100"/>
  <c r="AE56" i="100"/>
  <c r="AD56" i="100"/>
  <c r="AC56" i="100"/>
  <c r="AB56" i="100"/>
  <c r="AA56" i="100"/>
  <c r="Z56" i="100"/>
  <c r="Y56" i="100"/>
  <c r="AE55" i="100"/>
  <c r="AD55" i="100"/>
  <c r="AC55" i="100"/>
  <c r="AB55" i="100"/>
  <c r="AA55" i="100"/>
  <c r="Z55" i="100"/>
  <c r="Y55" i="100"/>
  <c r="AE54" i="100"/>
  <c r="AD54" i="100"/>
  <c r="AC54" i="100"/>
  <c r="AB54" i="100"/>
  <c r="AA54" i="100"/>
  <c r="Z54" i="100"/>
  <c r="Y54" i="100"/>
  <c r="AE53" i="100"/>
  <c r="AD53" i="100"/>
  <c r="AC53" i="100"/>
  <c r="AB53" i="100"/>
  <c r="AA53" i="100"/>
  <c r="Z53" i="100"/>
  <c r="Y53" i="100"/>
  <c r="AE52" i="100"/>
  <c r="AD52" i="100"/>
  <c r="AC52" i="100"/>
  <c r="AB52" i="100"/>
  <c r="AA52" i="100"/>
  <c r="Z52" i="100"/>
  <c r="Y52" i="100"/>
  <c r="AE51" i="100"/>
  <c r="AD51" i="100"/>
  <c r="AC51" i="100"/>
  <c r="AB51" i="100"/>
  <c r="AA51" i="100"/>
  <c r="Z51" i="100"/>
  <c r="Y51" i="100"/>
  <c r="AE50" i="100"/>
  <c r="AD50" i="100"/>
  <c r="AC50" i="100"/>
  <c r="AB50" i="100"/>
  <c r="AA50" i="100"/>
  <c r="Z50" i="100"/>
  <c r="Y50" i="100"/>
  <c r="AA76" i="99"/>
  <c r="V76" i="99"/>
  <c r="U76" i="99"/>
  <c r="T76" i="99"/>
  <c r="AE76" i="99"/>
  <c r="S76" i="99"/>
  <c r="AD76" i="99"/>
  <c r="R76" i="99"/>
  <c r="AC76" i="99"/>
  <c r="Q76" i="99"/>
  <c r="AB76" i="99"/>
  <c r="P76" i="99"/>
  <c r="O76" i="99"/>
  <c r="N76" i="99"/>
  <c r="AE74" i="99"/>
  <c r="AC74" i="99"/>
  <c r="U74" i="99"/>
  <c r="T74" i="99"/>
  <c r="S74" i="99"/>
  <c r="AD74" i="99"/>
  <c r="R74" i="99"/>
  <c r="Q74" i="99"/>
  <c r="AB74" i="99"/>
  <c r="P74" i="99"/>
  <c r="AA74" i="99"/>
  <c r="O74" i="99"/>
  <c r="Z74" i="99"/>
  <c r="N74" i="99"/>
  <c r="Y74" i="99"/>
  <c r="U71" i="99"/>
  <c r="AE70" i="99"/>
  <c r="AD70" i="99"/>
  <c r="AC70" i="99"/>
  <c r="AB70" i="99"/>
  <c r="AA70" i="99"/>
  <c r="Z70" i="99"/>
  <c r="Y70" i="99"/>
  <c r="AE69" i="99"/>
  <c r="AD69" i="99"/>
  <c r="AC69" i="99"/>
  <c r="AB69" i="99"/>
  <c r="AA69" i="99"/>
  <c r="Z69" i="99"/>
  <c r="Y69" i="99"/>
  <c r="AE66" i="99"/>
  <c r="AD66" i="99"/>
  <c r="AC66" i="99"/>
  <c r="AB66" i="99"/>
  <c r="AA66" i="99"/>
  <c r="Z66" i="99"/>
  <c r="Y66" i="99"/>
  <c r="AE65" i="99"/>
  <c r="AD65" i="99"/>
  <c r="AC65" i="99"/>
  <c r="AB65" i="99"/>
  <c r="AA65" i="99"/>
  <c r="Z65" i="99"/>
  <c r="Y65" i="99"/>
  <c r="AE64" i="99"/>
  <c r="AD64" i="99"/>
  <c r="AC64" i="99"/>
  <c r="AB64" i="99"/>
  <c r="AA64" i="99"/>
  <c r="Z64" i="99"/>
  <c r="Y64" i="99"/>
  <c r="AE63" i="99"/>
  <c r="AD63" i="99"/>
  <c r="AC63" i="99"/>
  <c r="AB63" i="99"/>
  <c r="AA63" i="99"/>
  <c r="Z63" i="99"/>
  <c r="Y63" i="99"/>
  <c r="AE62" i="99"/>
  <c r="AD62" i="99"/>
  <c r="AC62" i="99"/>
  <c r="AB62" i="99"/>
  <c r="AA62" i="99"/>
  <c r="Z62" i="99"/>
  <c r="Y62" i="99"/>
  <c r="AE61" i="99"/>
  <c r="AD61" i="99"/>
  <c r="AC61" i="99"/>
  <c r="AB61" i="99"/>
  <c r="AA61" i="99"/>
  <c r="Z61" i="99"/>
  <c r="Y61" i="99"/>
  <c r="AE60" i="99"/>
  <c r="AD60" i="99"/>
  <c r="AC60" i="99"/>
  <c r="AB60" i="99"/>
  <c r="AA60" i="99"/>
  <c r="Z60" i="99"/>
  <c r="Y60" i="99"/>
  <c r="AE59" i="99"/>
  <c r="AD59" i="99"/>
  <c r="AC59" i="99"/>
  <c r="AB59" i="99"/>
  <c r="AA59" i="99"/>
  <c r="Z59" i="99"/>
  <c r="Y59" i="99"/>
  <c r="AE58" i="99"/>
  <c r="AD58" i="99"/>
  <c r="AC58" i="99"/>
  <c r="AB58" i="99"/>
  <c r="AA58" i="99"/>
  <c r="Z58" i="99"/>
  <c r="Y58" i="99"/>
  <c r="AE57" i="99"/>
  <c r="AD57" i="99"/>
  <c r="AC57" i="99"/>
  <c r="AB57" i="99"/>
  <c r="AA57" i="99"/>
  <c r="Z57" i="99"/>
  <c r="Y57" i="99"/>
  <c r="AE56" i="99"/>
  <c r="AD56" i="99"/>
  <c r="AC56" i="99"/>
  <c r="AB56" i="99"/>
  <c r="AA56" i="99"/>
  <c r="Z56" i="99"/>
  <c r="Y56" i="99"/>
  <c r="AE55" i="99"/>
  <c r="AD55" i="99"/>
  <c r="AC55" i="99"/>
  <c r="AB55" i="99"/>
  <c r="AA55" i="99"/>
  <c r="Z55" i="99"/>
  <c r="Y55" i="99"/>
  <c r="AE54" i="99"/>
  <c r="AD54" i="99"/>
  <c r="AC54" i="99"/>
  <c r="AB54" i="99"/>
  <c r="AA54" i="99"/>
  <c r="Z54" i="99"/>
  <c r="Y54" i="99"/>
  <c r="AE53" i="99"/>
  <c r="AD53" i="99"/>
  <c r="AC53" i="99"/>
  <c r="AB53" i="99"/>
  <c r="AA53" i="99"/>
  <c r="Z53" i="99"/>
  <c r="Y53" i="99"/>
  <c r="AE52" i="99"/>
  <c r="AD52" i="99"/>
  <c r="AC52" i="99"/>
  <c r="AB52" i="99"/>
  <c r="AA52" i="99"/>
  <c r="Z52" i="99"/>
  <c r="Y52" i="99"/>
  <c r="AE51" i="99"/>
  <c r="AD51" i="99"/>
  <c r="AC51" i="99"/>
  <c r="AB51" i="99"/>
  <c r="AA51" i="99"/>
  <c r="Z51" i="99"/>
  <c r="Y51" i="99"/>
  <c r="AE50" i="99"/>
  <c r="AD50" i="99"/>
  <c r="AC50" i="99"/>
  <c r="AB50" i="99"/>
  <c r="AA50" i="99"/>
  <c r="Z50" i="99"/>
  <c r="Y50" i="99"/>
  <c r="AC76" i="98"/>
  <c r="AA76" i="98"/>
  <c r="Y76" i="98"/>
  <c r="V76" i="98"/>
  <c r="U76" i="98"/>
  <c r="T76" i="98"/>
  <c r="S76" i="98"/>
  <c r="R76" i="98"/>
  <c r="Q76" i="98"/>
  <c r="P76" i="98"/>
  <c r="O76" i="98"/>
  <c r="Z76" i="98"/>
  <c r="N76" i="98"/>
  <c r="U74" i="98"/>
  <c r="AA74" i="98"/>
  <c r="T74" i="98"/>
  <c r="AE74" i="98"/>
  <c r="S74" i="98"/>
  <c r="AD74" i="98"/>
  <c r="R74" i="98"/>
  <c r="AC74" i="98"/>
  <c r="Q74" i="98"/>
  <c r="AB74" i="98"/>
  <c r="P74" i="98"/>
  <c r="O74" i="98"/>
  <c r="Z74" i="98"/>
  <c r="N74" i="98"/>
  <c r="Y74" i="98"/>
  <c r="U71" i="98"/>
  <c r="AE70" i="98"/>
  <c r="AD70" i="98"/>
  <c r="AC70" i="98"/>
  <c r="AB70" i="98"/>
  <c r="AA70" i="98"/>
  <c r="Z70" i="98"/>
  <c r="Y70" i="98"/>
  <c r="AE69" i="98"/>
  <c r="AD69" i="98"/>
  <c r="AC69" i="98"/>
  <c r="AB69" i="98"/>
  <c r="AA69" i="98"/>
  <c r="Z69" i="98"/>
  <c r="Y69" i="98"/>
  <c r="AE66" i="98"/>
  <c r="AD66" i="98"/>
  <c r="AC66" i="98"/>
  <c r="AB66" i="98"/>
  <c r="AA66" i="98"/>
  <c r="Z66" i="98"/>
  <c r="Y66" i="98"/>
  <c r="AE65" i="98"/>
  <c r="AD65" i="98"/>
  <c r="AC65" i="98"/>
  <c r="AB65" i="98"/>
  <c r="AA65" i="98"/>
  <c r="Z65" i="98"/>
  <c r="Y65" i="98"/>
  <c r="AE64" i="98"/>
  <c r="AD64" i="98"/>
  <c r="AC64" i="98"/>
  <c r="AB64" i="98"/>
  <c r="AA64" i="98"/>
  <c r="Z64" i="98"/>
  <c r="Y64" i="98"/>
  <c r="AE63" i="98"/>
  <c r="AD63" i="98"/>
  <c r="AC63" i="98"/>
  <c r="AB63" i="98"/>
  <c r="AA63" i="98"/>
  <c r="Z63" i="98"/>
  <c r="Y63" i="98"/>
  <c r="AE62" i="98"/>
  <c r="AD62" i="98"/>
  <c r="AC62" i="98"/>
  <c r="AB62" i="98"/>
  <c r="AA62" i="98"/>
  <c r="Z62" i="98"/>
  <c r="Y62" i="98"/>
  <c r="AE61" i="98"/>
  <c r="AD61" i="98"/>
  <c r="AC61" i="98"/>
  <c r="AB61" i="98"/>
  <c r="AA61" i="98"/>
  <c r="Z61" i="98"/>
  <c r="Y61" i="98"/>
  <c r="AE60" i="98"/>
  <c r="AD60" i="98"/>
  <c r="AC60" i="98"/>
  <c r="AB60" i="98"/>
  <c r="AA60" i="98"/>
  <c r="Z60" i="98"/>
  <c r="Y60" i="98"/>
  <c r="AE59" i="98"/>
  <c r="AD59" i="98"/>
  <c r="AC59" i="98"/>
  <c r="AB59" i="98"/>
  <c r="AA59" i="98"/>
  <c r="Z59" i="98"/>
  <c r="Y59" i="98"/>
  <c r="AE58" i="98"/>
  <c r="AD58" i="98"/>
  <c r="AC58" i="98"/>
  <c r="AB58" i="98"/>
  <c r="AA58" i="98"/>
  <c r="Z58" i="98"/>
  <c r="Y58" i="98"/>
  <c r="AE57" i="98"/>
  <c r="AD57" i="98"/>
  <c r="AC57" i="98"/>
  <c r="AB57" i="98"/>
  <c r="AA57" i="98"/>
  <c r="Z57" i="98"/>
  <c r="Y57" i="98"/>
  <c r="AE56" i="98"/>
  <c r="AD56" i="98"/>
  <c r="AC56" i="98"/>
  <c r="AB56" i="98"/>
  <c r="AA56" i="98"/>
  <c r="Z56" i="98"/>
  <c r="Y56" i="98"/>
  <c r="AE55" i="98"/>
  <c r="AD55" i="98"/>
  <c r="AC55" i="98"/>
  <c r="AB55" i="98"/>
  <c r="AA55" i="98"/>
  <c r="Z55" i="98"/>
  <c r="Y55" i="98"/>
  <c r="AE54" i="98"/>
  <c r="AD54" i="98"/>
  <c r="AC54" i="98"/>
  <c r="AB54" i="98"/>
  <c r="AA54" i="98"/>
  <c r="Z54" i="98"/>
  <c r="Y54" i="98"/>
  <c r="AE53" i="98"/>
  <c r="AD53" i="98"/>
  <c r="AC53" i="98"/>
  <c r="AB53" i="98"/>
  <c r="AA53" i="98"/>
  <c r="Z53" i="98"/>
  <c r="Y53" i="98"/>
  <c r="AE52" i="98"/>
  <c r="AD52" i="98"/>
  <c r="AC52" i="98"/>
  <c r="AB52" i="98"/>
  <c r="AA52" i="98"/>
  <c r="Z52" i="98"/>
  <c r="Y52" i="98"/>
  <c r="AE51" i="98"/>
  <c r="AD51" i="98"/>
  <c r="AC51" i="98"/>
  <c r="AB51" i="98"/>
  <c r="AA51" i="98"/>
  <c r="Z51" i="98"/>
  <c r="Y51" i="98"/>
  <c r="AE50" i="98"/>
  <c r="AD50" i="98"/>
  <c r="AC50" i="98"/>
  <c r="AB50" i="98"/>
  <c r="AA50" i="98"/>
  <c r="Z50" i="98"/>
  <c r="Y50" i="98"/>
  <c r="AD76" i="97"/>
  <c r="Y76" i="97"/>
  <c r="V76" i="97"/>
  <c r="U76" i="97"/>
  <c r="T76" i="97"/>
  <c r="AE76" i="97"/>
  <c r="S76" i="97"/>
  <c r="R76" i="97"/>
  <c r="AC76" i="97"/>
  <c r="Q76" i="97"/>
  <c r="AB76" i="97"/>
  <c r="P76" i="97"/>
  <c r="AA76" i="97"/>
  <c r="O76" i="97"/>
  <c r="Z76" i="97"/>
  <c r="N76" i="97"/>
  <c r="AC74" i="97"/>
  <c r="AA74" i="97"/>
  <c r="U74" i="97"/>
  <c r="T74" i="97"/>
  <c r="AE74" i="97"/>
  <c r="S74" i="97"/>
  <c r="AD74" i="97"/>
  <c r="R74" i="97"/>
  <c r="Q74" i="97"/>
  <c r="AB74" i="97"/>
  <c r="P74" i="97"/>
  <c r="O74" i="97"/>
  <c r="Z74" i="97"/>
  <c r="N74" i="97"/>
  <c r="Y74" i="97"/>
  <c r="U71" i="97"/>
  <c r="AE70" i="97"/>
  <c r="AD70" i="97"/>
  <c r="AC70" i="97"/>
  <c r="AB70" i="97"/>
  <c r="AA70" i="97"/>
  <c r="Z70" i="97"/>
  <c r="Y70" i="97"/>
  <c r="AE69" i="97"/>
  <c r="AD69" i="97"/>
  <c r="AC69" i="97"/>
  <c r="AB69" i="97"/>
  <c r="AA69" i="97"/>
  <c r="Z69" i="97"/>
  <c r="Y69" i="97"/>
  <c r="AE66" i="97"/>
  <c r="AD66" i="97"/>
  <c r="AC66" i="97"/>
  <c r="AB66" i="97"/>
  <c r="AA66" i="97"/>
  <c r="Z66" i="97"/>
  <c r="Y66" i="97"/>
  <c r="AE65" i="97"/>
  <c r="AD65" i="97"/>
  <c r="AC65" i="97"/>
  <c r="AB65" i="97"/>
  <c r="AA65" i="97"/>
  <c r="Z65" i="97"/>
  <c r="Y65" i="97"/>
  <c r="AE64" i="97"/>
  <c r="AD64" i="97"/>
  <c r="AC64" i="97"/>
  <c r="AB64" i="97"/>
  <c r="AA64" i="97"/>
  <c r="Z64" i="97"/>
  <c r="Y64" i="97"/>
  <c r="AE63" i="97"/>
  <c r="AD63" i="97"/>
  <c r="AC63" i="97"/>
  <c r="AB63" i="97"/>
  <c r="AA63" i="97"/>
  <c r="Z63" i="97"/>
  <c r="Y63" i="97"/>
  <c r="AE62" i="97"/>
  <c r="AD62" i="97"/>
  <c r="AC62" i="97"/>
  <c r="AB62" i="97"/>
  <c r="AA62" i="97"/>
  <c r="Z62" i="97"/>
  <c r="Y62" i="97"/>
  <c r="AE61" i="97"/>
  <c r="AD61" i="97"/>
  <c r="AC61" i="97"/>
  <c r="AB61" i="97"/>
  <c r="AA61" i="97"/>
  <c r="Z61" i="97"/>
  <c r="Y61" i="97"/>
  <c r="AE60" i="97"/>
  <c r="AD60" i="97"/>
  <c r="AC60" i="97"/>
  <c r="AB60" i="97"/>
  <c r="AA60" i="97"/>
  <c r="Z60" i="97"/>
  <c r="Y60" i="97"/>
  <c r="AE59" i="97"/>
  <c r="AD59" i="97"/>
  <c r="AC59" i="97"/>
  <c r="AB59" i="97"/>
  <c r="AA59" i="97"/>
  <c r="Z59" i="97"/>
  <c r="Y59" i="97"/>
  <c r="AE58" i="97"/>
  <c r="AD58" i="97"/>
  <c r="AC58" i="97"/>
  <c r="AB58" i="97"/>
  <c r="AA58" i="97"/>
  <c r="Z58" i="97"/>
  <c r="Y58" i="97"/>
  <c r="AE57" i="97"/>
  <c r="AD57" i="97"/>
  <c r="AC57" i="97"/>
  <c r="AB57" i="97"/>
  <c r="AA57" i="97"/>
  <c r="Z57" i="97"/>
  <c r="Y57" i="97"/>
  <c r="AE56" i="97"/>
  <c r="AD56" i="97"/>
  <c r="AC56" i="97"/>
  <c r="AB56" i="97"/>
  <c r="AA56" i="97"/>
  <c r="Z56" i="97"/>
  <c r="Y56" i="97"/>
  <c r="AE55" i="97"/>
  <c r="AD55" i="97"/>
  <c r="AC55" i="97"/>
  <c r="AB55" i="97"/>
  <c r="AA55" i="97"/>
  <c r="Z55" i="97"/>
  <c r="Y55" i="97"/>
  <c r="AE54" i="97"/>
  <c r="AD54" i="97"/>
  <c r="AC54" i="97"/>
  <c r="AB54" i="97"/>
  <c r="AA54" i="97"/>
  <c r="Z54" i="97"/>
  <c r="Y54" i="97"/>
  <c r="AE53" i="97"/>
  <c r="AD53" i="97"/>
  <c r="AC53" i="97"/>
  <c r="AB53" i="97"/>
  <c r="AA53" i="97"/>
  <c r="Z53" i="97"/>
  <c r="Y53" i="97"/>
  <c r="AE52" i="97"/>
  <c r="AD52" i="97"/>
  <c r="AC52" i="97"/>
  <c r="AB52" i="97"/>
  <c r="AA52" i="97"/>
  <c r="Z52" i="97"/>
  <c r="Y52" i="97"/>
  <c r="AE51" i="97"/>
  <c r="AD51" i="97"/>
  <c r="AC51" i="97"/>
  <c r="AB51" i="97"/>
  <c r="AA51" i="97"/>
  <c r="Z51" i="97"/>
  <c r="Y51" i="97"/>
  <c r="AE50" i="97"/>
  <c r="AD50" i="97"/>
  <c r="AC50" i="97"/>
  <c r="AB50" i="97"/>
  <c r="AA50" i="97"/>
  <c r="Z50" i="97"/>
  <c r="Y50" i="97"/>
  <c r="AA76" i="96"/>
  <c r="Y76" i="96"/>
  <c r="V76" i="96"/>
  <c r="U76" i="96"/>
  <c r="AD76" i="96"/>
  <c r="T76" i="96"/>
  <c r="AE76" i="96"/>
  <c r="S76" i="96"/>
  <c r="R76" i="96"/>
  <c r="Q76" i="96"/>
  <c r="P76" i="96"/>
  <c r="O76" i="96"/>
  <c r="N76" i="96"/>
  <c r="U74" i="96"/>
  <c r="T74" i="96"/>
  <c r="AE74" i="96"/>
  <c r="S74" i="96"/>
  <c r="AD74" i="96"/>
  <c r="R74" i="96"/>
  <c r="AC74" i="96"/>
  <c r="Q74" i="96"/>
  <c r="AB74" i="96"/>
  <c r="P74" i="96"/>
  <c r="AA74" i="96"/>
  <c r="O74" i="96"/>
  <c r="Z74" i="96"/>
  <c r="N74" i="96"/>
  <c r="Y74" i="96"/>
  <c r="U71" i="96"/>
  <c r="AE70" i="96"/>
  <c r="AD70" i="96"/>
  <c r="AC70" i="96"/>
  <c r="AB70" i="96"/>
  <c r="AA70" i="96"/>
  <c r="Z70" i="96"/>
  <c r="Y70" i="96"/>
  <c r="AE69" i="96"/>
  <c r="AD69" i="96"/>
  <c r="AC69" i="96"/>
  <c r="AB69" i="96"/>
  <c r="AA69" i="96"/>
  <c r="Z69" i="96"/>
  <c r="Y69" i="96"/>
  <c r="AE66" i="96"/>
  <c r="AD66" i="96"/>
  <c r="AC66" i="96"/>
  <c r="AB66" i="96"/>
  <c r="AA66" i="96"/>
  <c r="Z66" i="96"/>
  <c r="Y66" i="96"/>
  <c r="AE65" i="96"/>
  <c r="AD65" i="96"/>
  <c r="AC65" i="96"/>
  <c r="AB65" i="96"/>
  <c r="AA65" i="96"/>
  <c r="Z65" i="96"/>
  <c r="Y65" i="96"/>
  <c r="AE64" i="96"/>
  <c r="AD64" i="96"/>
  <c r="AC64" i="96"/>
  <c r="AB64" i="96"/>
  <c r="AA64" i="96"/>
  <c r="Z64" i="96"/>
  <c r="Y64" i="96"/>
  <c r="AE63" i="96"/>
  <c r="AD63" i="96"/>
  <c r="AC63" i="96"/>
  <c r="AB63" i="96"/>
  <c r="AA63" i="96"/>
  <c r="Z63" i="96"/>
  <c r="Y63" i="96"/>
  <c r="AE62" i="96"/>
  <c r="AD62" i="96"/>
  <c r="AC62" i="96"/>
  <c r="AB62" i="96"/>
  <c r="AA62" i="96"/>
  <c r="Z62" i="96"/>
  <c r="Y62" i="96"/>
  <c r="AE61" i="96"/>
  <c r="AD61" i="96"/>
  <c r="AC61" i="96"/>
  <c r="AB61" i="96"/>
  <c r="AA61" i="96"/>
  <c r="Z61" i="96"/>
  <c r="Y61" i="96"/>
  <c r="AE60" i="96"/>
  <c r="AD60" i="96"/>
  <c r="AC60" i="96"/>
  <c r="AB60" i="96"/>
  <c r="AA60" i="96"/>
  <c r="Z60" i="96"/>
  <c r="Y60" i="96"/>
  <c r="AE59" i="96"/>
  <c r="AD59" i="96"/>
  <c r="AC59" i="96"/>
  <c r="AB59" i="96"/>
  <c r="AA59" i="96"/>
  <c r="Z59" i="96"/>
  <c r="Y59" i="96"/>
  <c r="AE58" i="96"/>
  <c r="AD58" i="96"/>
  <c r="AC58" i="96"/>
  <c r="AB58" i="96"/>
  <c r="AA58" i="96"/>
  <c r="Z58" i="96"/>
  <c r="Y58" i="96"/>
  <c r="AE57" i="96"/>
  <c r="AD57" i="96"/>
  <c r="AC57" i="96"/>
  <c r="AB57" i="96"/>
  <c r="AA57" i="96"/>
  <c r="Z57" i="96"/>
  <c r="Y57" i="96"/>
  <c r="AE56" i="96"/>
  <c r="AD56" i="96"/>
  <c r="AC56" i="96"/>
  <c r="AB56" i="96"/>
  <c r="AA56" i="96"/>
  <c r="Z56" i="96"/>
  <c r="Y56" i="96"/>
  <c r="AE55" i="96"/>
  <c r="AD55" i="96"/>
  <c r="AC55" i="96"/>
  <c r="AB55" i="96"/>
  <c r="AA55" i="96"/>
  <c r="Z55" i="96"/>
  <c r="Y55" i="96"/>
  <c r="AE54" i="96"/>
  <c r="AD54" i="96"/>
  <c r="AC54" i="96"/>
  <c r="AB54" i="96"/>
  <c r="AA54" i="96"/>
  <c r="Z54" i="96"/>
  <c r="Y54" i="96"/>
  <c r="AE53" i="96"/>
  <c r="AD53" i="96"/>
  <c r="AC53" i="96"/>
  <c r="AB53" i="96"/>
  <c r="AA53" i="96"/>
  <c r="Z53" i="96"/>
  <c r="Y53" i="96"/>
  <c r="AE52" i="96"/>
  <c r="AD52" i="96"/>
  <c r="AC52" i="96"/>
  <c r="AB52" i="96"/>
  <c r="AA52" i="96"/>
  <c r="Z52" i="96"/>
  <c r="Y52" i="96"/>
  <c r="AE51" i="96"/>
  <c r="AD51" i="96"/>
  <c r="AC51" i="96"/>
  <c r="AB51" i="96"/>
  <c r="AA51" i="96"/>
  <c r="Z51" i="96"/>
  <c r="Y51" i="96"/>
  <c r="AE50" i="96"/>
  <c r="AD50" i="96"/>
  <c r="AC50" i="96"/>
  <c r="AB50" i="96"/>
  <c r="AA50" i="96"/>
  <c r="Z50" i="96"/>
  <c r="Y50" i="96"/>
  <c r="AD76" i="95"/>
  <c r="V76" i="95"/>
  <c r="U76" i="95"/>
  <c r="AB76" i="95"/>
  <c r="T76" i="95"/>
  <c r="S76" i="95"/>
  <c r="R76" i="95"/>
  <c r="AC76" i="95"/>
  <c r="Q76" i="95"/>
  <c r="P76" i="95"/>
  <c r="AA76" i="95"/>
  <c r="O76" i="95"/>
  <c r="Z76" i="95"/>
  <c r="N76" i="95"/>
  <c r="Y76" i="95"/>
  <c r="AD74" i="95"/>
  <c r="AA74" i="95"/>
  <c r="Y74" i="95"/>
  <c r="U74" i="95"/>
  <c r="T74" i="95"/>
  <c r="AE74" i="95"/>
  <c r="S74" i="95"/>
  <c r="R74" i="95"/>
  <c r="AC74" i="95"/>
  <c r="Q74" i="95"/>
  <c r="AB74" i="95"/>
  <c r="P74" i="95"/>
  <c r="O74" i="95"/>
  <c r="Z74" i="95"/>
  <c r="N74" i="95"/>
  <c r="U71" i="95"/>
  <c r="AE70" i="95"/>
  <c r="AD70" i="95"/>
  <c r="AC70" i="95"/>
  <c r="AB70" i="95"/>
  <c r="AA70" i="95"/>
  <c r="Z70" i="95"/>
  <c r="Y70" i="95"/>
  <c r="AE69" i="95"/>
  <c r="AD69" i="95"/>
  <c r="AC69" i="95"/>
  <c r="AB69" i="95"/>
  <c r="AA69" i="95"/>
  <c r="Z69" i="95"/>
  <c r="Y69" i="95"/>
  <c r="AE66" i="95"/>
  <c r="AD66" i="95"/>
  <c r="AC66" i="95"/>
  <c r="AB66" i="95"/>
  <c r="AA66" i="95"/>
  <c r="Z66" i="95"/>
  <c r="Y66" i="95"/>
  <c r="AE65" i="95"/>
  <c r="AD65" i="95"/>
  <c r="AC65" i="95"/>
  <c r="AB65" i="95"/>
  <c r="AA65" i="95"/>
  <c r="Z65" i="95"/>
  <c r="Y65" i="95"/>
  <c r="AE64" i="95"/>
  <c r="AD64" i="95"/>
  <c r="AC64" i="95"/>
  <c r="AB64" i="95"/>
  <c r="AA64" i="95"/>
  <c r="Z64" i="95"/>
  <c r="Y64" i="95"/>
  <c r="AE63" i="95"/>
  <c r="AD63" i="95"/>
  <c r="AC63" i="95"/>
  <c r="AB63" i="95"/>
  <c r="AA63" i="95"/>
  <c r="Z63" i="95"/>
  <c r="Y63" i="95"/>
  <c r="AE62" i="95"/>
  <c r="AD62" i="95"/>
  <c r="AC62" i="95"/>
  <c r="AB62" i="95"/>
  <c r="AA62" i="95"/>
  <c r="Z62" i="95"/>
  <c r="Y62" i="95"/>
  <c r="AE61" i="95"/>
  <c r="AD61" i="95"/>
  <c r="AC61" i="95"/>
  <c r="AB61" i="95"/>
  <c r="AA61" i="95"/>
  <c r="Z61" i="95"/>
  <c r="Y61" i="95"/>
  <c r="AE60" i="95"/>
  <c r="AD60" i="95"/>
  <c r="AC60" i="95"/>
  <c r="AB60" i="95"/>
  <c r="AA60" i="95"/>
  <c r="Z60" i="95"/>
  <c r="Y60" i="95"/>
  <c r="AE59" i="95"/>
  <c r="AD59" i="95"/>
  <c r="AC59" i="95"/>
  <c r="AB59" i="95"/>
  <c r="AA59" i="95"/>
  <c r="Z59" i="95"/>
  <c r="Y59" i="95"/>
  <c r="AE58" i="95"/>
  <c r="AD58" i="95"/>
  <c r="AC58" i="95"/>
  <c r="AB58" i="95"/>
  <c r="AA58" i="95"/>
  <c r="Z58" i="95"/>
  <c r="Y58" i="95"/>
  <c r="AE57" i="95"/>
  <c r="AD57" i="95"/>
  <c r="AC57" i="95"/>
  <c r="AB57" i="95"/>
  <c r="AA57" i="95"/>
  <c r="Z57" i="95"/>
  <c r="Y57" i="95"/>
  <c r="AE56" i="95"/>
  <c r="AD56" i="95"/>
  <c r="AC56" i="95"/>
  <c r="AB56" i="95"/>
  <c r="AA56" i="95"/>
  <c r="Z56" i="95"/>
  <c r="Y56" i="95"/>
  <c r="AE55" i="95"/>
  <c r="AD55" i="95"/>
  <c r="AC55" i="95"/>
  <c r="AB55" i="95"/>
  <c r="AA55" i="95"/>
  <c r="Z55" i="95"/>
  <c r="Y55" i="95"/>
  <c r="AE54" i="95"/>
  <c r="AD54" i="95"/>
  <c r="AC54" i="95"/>
  <c r="AB54" i="95"/>
  <c r="AA54" i="95"/>
  <c r="Z54" i="95"/>
  <c r="Y54" i="95"/>
  <c r="AE53" i="95"/>
  <c r="AD53" i="95"/>
  <c r="AC53" i="95"/>
  <c r="AB53" i="95"/>
  <c r="AA53" i="95"/>
  <c r="Z53" i="95"/>
  <c r="Y53" i="95"/>
  <c r="AE52" i="95"/>
  <c r="AD52" i="95"/>
  <c r="AC52" i="95"/>
  <c r="AB52" i="95"/>
  <c r="AA52" i="95"/>
  <c r="Z52" i="95"/>
  <c r="Y52" i="95"/>
  <c r="AE51" i="95"/>
  <c r="AD51" i="95"/>
  <c r="AC51" i="95"/>
  <c r="AB51" i="95"/>
  <c r="AA51" i="95"/>
  <c r="Z51" i="95"/>
  <c r="Y51" i="95"/>
  <c r="AE50" i="95"/>
  <c r="AD50" i="95"/>
  <c r="AC50" i="95"/>
  <c r="AB50" i="95"/>
  <c r="AA50" i="95"/>
  <c r="Z50" i="95"/>
  <c r="Y50" i="95"/>
  <c r="V76" i="94"/>
  <c r="U76" i="94"/>
  <c r="AB76" i="94"/>
  <c r="T76" i="94"/>
  <c r="AE76" i="94"/>
  <c r="S76" i="94"/>
  <c r="AD76" i="94"/>
  <c r="R76" i="94"/>
  <c r="AC76" i="94"/>
  <c r="Q76" i="94"/>
  <c r="P76" i="94"/>
  <c r="O76" i="94"/>
  <c r="N76" i="94"/>
  <c r="AD74" i="94"/>
  <c r="U74" i="94"/>
  <c r="T74" i="94"/>
  <c r="AE74" i="94"/>
  <c r="S74" i="94"/>
  <c r="R74" i="94"/>
  <c r="AC74" i="94"/>
  <c r="Q74" i="94"/>
  <c r="AB74" i="94"/>
  <c r="P74" i="94"/>
  <c r="AA74" i="94"/>
  <c r="O74" i="94"/>
  <c r="Z74" i="94"/>
  <c r="N74" i="94"/>
  <c r="Y74" i="94"/>
  <c r="U71" i="94"/>
  <c r="AE70" i="94"/>
  <c r="AD70" i="94"/>
  <c r="AC70" i="94"/>
  <c r="AB70" i="94"/>
  <c r="AA70" i="94"/>
  <c r="Z70" i="94"/>
  <c r="Y70" i="94"/>
  <c r="AE69" i="94"/>
  <c r="AD69" i="94"/>
  <c r="AC69" i="94"/>
  <c r="AB69" i="94"/>
  <c r="AA69" i="94"/>
  <c r="Z69" i="94"/>
  <c r="Y69" i="94"/>
  <c r="AE66" i="94"/>
  <c r="AD66" i="94"/>
  <c r="AC66" i="94"/>
  <c r="AB66" i="94"/>
  <c r="AA66" i="94"/>
  <c r="Z66" i="94"/>
  <c r="Y66" i="94"/>
  <c r="AE65" i="94"/>
  <c r="AD65" i="94"/>
  <c r="AC65" i="94"/>
  <c r="AB65" i="94"/>
  <c r="AA65" i="94"/>
  <c r="Z65" i="94"/>
  <c r="Y65" i="94"/>
  <c r="AE64" i="94"/>
  <c r="AD64" i="94"/>
  <c r="AC64" i="94"/>
  <c r="AB64" i="94"/>
  <c r="AA64" i="94"/>
  <c r="Z64" i="94"/>
  <c r="Y64" i="94"/>
  <c r="AE63" i="94"/>
  <c r="AD63" i="94"/>
  <c r="AC63" i="94"/>
  <c r="AB63" i="94"/>
  <c r="AA63" i="94"/>
  <c r="Z63" i="94"/>
  <c r="Y63" i="94"/>
  <c r="AE62" i="94"/>
  <c r="AD62" i="94"/>
  <c r="AC62" i="94"/>
  <c r="AB62" i="94"/>
  <c r="AA62" i="94"/>
  <c r="Z62" i="94"/>
  <c r="Y62" i="94"/>
  <c r="AE61" i="94"/>
  <c r="AD61" i="94"/>
  <c r="AC61" i="94"/>
  <c r="AB61" i="94"/>
  <c r="AA61" i="94"/>
  <c r="Z61" i="94"/>
  <c r="Y61" i="94"/>
  <c r="AE60" i="94"/>
  <c r="AD60" i="94"/>
  <c r="AC60" i="94"/>
  <c r="AB60" i="94"/>
  <c r="AA60" i="94"/>
  <c r="Z60" i="94"/>
  <c r="Y60" i="94"/>
  <c r="AE59" i="94"/>
  <c r="AD59" i="94"/>
  <c r="AC59" i="94"/>
  <c r="AB59" i="94"/>
  <c r="AA59" i="94"/>
  <c r="Z59" i="94"/>
  <c r="Y59" i="94"/>
  <c r="AE58" i="94"/>
  <c r="AD58" i="94"/>
  <c r="AC58" i="94"/>
  <c r="AB58" i="94"/>
  <c r="AA58" i="94"/>
  <c r="Z58" i="94"/>
  <c r="Y58" i="94"/>
  <c r="AE57" i="94"/>
  <c r="AD57" i="94"/>
  <c r="AC57" i="94"/>
  <c r="AB57" i="94"/>
  <c r="AA57" i="94"/>
  <c r="Z57" i="94"/>
  <c r="Y57" i="94"/>
  <c r="AE56" i="94"/>
  <c r="AD56" i="94"/>
  <c r="AC56" i="94"/>
  <c r="AB56" i="94"/>
  <c r="AA56" i="94"/>
  <c r="Z56" i="94"/>
  <c r="Y56" i="94"/>
  <c r="AE55" i="94"/>
  <c r="AD55" i="94"/>
  <c r="AC55" i="94"/>
  <c r="AB55" i="94"/>
  <c r="AA55" i="94"/>
  <c r="Z55" i="94"/>
  <c r="Y55" i="94"/>
  <c r="AE54" i="94"/>
  <c r="AD54" i="94"/>
  <c r="AC54" i="94"/>
  <c r="AB54" i="94"/>
  <c r="AA54" i="94"/>
  <c r="Z54" i="94"/>
  <c r="Y54" i="94"/>
  <c r="AE53" i="94"/>
  <c r="AD53" i="94"/>
  <c r="AC53" i="94"/>
  <c r="AB53" i="94"/>
  <c r="AA53" i="94"/>
  <c r="Z53" i="94"/>
  <c r="Y53" i="94"/>
  <c r="AE52" i="94"/>
  <c r="AD52" i="94"/>
  <c r="AC52" i="94"/>
  <c r="AB52" i="94"/>
  <c r="AA52" i="94"/>
  <c r="Z52" i="94"/>
  <c r="Y52" i="94"/>
  <c r="AE51" i="94"/>
  <c r="AD51" i="94"/>
  <c r="AC51" i="94"/>
  <c r="AB51" i="94"/>
  <c r="AA51" i="94"/>
  <c r="Z51" i="94"/>
  <c r="Y51" i="94"/>
  <c r="AE50" i="94"/>
  <c r="AD50" i="94"/>
  <c r="AC50" i="94"/>
  <c r="AB50" i="94"/>
  <c r="AA50" i="94"/>
  <c r="Z50" i="94"/>
  <c r="Y50" i="94"/>
  <c r="AD76" i="93"/>
  <c r="AB76" i="93"/>
  <c r="Z76" i="93"/>
  <c r="V76" i="93"/>
  <c r="U76" i="93"/>
  <c r="T76" i="93"/>
  <c r="S76" i="93"/>
  <c r="R76" i="93"/>
  <c r="Q76" i="93"/>
  <c r="P76" i="93"/>
  <c r="AA76" i="93"/>
  <c r="O76" i="93"/>
  <c r="N76" i="93"/>
  <c r="Y76" i="93"/>
  <c r="Y74" i="93"/>
  <c r="U74" i="93"/>
  <c r="T74" i="93"/>
  <c r="AE74" i="93"/>
  <c r="S74" i="93"/>
  <c r="AD74" i="93"/>
  <c r="R74" i="93"/>
  <c r="AC74" i="93"/>
  <c r="Q74" i="93"/>
  <c r="AB74" i="93"/>
  <c r="P74" i="93"/>
  <c r="AA74" i="93"/>
  <c r="O74" i="93"/>
  <c r="Z74" i="93"/>
  <c r="N74" i="93"/>
  <c r="U71" i="93"/>
  <c r="AE70" i="93"/>
  <c r="AD70" i="93"/>
  <c r="AC70" i="93"/>
  <c r="AB70" i="93"/>
  <c r="AA70" i="93"/>
  <c r="Z70" i="93"/>
  <c r="Y70" i="93"/>
  <c r="AE69" i="93"/>
  <c r="AD69" i="93"/>
  <c r="AC69" i="93"/>
  <c r="AB69" i="93"/>
  <c r="AA69" i="93"/>
  <c r="Z69" i="93"/>
  <c r="Y69" i="93"/>
  <c r="AE66" i="93"/>
  <c r="AD66" i="93"/>
  <c r="AC66" i="93"/>
  <c r="AB66" i="93"/>
  <c r="AA66" i="93"/>
  <c r="Z66" i="93"/>
  <c r="Y66" i="93"/>
  <c r="AE65" i="93"/>
  <c r="AD65" i="93"/>
  <c r="AC65" i="93"/>
  <c r="AB65" i="93"/>
  <c r="AA65" i="93"/>
  <c r="Z65" i="93"/>
  <c r="Y65" i="93"/>
  <c r="AE64" i="93"/>
  <c r="AD64" i="93"/>
  <c r="AC64" i="93"/>
  <c r="AB64" i="93"/>
  <c r="AA64" i="93"/>
  <c r="Z64" i="93"/>
  <c r="Y64" i="93"/>
  <c r="AE63" i="93"/>
  <c r="AD63" i="93"/>
  <c r="AC63" i="93"/>
  <c r="AB63" i="93"/>
  <c r="AA63" i="93"/>
  <c r="Z63" i="93"/>
  <c r="Y63" i="93"/>
  <c r="AE62" i="93"/>
  <c r="AD62" i="93"/>
  <c r="AC62" i="93"/>
  <c r="AB62" i="93"/>
  <c r="AA62" i="93"/>
  <c r="Z62" i="93"/>
  <c r="Y62" i="93"/>
  <c r="AE61" i="93"/>
  <c r="AD61" i="93"/>
  <c r="AC61" i="93"/>
  <c r="AB61" i="93"/>
  <c r="AA61" i="93"/>
  <c r="Z61" i="93"/>
  <c r="Y61" i="93"/>
  <c r="AE60" i="93"/>
  <c r="AD60" i="93"/>
  <c r="AC60" i="93"/>
  <c r="AB60" i="93"/>
  <c r="AA60" i="93"/>
  <c r="Z60" i="93"/>
  <c r="Y60" i="93"/>
  <c r="AE59" i="93"/>
  <c r="AD59" i="93"/>
  <c r="AC59" i="93"/>
  <c r="AB59" i="93"/>
  <c r="AA59" i="93"/>
  <c r="Z59" i="93"/>
  <c r="Y59" i="93"/>
  <c r="AE58" i="93"/>
  <c r="AD58" i="93"/>
  <c r="AC58" i="93"/>
  <c r="AB58" i="93"/>
  <c r="AA58" i="93"/>
  <c r="Z58" i="93"/>
  <c r="Y58" i="93"/>
  <c r="AE57" i="93"/>
  <c r="AD57" i="93"/>
  <c r="AC57" i="93"/>
  <c r="AB57" i="93"/>
  <c r="AA57" i="93"/>
  <c r="Z57" i="93"/>
  <c r="Y57" i="93"/>
  <c r="AE56" i="93"/>
  <c r="AD56" i="93"/>
  <c r="AC56" i="93"/>
  <c r="AB56" i="93"/>
  <c r="AA56" i="93"/>
  <c r="Z56" i="93"/>
  <c r="Y56" i="93"/>
  <c r="AE55" i="93"/>
  <c r="AD55" i="93"/>
  <c r="AC55" i="93"/>
  <c r="AB55" i="93"/>
  <c r="AA55" i="93"/>
  <c r="Z55" i="93"/>
  <c r="Y55" i="93"/>
  <c r="AE54" i="93"/>
  <c r="AD54" i="93"/>
  <c r="AC54" i="93"/>
  <c r="AB54" i="93"/>
  <c r="AA54" i="93"/>
  <c r="Z54" i="93"/>
  <c r="Y54" i="93"/>
  <c r="AE53" i="93"/>
  <c r="AD53" i="93"/>
  <c r="AC53" i="93"/>
  <c r="AB53" i="93"/>
  <c r="AA53" i="93"/>
  <c r="Z53" i="93"/>
  <c r="Y53" i="93"/>
  <c r="AE52" i="93"/>
  <c r="AD52" i="93"/>
  <c r="AC52" i="93"/>
  <c r="AB52" i="93"/>
  <c r="AA52" i="93"/>
  <c r="Z52" i="93"/>
  <c r="Y52" i="93"/>
  <c r="AE51" i="93"/>
  <c r="AD51" i="93"/>
  <c r="AC51" i="93"/>
  <c r="AB51" i="93"/>
  <c r="AA51" i="93"/>
  <c r="Z51" i="93"/>
  <c r="Y51" i="93"/>
  <c r="AE50" i="93"/>
  <c r="AD50" i="93"/>
  <c r="AC50" i="93"/>
  <c r="AB50" i="93"/>
  <c r="AA50" i="93"/>
  <c r="Z50" i="93"/>
  <c r="Y50" i="93"/>
  <c r="V76" i="92"/>
  <c r="U76" i="92"/>
  <c r="AE76" i="92"/>
  <c r="T76" i="92"/>
  <c r="S76" i="92"/>
  <c r="AD76" i="92"/>
  <c r="R76" i="92"/>
  <c r="AC76" i="92"/>
  <c r="Q76" i="92"/>
  <c r="AB76" i="92"/>
  <c r="P76" i="92"/>
  <c r="AA76" i="92"/>
  <c r="O76" i="92"/>
  <c r="N76" i="92"/>
  <c r="Y76" i="92"/>
  <c r="AD74" i="92"/>
  <c r="AB74" i="92"/>
  <c r="U74" i="92"/>
  <c r="T74" i="92"/>
  <c r="AE74" i="92"/>
  <c r="S74" i="92"/>
  <c r="R74" i="92"/>
  <c r="AC74" i="92"/>
  <c r="Q74" i="92"/>
  <c r="P74" i="92"/>
  <c r="AA74" i="92"/>
  <c r="O74" i="92"/>
  <c r="Z74" i="92"/>
  <c r="N74" i="92"/>
  <c r="Y74" i="92"/>
  <c r="U71" i="92"/>
  <c r="AE70" i="92"/>
  <c r="AD70" i="92"/>
  <c r="AC70" i="92"/>
  <c r="AB70" i="92"/>
  <c r="AA70" i="92"/>
  <c r="Z70" i="92"/>
  <c r="Y70" i="92"/>
  <c r="AE69" i="92"/>
  <c r="AD69" i="92"/>
  <c r="AC69" i="92"/>
  <c r="AB69" i="92"/>
  <c r="AA69" i="92"/>
  <c r="Z69" i="92"/>
  <c r="Y69" i="92"/>
  <c r="AE66" i="92"/>
  <c r="AD66" i="92"/>
  <c r="AC66" i="92"/>
  <c r="AB66" i="92"/>
  <c r="AA66" i="92"/>
  <c r="Z66" i="92"/>
  <c r="Y66" i="92"/>
  <c r="AE65" i="92"/>
  <c r="AD65" i="92"/>
  <c r="AC65" i="92"/>
  <c r="AB65" i="92"/>
  <c r="AA65" i="92"/>
  <c r="Z65" i="92"/>
  <c r="Y65" i="92"/>
  <c r="AE64" i="92"/>
  <c r="AD64" i="92"/>
  <c r="AC64" i="92"/>
  <c r="AB64" i="92"/>
  <c r="AA64" i="92"/>
  <c r="Z64" i="92"/>
  <c r="Y64" i="92"/>
  <c r="AE63" i="92"/>
  <c r="AD63" i="92"/>
  <c r="AC63" i="92"/>
  <c r="AB63" i="92"/>
  <c r="AA63" i="92"/>
  <c r="Z63" i="92"/>
  <c r="Y63" i="92"/>
  <c r="AE62" i="92"/>
  <c r="AD62" i="92"/>
  <c r="AC62" i="92"/>
  <c r="AB62" i="92"/>
  <c r="AA62" i="92"/>
  <c r="Z62" i="92"/>
  <c r="Y62" i="92"/>
  <c r="AE61" i="92"/>
  <c r="AD61" i="92"/>
  <c r="AC61" i="92"/>
  <c r="AB61" i="92"/>
  <c r="AA61" i="92"/>
  <c r="Z61" i="92"/>
  <c r="Y61" i="92"/>
  <c r="AE60" i="92"/>
  <c r="AD60" i="92"/>
  <c r="AC60" i="92"/>
  <c r="AB60" i="92"/>
  <c r="AA60" i="92"/>
  <c r="Z60" i="92"/>
  <c r="Y60" i="92"/>
  <c r="AE59" i="92"/>
  <c r="AD59" i="92"/>
  <c r="AC59" i="92"/>
  <c r="AB59" i="92"/>
  <c r="AA59" i="92"/>
  <c r="Z59" i="92"/>
  <c r="Y59" i="92"/>
  <c r="AE58" i="92"/>
  <c r="AD58" i="92"/>
  <c r="AC58" i="92"/>
  <c r="AB58" i="92"/>
  <c r="AA58" i="92"/>
  <c r="Z58" i="92"/>
  <c r="Y58" i="92"/>
  <c r="AE57" i="92"/>
  <c r="AD57" i="92"/>
  <c r="AC57" i="92"/>
  <c r="AB57" i="92"/>
  <c r="AA57" i="92"/>
  <c r="Z57" i="92"/>
  <c r="Y57" i="92"/>
  <c r="AE56" i="92"/>
  <c r="AD56" i="92"/>
  <c r="AC56" i="92"/>
  <c r="AB56" i="92"/>
  <c r="AA56" i="92"/>
  <c r="Z56" i="92"/>
  <c r="Y56" i="92"/>
  <c r="AE55" i="92"/>
  <c r="AD55" i="92"/>
  <c r="AC55" i="92"/>
  <c r="AB55" i="92"/>
  <c r="AA55" i="92"/>
  <c r="Z55" i="92"/>
  <c r="Y55" i="92"/>
  <c r="AE54" i="92"/>
  <c r="AD54" i="92"/>
  <c r="AC54" i="92"/>
  <c r="AB54" i="92"/>
  <c r="AA54" i="92"/>
  <c r="Z54" i="92"/>
  <c r="Y54" i="92"/>
  <c r="AE53" i="92"/>
  <c r="AD53" i="92"/>
  <c r="AC53" i="92"/>
  <c r="AB53" i="92"/>
  <c r="AA53" i="92"/>
  <c r="Z53" i="92"/>
  <c r="Y53" i="92"/>
  <c r="AE52" i="92"/>
  <c r="AD52" i="92"/>
  <c r="AC52" i="92"/>
  <c r="AB52" i="92"/>
  <c r="AA52" i="92"/>
  <c r="Z52" i="92"/>
  <c r="Y52" i="92"/>
  <c r="AE51" i="92"/>
  <c r="AD51" i="92"/>
  <c r="AC51" i="92"/>
  <c r="AB51" i="92"/>
  <c r="AA51" i="92"/>
  <c r="Z51" i="92"/>
  <c r="Y51" i="92"/>
  <c r="AE50" i="92"/>
  <c r="AD50" i="92"/>
  <c r="AC50" i="92"/>
  <c r="AB50" i="92"/>
  <c r="AA50" i="92"/>
  <c r="Z50" i="92"/>
  <c r="Y50" i="92"/>
  <c r="AE76" i="91"/>
  <c r="AB76" i="91"/>
  <c r="Z76" i="91"/>
  <c r="V76" i="91"/>
  <c r="U76" i="91"/>
  <c r="T76" i="91"/>
  <c r="S76" i="91"/>
  <c r="AD76" i="91"/>
  <c r="R76" i="91"/>
  <c r="Q76" i="91"/>
  <c r="P76" i="91"/>
  <c r="O76" i="91"/>
  <c r="N76" i="91"/>
  <c r="Y76" i="91"/>
  <c r="Z74" i="91"/>
  <c r="U74" i="91"/>
  <c r="T74" i="91"/>
  <c r="AE74" i="91"/>
  <c r="S74" i="91"/>
  <c r="AD74" i="91"/>
  <c r="R74" i="91"/>
  <c r="AC74" i="91"/>
  <c r="Q74" i="91"/>
  <c r="AB74" i="91"/>
  <c r="P74" i="91"/>
  <c r="AA74" i="91"/>
  <c r="O74" i="91"/>
  <c r="N74" i="91"/>
  <c r="Y74" i="91"/>
  <c r="U71" i="91"/>
  <c r="AE70" i="91"/>
  <c r="AD70" i="91"/>
  <c r="AC70" i="91"/>
  <c r="AB70" i="91"/>
  <c r="AA70" i="91"/>
  <c r="Z70" i="91"/>
  <c r="Y70" i="91"/>
  <c r="AE69" i="91"/>
  <c r="AD69" i="91"/>
  <c r="AC69" i="91"/>
  <c r="AB69" i="91"/>
  <c r="AA69" i="91"/>
  <c r="Z69" i="91"/>
  <c r="Y69" i="91"/>
  <c r="AE66" i="91"/>
  <c r="AD66" i="91"/>
  <c r="AC66" i="91"/>
  <c r="AB66" i="91"/>
  <c r="AA66" i="91"/>
  <c r="Z66" i="91"/>
  <c r="Y66" i="91"/>
  <c r="AE65" i="91"/>
  <c r="AD65" i="91"/>
  <c r="AC65" i="91"/>
  <c r="AB65" i="91"/>
  <c r="AA65" i="91"/>
  <c r="Z65" i="91"/>
  <c r="Y65" i="91"/>
  <c r="AE64" i="91"/>
  <c r="AD64" i="91"/>
  <c r="AC64" i="91"/>
  <c r="AB64" i="91"/>
  <c r="AA64" i="91"/>
  <c r="Z64" i="91"/>
  <c r="Y64" i="91"/>
  <c r="AE63" i="91"/>
  <c r="AD63" i="91"/>
  <c r="AC63" i="91"/>
  <c r="AB63" i="91"/>
  <c r="AA63" i="91"/>
  <c r="Z63" i="91"/>
  <c r="Y63" i="91"/>
  <c r="AE62" i="91"/>
  <c r="AD62" i="91"/>
  <c r="AC62" i="91"/>
  <c r="AB62" i="91"/>
  <c r="AA62" i="91"/>
  <c r="Z62" i="91"/>
  <c r="Y62" i="91"/>
  <c r="AE61" i="91"/>
  <c r="AD61" i="91"/>
  <c r="AC61" i="91"/>
  <c r="AB61" i="91"/>
  <c r="AA61" i="91"/>
  <c r="Z61" i="91"/>
  <c r="Y61" i="91"/>
  <c r="AE60" i="91"/>
  <c r="AD60" i="91"/>
  <c r="AC60" i="91"/>
  <c r="AB60" i="91"/>
  <c r="AA60" i="91"/>
  <c r="Z60" i="91"/>
  <c r="Y60" i="91"/>
  <c r="AE59" i="91"/>
  <c r="AD59" i="91"/>
  <c r="AC59" i="91"/>
  <c r="AB59" i="91"/>
  <c r="AA59" i="91"/>
  <c r="Z59" i="91"/>
  <c r="Y59" i="91"/>
  <c r="AE58" i="91"/>
  <c r="AD58" i="91"/>
  <c r="AC58" i="91"/>
  <c r="AB58" i="91"/>
  <c r="AA58" i="91"/>
  <c r="Z58" i="91"/>
  <c r="Y58" i="91"/>
  <c r="AE57" i="91"/>
  <c r="AD57" i="91"/>
  <c r="AC57" i="91"/>
  <c r="AB57" i="91"/>
  <c r="AA57" i="91"/>
  <c r="Z57" i="91"/>
  <c r="Y57" i="91"/>
  <c r="AE56" i="91"/>
  <c r="AD56" i="91"/>
  <c r="AC56" i="91"/>
  <c r="AB56" i="91"/>
  <c r="AA56" i="91"/>
  <c r="Z56" i="91"/>
  <c r="Y56" i="91"/>
  <c r="AE55" i="91"/>
  <c r="AD55" i="91"/>
  <c r="AC55" i="91"/>
  <c r="AB55" i="91"/>
  <c r="AA55" i="91"/>
  <c r="Z55" i="91"/>
  <c r="Y55" i="91"/>
  <c r="AE54" i="91"/>
  <c r="AD54" i="91"/>
  <c r="AC54" i="91"/>
  <c r="AB54" i="91"/>
  <c r="AA54" i="91"/>
  <c r="Z54" i="91"/>
  <c r="Y54" i="91"/>
  <c r="AE53" i="91"/>
  <c r="AD53" i="91"/>
  <c r="AC53" i="91"/>
  <c r="AB53" i="91"/>
  <c r="AA53" i="91"/>
  <c r="Z53" i="91"/>
  <c r="Y53" i="91"/>
  <c r="AE52" i="91"/>
  <c r="AD52" i="91"/>
  <c r="AC52" i="91"/>
  <c r="AB52" i="91"/>
  <c r="AA52" i="91"/>
  <c r="Z52" i="91"/>
  <c r="Y52" i="91"/>
  <c r="AE51" i="91"/>
  <c r="AD51" i="91"/>
  <c r="AC51" i="91"/>
  <c r="AB51" i="91"/>
  <c r="AA51" i="91"/>
  <c r="Z51" i="91"/>
  <c r="Y51" i="91"/>
  <c r="AE50" i="91"/>
  <c r="AD50" i="91"/>
  <c r="AC50" i="91"/>
  <c r="AB50" i="91"/>
  <c r="AA50" i="91"/>
  <c r="Z50" i="91"/>
  <c r="Y50" i="91"/>
  <c r="AA75" i="91"/>
  <c r="AA75" i="98"/>
  <c r="AD75" i="95"/>
  <c r="AA75" i="94"/>
  <c r="AE75" i="95"/>
  <c r="AA76" i="91"/>
  <c r="AC76" i="93"/>
  <c r="AE76" i="95"/>
  <c r="Z76" i="96"/>
  <c r="AB76" i="98"/>
  <c r="AC76" i="91"/>
  <c r="AE76" i="93"/>
  <c r="Z76" i="94"/>
  <c r="AB76" i="96"/>
  <c r="AD76" i="98"/>
  <c r="Y76" i="99"/>
  <c r="AA74" i="100"/>
  <c r="Z74" i="100"/>
  <c r="AA76" i="94"/>
  <c r="AC76" i="96"/>
  <c r="AE76" i="98"/>
  <c r="Z76" i="99"/>
  <c r="AB76" i="101"/>
  <c r="Y76" i="94"/>
  <c r="Z76" i="92"/>
  <c r="H51" i="34"/>
  <c r="I51" i="34"/>
  <c r="FH463" i="90"/>
  <c r="FG463" i="90"/>
  <c r="FF463" i="90"/>
  <c r="EI463" i="90"/>
  <c r="EH463" i="90"/>
  <c r="EG463" i="90"/>
  <c r="DJ463" i="90"/>
  <c r="DI463" i="90"/>
  <c r="DH463" i="90"/>
  <c r="CK463" i="90"/>
  <c r="CJ463" i="90"/>
  <c r="CI463" i="90"/>
  <c r="BL463" i="90"/>
  <c r="BK463" i="90"/>
  <c r="BJ463" i="90"/>
  <c r="BI463" i="90"/>
  <c r="BH463" i="90"/>
  <c r="BG463" i="90"/>
  <c r="BF463" i="90"/>
  <c r="BE463" i="90"/>
  <c r="BD463" i="90"/>
  <c r="BC463" i="90"/>
  <c r="BB463" i="90"/>
  <c r="BA463" i="90"/>
  <c r="AZ463" i="90"/>
  <c r="AY463" i="90"/>
  <c r="AX463" i="90"/>
  <c r="AW463" i="90"/>
  <c r="AV463" i="90"/>
  <c r="AU463" i="90"/>
  <c r="AT463" i="90"/>
  <c r="AS463" i="90"/>
  <c r="AR463" i="90"/>
  <c r="AQ463" i="90"/>
  <c r="AP463" i="90"/>
  <c r="AO463" i="90"/>
  <c r="AN463" i="90"/>
  <c r="AM463" i="90"/>
  <c r="AL463" i="90"/>
  <c r="AK463" i="90"/>
  <c r="AJ463" i="90"/>
  <c r="AI463" i="90"/>
  <c r="AH463" i="90"/>
  <c r="AG463" i="90"/>
  <c r="AF463" i="90"/>
  <c r="AE463" i="90"/>
  <c r="AD463" i="90"/>
  <c r="AC463" i="90"/>
  <c r="AB463" i="90"/>
  <c r="AA463" i="90"/>
  <c r="X463" i="90"/>
  <c r="W463" i="90"/>
  <c r="V463" i="90"/>
  <c r="U463" i="90"/>
  <c r="T463" i="90"/>
  <c r="S463" i="90"/>
  <c r="R463" i="90"/>
  <c r="Q463" i="90"/>
  <c r="P463" i="90"/>
  <c r="O463" i="90"/>
  <c r="N463" i="90"/>
  <c r="M463" i="90"/>
  <c r="L463" i="90"/>
  <c r="K463" i="90"/>
  <c r="J463" i="90"/>
  <c r="I463" i="90"/>
  <c r="H463" i="90"/>
  <c r="G463" i="90"/>
  <c r="FH462" i="90"/>
  <c r="FH464" i="90"/>
  <c r="FG462" i="90"/>
  <c r="FG464" i="90"/>
  <c r="FF462" i="90"/>
  <c r="FF464" i="90"/>
  <c r="EI462" i="90"/>
  <c r="EI464" i="90"/>
  <c r="EH462" i="90"/>
  <c r="EH464" i="90"/>
  <c r="EG462" i="90"/>
  <c r="DJ462" i="90"/>
  <c r="DJ464" i="90"/>
  <c r="DI462" i="90"/>
  <c r="DH462" i="90"/>
  <c r="DH464" i="90"/>
  <c r="CK462" i="90"/>
  <c r="CK464" i="90"/>
  <c r="CJ462" i="90"/>
  <c r="CJ464" i="90"/>
  <c r="CI462" i="90"/>
  <c r="CI464" i="90"/>
  <c r="BL462" i="90"/>
  <c r="BL464" i="90"/>
  <c r="BK462" i="90"/>
  <c r="BJ462" i="90"/>
  <c r="BJ464" i="90"/>
  <c r="BI462" i="90"/>
  <c r="BI464" i="90"/>
  <c r="BH462" i="90"/>
  <c r="BH464" i="90"/>
  <c r="BG462" i="90"/>
  <c r="BG464" i="90"/>
  <c r="BF462" i="90"/>
  <c r="BF464" i="90"/>
  <c r="BE462" i="90"/>
  <c r="BE464" i="90"/>
  <c r="BD462" i="90"/>
  <c r="BD464" i="90"/>
  <c r="BC462" i="90"/>
  <c r="BC464" i="90"/>
  <c r="BB462" i="90"/>
  <c r="BB464" i="90"/>
  <c r="BA462" i="90"/>
  <c r="AZ462" i="90"/>
  <c r="AZ464" i="90"/>
  <c r="AY462" i="90"/>
  <c r="AX462" i="90"/>
  <c r="AX464" i="90"/>
  <c r="AW462" i="90"/>
  <c r="AW464" i="90"/>
  <c r="AV462" i="90"/>
  <c r="AV464" i="90"/>
  <c r="AU462" i="90"/>
  <c r="AU464" i="90"/>
  <c r="AT462" i="90"/>
  <c r="AT464" i="90"/>
  <c r="AS462" i="90"/>
  <c r="AR462" i="90"/>
  <c r="AQ462" i="90"/>
  <c r="AQ464" i="90"/>
  <c r="AP462" i="90"/>
  <c r="AO462" i="90"/>
  <c r="AN462" i="90"/>
  <c r="AN464" i="90"/>
  <c r="AM462" i="90"/>
  <c r="AL462" i="90"/>
  <c r="AK462" i="90"/>
  <c r="AK464" i="90"/>
  <c r="AJ462" i="90"/>
  <c r="AJ464" i="90"/>
  <c r="AI462" i="90"/>
  <c r="AI464" i="90"/>
  <c r="AH462" i="90"/>
  <c r="AH464" i="90"/>
  <c r="AG462" i="90"/>
  <c r="AF462" i="90"/>
  <c r="AE462" i="90"/>
  <c r="AE464" i="90"/>
  <c r="AD462" i="90"/>
  <c r="AC462" i="90"/>
  <c r="AB462" i="90"/>
  <c r="AB464" i="90"/>
  <c r="AA462" i="90"/>
  <c r="X462" i="90"/>
  <c r="W462" i="90"/>
  <c r="W464" i="90"/>
  <c r="V462" i="90"/>
  <c r="V464" i="90"/>
  <c r="U462" i="90"/>
  <c r="U464" i="90"/>
  <c r="T462" i="90"/>
  <c r="T464" i="90"/>
  <c r="S462" i="90"/>
  <c r="R462" i="90"/>
  <c r="Q462" i="90"/>
  <c r="Q464" i="90"/>
  <c r="P462" i="90"/>
  <c r="O462" i="90"/>
  <c r="N462" i="90"/>
  <c r="M462" i="90"/>
  <c r="L462" i="90"/>
  <c r="K462" i="90"/>
  <c r="K464" i="90"/>
  <c r="J462" i="90"/>
  <c r="J464" i="90"/>
  <c r="I462" i="90"/>
  <c r="I464" i="90"/>
  <c r="H462" i="90"/>
  <c r="H464" i="90"/>
  <c r="G462" i="90"/>
  <c r="N464" i="90"/>
  <c r="R464" i="90"/>
  <c r="AF464" i="90"/>
  <c r="AR464" i="90"/>
  <c r="G464" i="90"/>
  <c r="S464" i="90"/>
  <c r="AG464" i="90"/>
  <c r="AS464" i="90"/>
  <c r="L464" i="90"/>
  <c r="X464" i="90"/>
  <c r="AL464" i="90"/>
  <c r="M464" i="90"/>
  <c r="AA464" i="90"/>
  <c r="AM464" i="90"/>
  <c r="AY464" i="90"/>
  <c r="BK464" i="90"/>
  <c r="P464" i="90"/>
  <c r="AD464" i="90"/>
  <c r="AP464" i="90"/>
  <c r="BW460" i="90"/>
  <c r="BW3" i="90"/>
  <c r="FM460" i="90"/>
  <c r="FM3" i="90"/>
  <c r="DL460" i="90"/>
  <c r="DL3" i="90"/>
  <c r="FL460" i="90"/>
  <c r="FL3" i="90"/>
  <c r="DK460" i="90"/>
  <c r="DK3" i="90"/>
  <c r="ET460" i="90"/>
  <c r="ET3" i="90"/>
  <c r="CS460" i="90"/>
  <c r="CS3" i="90"/>
  <c r="EU460" i="90"/>
  <c r="FN460" i="90"/>
  <c r="FN3" i="90"/>
  <c r="CU460" i="90"/>
  <c r="CU3" i="90"/>
  <c r="DM460" i="90"/>
  <c r="DM3" i="90"/>
  <c r="FO460" i="90"/>
  <c r="FO3" i="90"/>
  <c r="DO460" i="90"/>
  <c r="DO3" i="90"/>
  <c r="CQ460" i="90"/>
  <c r="CQ3" i="90"/>
  <c r="CV460" i="90"/>
  <c r="CV3" i="90"/>
  <c r="DQ460" i="90"/>
  <c r="DQ3" i="90"/>
  <c r="DG460" i="90"/>
  <c r="CR460" i="90"/>
  <c r="CR3" i="90"/>
  <c r="BM460" i="90"/>
  <c r="BM3" i="90"/>
  <c r="CC460" i="90"/>
  <c r="FQ460" i="90"/>
  <c r="FQ3" i="90"/>
  <c r="BO460" i="90"/>
  <c r="BO3" i="90"/>
  <c r="CW460" i="90"/>
  <c r="EF460" i="90"/>
  <c r="FS460" i="90"/>
  <c r="FS3" i="90"/>
  <c r="BP460" i="90"/>
  <c r="BP3" i="90"/>
  <c r="DR460" i="90"/>
  <c r="DR3" i="90"/>
  <c r="EK460" i="90"/>
  <c r="EK3" i="90"/>
  <c r="EZ460" i="90"/>
  <c r="FT460" i="90"/>
  <c r="EL460" i="90"/>
  <c r="EL3" i="90"/>
  <c r="BQ460" i="90"/>
  <c r="BQ3" i="90"/>
  <c r="DT460" i="90"/>
  <c r="DT3" i="90"/>
  <c r="BT460" i="90"/>
  <c r="BT3" i="90"/>
  <c r="DS460" i="90"/>
  <c r="DS3" i="90"/>
  <c r="CH460" i="90"/>
  <c r="EM460" i="90"/>
  <c r="EM3" i="90"/>
  <c r="DV460" i="90"/>
  <c r="FE460" i="90"/>
  <c r="BU460" i="90"/>
  <c r="BU3" i="90"/>
  <c r="CN460" i="90"/>
  <c r="CN3" i="90"/>
  <c r="EP460" i="90"/>
  <c r="EP3" i="90"/>
  <c r="FI460" i="90"/>
  <c r="FI3" i="90"/>
  <c r="FY460" i="90"/>
  <c r="BR460" i="90"/>
  <c r="BR3" i="90"/>
  <c r="DB460" i="90"/>
  <c r="CL460" i="90"/>
  <c r="CL3" i="90"/>
  <c r="EN460" i="90"/>
  <c r="EN3" i="90"/>
  <c r="BV460" i="90"/>
  <c r="BV3" i="90"/>
  <c r="CP460" i="90"/>
  <c r="CP3" i="90"/>
  <c r="ER460" i="90"/>
  <c r="ER3" i="90"/>
  <c r="FJ460" i="90"/>
  <c r="FJ3" i="90"/>
  <c r="ES460" i="90"/>
  <c r="ES3" i="90"/>
  <c r="EA460" i="90"/>
  <c r="BX460" i="90"/>
  <c r="CM460" i="90"/>
  <c r="CM3" i="90"/>
  <c r="DN460" i="90"/>
  <c r="DN3" i="90"/>
  <c r="EO460" i="90"/>
  <c r="EO3" i="90"/>
  <c r="FP460" i="90"/>
  <c r="FP3" i="90"/>
  <c r="BN460" i="90"/>
  <c r="BN3" i="90"/>
  <c r="CO460" i="90"/>
  <c r="CO3" i="90"/>
  <c r="DP460" i="90"/>
  <c r="DP3" i="90"/>
  <c r="EQ460" i="90"/>
  <c r="EQ3" i="90"/>
  <c r="FR460" i="90"/>
  <c r="FR3" i="90"/>
  <c r="GD460" i="90"/>
  <c r="BS460" i="90"/>
  <c r="BS3" i="90"/>
  <c r="CT460" i="90"/>
  <c r="CT3" i="90"/>
  <c r="DU460" i="90"/>
  <c r="DU3" i="90"/>
  <c r="EJ460" i="90"/>
  <c r="EJ3" i="90"/>
  <c r="FK460" i="90"/>
  <c r="FK3" i="90"/>
  <c r="BW463" i="90"/>
  <c r="BW462" i="90"/>
  <c r="CR462" i="90"/>
  <c r="CR463" i="90"/>
  <c r="DM462" i="90"/>
  <c r="DM463" i="90"/>
  <c r="EZ462" i="90"/>
  <c r="EZ464" i="90"/>
  <c r="EZ463" i="90"/>
  <c r="CS462" i="90"/>
  <c r="CS464" i="90"/>
  <c r="CS463" i="90"/>
  <c r="DO462" i="90"/>
  <c r="DO463" i="90"/>
  <c r="EF463" i="90"/>
  <c r="EF462" i="90"/>
  <c r="CU463" i="90"/>
  <c r="CU462" i="90"/>
  <c r="DP462" i="90"/>
  <c r="DP463" i="90"/>
  <c r="EK462" i="90"/>
  <c r="EK463" i="90"/>
  <c r="CV463" i="90"/>
  <c r="CV462" i="90"/>
  <c r="DR462" i="90"/>
  <c r="DR463" i="90"/>
  <c r="EL462" i="90"/>
  <c r="EL463" i="90"/>
  <c r="FE462" i="90"/>
  <c r="FE463" i="90"/>
  <c r="FY462" i="90"/>
  <c r="FY463" i="90"/>
  <c r="CC462" i="90"/>
  <c r="CC463" i="90"/>
  <c r="DS463" i="90"/>
  <c r="DS462" i="90"/>
  <c r="EN462" i="90"/>
  <c r="EN463" i="90"/>
  <c r="FI462" i="90"/>
  <c r="FI463" i="90"/>
  <c r="BM462" i="90"/>
  <c r="BM463" i="90"/>
  <c r="DT463" i="90"/>
  <c r="DT462" i="90"/>
  <c r="DT464" i="90"/>
  <c r="EP462" i="90"/>
  <c r="EP463" i="90"/>
  <c r="FJ462" i="90"/>
  <c r="FJ464" i="90"/>
  <c r="FJ463" i="90"/>
  <c r="BN462" i="90"/>
  <c r="BN463" i="90"/>
  <c r="DV462" i="90"/>
  <c r="DV463" i="90"/>
  <c r="EQ463" i="90"/>
  <c r="EQ462" i="90"/>
  <c r="FL462" i="90"/>
  <c r="FL463" i="90"/>
  <c r="GD462" i="90"/>
  <c r="GD463" i="90"/>
  <c r="BP462" i="90"/>
  <c r="BP464" i="90"/>
  <c r="BP463" i="90"/>
  <c r="ES462" i="90"/>
  <c r="ES463" i="90"/>
  <c r="FM462" i="90"/>
  <c r="FM463" i="90"/>
  <c r="BQ462" i="90"/>
  <c r="BQ463" i="90"/>
  <c r="CL462" i="90"/>
  <c r="CL463" i="90"/>
  <c r="ET462" i="90"/>
  <c r="ET463" i="90"/>
  <c r="FO463" i="90"/>
  <c r="FO462" i="90"/>
  <c r="BR462" i="90"/>
  <c r="BR463" i="90"/>
  <c r="CN462" i="90"/>
  <c r="CN463" i="90"/>
  <c r="EA462" i="90"/>
  <c r="EA463" i="90"/>
  <c r="EU462" i="90"/>
  <c r="EU463" i="90"/>
  <c r="FQ462" i="90"/>
  <c r="FQ463" i="90"/>
  <c r="BT462" i="90"/>
  <c r="BT464" i="90"/>
  <c r="BT463" i="90"/>
  <c r="CO462" i="90"/>
  <c r="CO463" i="90"/>
  <c r="DG463" i="90"/>
  <c r="DG462" i="90"/>
  <c r="DG464" i="90"/>
  <c r="FR462" i="90"/>
  <c r="FR463" i="90"/>
  <c r="BU462" i="90"/>
  <c r="BU463" i="90"/>
  <c r="CQ462" i="90"/>
  <c r="CQ463" i="90"/>
  <c r="DK462" i="90"/>
  <c r="DK463" i="90"/>
  <c r="FT462" i="90"/>
  <c r="FT463" i="90"/>
  <c r="BS462" i="90"/>
  <c r="BS463" i="90"/>
  <c r="CT462" i="90"/>
  <c r="CT463" i="90"/>
  <c r="DU462" i="90"/>
  <c r="DU463" i="90"/>
  <c r="EJ462" i="90"/>
  <c r="EJ463" i="90"/>
  <c r="FK462" i="90"/>
  <c r="FK463" i="90"/>
  <c r="BV462" i="90"/>
  <c r="BV463" i="90"/>
  <c r="CH462" i="90"/>
  <c r="CH463" i="90"/>
  <c r="CW462" i="90"/>
  <c r="CW463" i="90"/>
  <c r="DL462" i="90"/>
  <c r="DL463" i="90"/>
  <c r="EM462" i="90"/>
  <c r="EM463" i="90"/>
  <c r="FN462" i="90"/>
  <c r="FN464" i="90"/>
  <c r="FN463" i="90"/>
  <c r="BX463" i="90"/>
  <c r="BX462" i="90"/>
  <c r="CM462" i="90"/>
  <c r="CM463" i="90"/>
  <c r="DN462" i="90"/>
  <c r="DN463" i="90"/>
  <c r="EO462" i="90"/>
  <c r="EO463" i="90"/>
  <c r="FP463" i="90"/>
  <c r="FP462" i="90"/>
  <c r="BO462" i="90"/>
  <c r="BO463" i="90"/>
  <c r="CP462" i="90"/>
  <c r="CP463" i="90"/>
  <c r="DB462" i="90"/>
  <c r="DB463" i="90"/>
  <c r="DQ462" i="90"/>
  <c r="DQ463" i="90"/>
  <c r="ER463" i="90"/>
  <c r="ER462" i="90"/>
  <c r="ER464" i="90"/>
  <c r="FS462" i="90"/>
  <c r="FS463" i="90"/>
  <c r="Y460" i="90"/>
  <c r="Z460" i="90"/>
  <c r="DI464" i="90"/>
  <c r="EG464" i="90"/>
  <c r="O464" i="90"/>
  <c r="AC464" i="90"/>
  <c r="AO464" i="90"/>
  <c r="BA464" i="90"/>
  <c r="CQ464" i="90"/>
  <c r="ET464" i="90"/>
  <c r="EJ464" i="90"/>
  <c r="FY464" i="90"/>
  <c r="DP464" i="90"/>
  <c r="BM464" i="90"/>
  <c r="EF464" i="90"/>
  <c r="DQ464" i="90"/>
  <c r="FR464" i="90"/>
  <c r="DB464" i="90"/>
  <c r="CM464" i="90"/>
  <c r="CH464" i="90"/>
  <c r="BS464" i="90"/>
  <c r="DV464" i="90"/>
  <c r="BR464" i="90"/>
  <c r="ES464" i="90"/>
  <c r="EN464" i="90"/>
  <c r="DR464" i="90"/>
  <c r="FO464" i="90"/>
  <c r="FX462" i="90"/>
  <c r="FX463" i="90"/>
  <c r="ED462" i="90"/>
  <c r="ED463" i="90"/>
  <c r="CG462" i="90"/>
  <c r="CG463" i="90"/>
  <c r="BW464" i="90"/>
  <c r="FY461" i="90"/>
  <c r="FY3" i="90"/>
  <c r="FX460" i="90"/>
  <c r="FX3" i="90"/>
  <c r="DA460" i="90"/>
  <c r="DA3" i="90"/>
  <c r="CD460" i="90"/>
  <c r="CD3" i="90"/>
  <c r="EW460" i="90"/>
  <c r="EW3" i="90"/>
  <c r="FW462" i="90"/>
  <c r="FW463" i="90"/>
  <c r="EC462" i="90"/>
  <c r="EC463" i="90"/>
  <c r="CE462" i="90"/>
  <c r="CE464" i="90"/>
  <c r="CE463" i="90"/>
  <c r="FE461" i="90"/>
  <c r="FE3" i="90"/>
  <c r="FW460" i="90"/>
  <c r="FW3" i="90"/>
  <c r="CW461" i="90"/>
  <c r="CW3" i="90"/>
  <c r="CF460" i="90"/>
  <c r="CF3" i="90"/>
  <c r="EX460" i="90"/>
  <c r="EX3" i="90"/>
  <c r="BY462" i="90"/>
  <c r="BY463" i="90"/>
  <c r="CU464" i="90"/>
  <c r="FB462" i="90"/>
  <c r="FB464" i="90"/>
  <c r="FB463" i="90"/>
  <c r="EC460" i="90"/>
  <c r="EC3" i="90"/>
  <c r="DD460" i="90"/>
  <c r="DD3" i="90"/>
  <c r="DY460" i="90"/>
  <c r="DY3" i="90"/>
  <c r="FT461" i="90"/>
  <c r="FT3" i="90"/>
  <c r="CG460" i="90"/>
  <c r="CG3" i="90"/>
  <c r="EY460" i="90"/>
  <c r="EY3" i="90"/>
  <c r="FS464" i="90"/>
  <c r="CP464" i="90"/>
  <c r="BZ462" i="90"/>
  <c r="BZ463" i="90"/>
  <c r="EM464" i="90"/>
  <c r="BV464" i="90"/>
  <c r="FT464" i="90"/>
  <c r="FQ464" i="90"/>
  <c r="EA464" i="90"/>
  <c r="GD464" i="90"/>
  <c r="BN464" i="90"/>
  <c r="EP464" i="90"/>
  <c r="CC464" i="90"/>
  <c r="FE464" i="90"/>
  <c r="FC463" i="90"/>
  <c r="FC462" i="90"/>
  <c r="GD461" i="90"/>
  <c r="GD3" i="90"/>
  <c r="ED460" i="90"/>
  <c r="ED3" i="90"/>
  <c r="DC460" i="90"/>
  <c r="DC3" i="90"/>
  <c r="DW460" i="90"/>
  <c r="DW3" i="90"/>
  <c r="FD460" i="90"/>
  <c r="FD3" i="90"/>
  <c r="CE460" i="90"/>
  <c r="CE3" i="90"/>
  <c r="EV460" i="90"/>
  <c r="EV3" i="90"/>
  <c r="CB462" i="90"/>
  <c r="CB463" i="90"/>
  <c r="EW462" i="90"/>
  <c r="EW463" i="90"/>
  <c r="FA462" i="90"/>
  <c r="FA464" i="90"/>
  <c r="FA463" i="90"/>
  <c r="EE460" i="90"/>
  <c r="EE3" i="90"/>
  <c r="DE460" i="90"/>
  <c r="DE3" i="90"/>
  <c r="DX460" i="90"/>
  <c r="DX3" i="90"/>
  <c r="FB460" i="90"/>
  <c r="FB3" i="90"/>
  <c r="CC461" i="90"/>
  <c r="CC3" i="90"/>
  <c r="EU461" i="90"/>
  <c r="EU3" i="90"/>
  <c r="BO464" i="90"/>
  <c r="CA462" i="90"/>
  <c r="CA463" i="90"/>
  <c r="DL464" i="90"/>
  <c r="FK464" i="90"/>
  <c r="DK464" i="90"/>
  <c r="EX462" i="90"/>
  <c r="EX463" i="90"/>
  <c r="CN464" i="90"/>
  <c r="FM464" i="90"/>
  <c r="FL464" i="90"/>
  <c r="FI464" i="90"/>
  <c r="EL464" i="90"/>
  <c r="FD463" i="90"/>
  <c r="FD462" i="90"/>
  <c r="CA460" i="90"/>
  <c r="CA3" i="90"/>
  <c r="EB460" i="90"/>
  <c r="EB3" i="90"/>
  <c r="DF460" i="90"/>
  <c r="DF3" i="90"/>
  <c r="DZ460" i="90"/>
  <c r="DZ3" i="90"/>
  <c r="FA460" i="90"/>
  <c r="FA3" i="90"/>
  <c r="FP464" i="90"/>
  <c r="BX464" i="90"/>
  <c r="CX462" i="90"/>
  <c r="CX463" i="90"/>
  <c r="EV462" i="90"/>
  <c r="EV463" i="90"/>
  <c r="EQ464" i="90"/>
  <c r="CB460" i="90"/>
  <c r="CB3" i="90"/>
  <c r="EA461" i="90"/>
  <c r="EA3" i="90"/>
  <c r="DB461" i="90"/>
  <c r="DB3" i="90"/>
  <c r="DV461" i="90"/>
  <c r="DV3" i="90"/>
  <c r="FC460" i="90"/>
  <c r="FC3" i="90"/>
  <c r="CZ462" i="90"/>
  <c r="CZ463" i="90"/>
  <c r="EY462" i="90"/>
  <c r="EY463" i="90"/>
  <c r="BY460" i="90"/>
  <c r="BY3" i="90"/>
  <c r="EZ461" i="90"/>
  <c r="EZ3" i="90"/>
  <c r="DG461" i="90"/>
  <c r="DG3" i="90"/>
  <c r="DC462" i="90"/>
  <c r="DC463" i="90"/>
  <c r="DA462" i="90"/>
  <c r="DA463" i="90"/>
  <c r="DW462" i="90"/>
  <c r="DW463" i="90"/>
  <c r="DS464" i="90"/>
  <c r="GA463" i="90"/>
  <c r="GA462" i="90"/>
  <c r="CV464" i="90"/>
  <c r="BZ460" i="90"/>
  <c r="BZ3" i="90"/>
  <c r="GC460" i="90"/>
  <c r="GC3" i="90"/>
  <c r="CH461" i="90"/>
  <c r="CH3" i="90"/>
  <c r="EF461" i="90"/>
  <c r="EF3" i="90"/>
  <c r="DD462" i="90"/>
  <c r="DD463" i="90"/>
  <c r="EO464" i="90"/>
  <c r="CY462" i="90"/>
  <c r="CY464" i="90"/>
  <c r="CY463" i="90"/>
  <c r="DU464" i="90"/>
  <c r="BU464" i="90"/>
  <c r="EU464" i="90"/>
  <c r="CL464" i="90"/>
  <c r="DY462" i="90"/>
  <c r="DY463" i="90"/>
  <c r="GC462" i="90"/>
  <c r="GC463" i="90"/>
  <c r="DM464" i="90"/>
  <c r="BX461" i="90"/>
  <c r="BX3" i="90"/>
  <c r="FZ460" i="90"/>
  <c r="FZ3" i="90"/>
  <c r="CX460" i="90"/>
  <c r="CX3" i="90"/>
  <c r="DE462" i="90"/>
  <c r="DE463" i="90"/>
  <c r="FU462" i="90"/>
  <c r="FU463" i="90"/>
  <c r="EE463" i="90"/>
  <c r="EE462" i="90"/>
  <c r="EE464" i="90"/>
  <c r="DX462" i="90"/>
  <c r="DX463" i="90"/>
  <c r="CD462" i="90"/>
  <c r="CD463" i="90"/>
  <c r="FZ462" i="90"/>
  <c r="FZ463" i="90"/>
  <c r="GA460" i="90"/>
  <c r="GA3" i="90"/>
  <c r="FU460" i="90"/>
  <c r="FU3" i="90"/>
  <c r="CZ460" i="90"/>
  <c r="CZ3" i="90"/>
  <c r="DF462" i="90"/>
  <c r="DF463" i="90"/>
  <c r="DN464" i="90"/>
  <c r="CW464" i="90"/>
  <c r="CT464" i="90"/>
  <c r="FV462" i="90"/>
  <c r="FV463" i="90"/>
  <c r="CO464" i="90"/>
  <c r="EB462" i="90"/>
  <c r="EB463" i="90"/>
  <c r="BQ464" i="90"/>
  <c r="DZ462" i="90"/>
  <c r="DZ463" i="90"/>
  <c r="CF462" i="90"/>
  <c r="CF463" i="90"/>
  <c r="GB463" i="90"/>
  <c r="GB462" i="90"/>
  <c r="GB464" i="90"/>
  <c r="EK464" i="90"/>
  <c r="DO464" i="90"/>
  <c r="CR464" i="90"/>
  <c r="GB460" i="90"/>
  <c r="GB3" i="90"/>
  <c r="FV460" i="90"/>
  <c r="FV3" i="90"/>
  <c r="CY460" i="90"/>
  <c r="CY3" i="90"/>
  <c r="FV464" i="90"/>
  <c r="FW464" i="90"/>
  <c r="CA464" i="90"/>
  <c r="EB464" i="90"/>
  <c r="FZ464" i="90"/>
  <c r="CD464" i="90"/>
  <c r="DD464" i="90"/>
  <c r="EV464" i="90"/>
  <c r="GC464" i="90"/>
  <c r="CB461" i="90"/>
  <c r="CB464" i="90"/>
  <c r="DC464" i="90"/>
  <c r="DX464" i="90"/>
  <c r="CZ464" i="90"/>
  <c r="DA464" i="90"/>
  <c r="DY464" i="90"/>
  <c r="DZ464" i="90"/>
  <c r="DE464" i="90"/>
  <c r="EX464" i="90"/>
  <c r="EY464" i="90"/>
  <c r="GA464" i="90"/>
  <c r="FD464" i="90"/>
  <c r="FC464" i="90"/>
  <c r="BZ464" i="90"/>
  <c r="CG464" i="90"/>
  <c r="EC464" i="90"/>
  <c r="CX464" i="90"/>
  <c r="BY464" i="90"/>
  <c r="ED464" i="90"/>
  <c r="DW464" i="90"/>
  <c r="CF464" i="90"/>
  <c r="DF464" i="90"/>
  <c r="EW464" i="90"/>
  <c r="FU464" i="90"/>
  <c r="FX464" i="90"/>
  <c r="F19" i="57"/>
  <c r="E125" i="88"/>
  <c r="E129" i="88"/>
  <c r="D138" i="88"/>
  <c r="B100" i="88"/>
  <c r="B5" i="88"/>
  <c r="C61" i="88"/>
  <c r="D231" i="88"/>
  <c r="D230" i="88"/>
  <c r="T209" i="88"/>
  <c r="T208" i="88"/>
  <c r="T191" i="88"/>
  <c r="T190" i="88"/>
  <c r="A174" i="88"/>
  <c r="A173" i="88"/>
  <c r="A172" i="88"/>
  <c r="A171" i="88"/>
  <c r="A170" i="88"/>
  <c r="A169" i="88"/>
  <c r="A168" i="88"/>
  <c r="B140" i="88"/>
  <c r="D119" i="88"/>
  <c r="D121" i="88"/>
  <c r="B85" i="88"/>
  <c r="B68" i="88"/>
  <c r="B22" i="88"/>
  <c r="D19" i="88"/>
  <c r="D18" i="88"/>
  <c r="C60" i="88"/>
  <c r="B192" i="88"/>
  <c r="B210" i="88" s="1"/>
  <c r="F138" i="88"/>
  <c r="T35" i="43"/>
  <c r="AA35" i="43"/>
  <c r="Y35" i="43"/>
  <c r="X35" i="43"/>
  <c r="V35" i="43"/>
  <c r="U35" i="43"/>
  <c r="I50" i="34"/>
  <c r="H50" i="34"/>
  <c r="G51" i="34"/>
  <c r="G50" i="34"/>
  <c r="S38" i="57"/>
  <c r="E14" i="57"/>
  <c r="E13" i="57"/>
  <c r="E11" i="57"/>
  <c r="E8" i="57"/>
  <c r="O53" i="57"/>
  <c r="O54" i="57" s="1"/>
  <c r="O56" i="57" s="1"/>
  <c r="O57" i="57" s="1"/>
  <c r="O59" i="57" s="1"/>
  <c r="I39" i="57"/>
  <c r="H39" i="57"/>
  <c r="G39" i="57"/>
  <c r="F39" i="57"/>
  <c r="E39" i="57"/>
  <c r="D39" i="57"/>
  <c r="AJ33" i="34"/>
  <c r="AJ32" i="34"/>
  <c r="AJ31" i="34"/>
  <c r="AJ30" i="34"/>
  <c r="AJ29" i="34"/>
  <c r="AJ28" i="34"/>
  <c r="AJ27" i="34"/>
  <c r="AJ26" i="34"/>
  <c r="AJ25" i="34"/>
  <c r="AJ24" i="34"/>
  <c r="AJ23" i="34"/>
  <c r="AJ22" i="34"/>
  <c r="AJ21" i="34"/>
  <c r="AJ20" i="34"/>
  <c r="AJ19" i="34"/>
  <c r="AJ18" i="34"/>
  <c r="AJ17" i="34"/>
  <c r="AJ16" i="34"/>
  <c r="AJ34" i="34"/>
  <c r="F16" i="57"/>
  <c r="E21" i="57" s="1"/>
  <c r="F18" i="57"/>
  <c r="E22" i="57" s="1"/>
  <c r="F17" i="57"/>
  <c r="F15" i="57"/>
  <c r="F14" i="57"/>
  <c r="F13" i="57"/>
  <c r="F12" i="57"/>
  <c r="F11" i="57"/>
  <c r="F10" i="57"/>
  <c r="F8" i="57"/>
  <c r="F7" i="57"/>
  <c r="O191" i="88"/>
  <c r="O190" i="88"/>
  <c r="O208" i="88"/>
  <c r="O209" i="88"/>
  <c r="O55" i="57"/>
  <c r="I59" i="57"/>
  <c r="I58" i="57"/>
  <c r="I57" i="57"/>
  <c r="O37" i="57"/>
  <c r="O36" i="57"/>
  <c r="O35" i="57"/>
  <c r="O34" i="57"/>
  <c r="F6" i="57"/>
  <c r="N77" i="14"/>
  <c r="N104" i="14"/>
  <c r="AA40" i="43"/>
  <c r="Y40" i="43"/>
  <c r="X40" i="43"/>
  <c r="V40" i="43"/>
  <c r="U40" i="43"/>
  <c r="Y39" i="43"/>
  <c r="V39" i="43"/>
  <c r="U39" i="43"/>
  <c r="X39" i="43"/>
  <c r="J38" i="35"/>
  <c r="K38" i="35"/>
  <c r="L38" i="35"/>
  <c r="J37" i="35"/>
  <c r="D69" i="35"/>
  <c r="D73" i="35"/>
  <c r="C69" i="35"/>
  <c r="C73" i="35"/>
  <c r="B69" i="35"/>
  <c r="B73" i="35"/>
  <c r="G69" i="35"/>
  <c r="G73" i="35"/>
  <c r="F69" i="35"/>
  <c r="F73" i="35"/>
  <c r="E69" i="35"/>
  <c r="E73" i="35"/>
  <c r="I69" i="35"/>
  <c r="I73" i="35"/>
  <c r="H69" i="35"/>
  <c r="H73" i="35"/>
  <c r="P38" i="35"/>
  <c r="T38" i="35" s="1"/>
  <c r="U38" i="35" s="1"/>
  <c r="R38" i="35"/>
  <c r="Q38" i="35"/>
  <c r="B72" i="35"/>
  <c r="D72" i="35"/>
  <c r="C72" i="35"/>
  <c r="E72" i="35"/>
  <c r="F72" i="35"/>
  <c r="G72" i="35"/>
  <c r="H72" i="35"/>
  <c r="I72" i="35"/>
  <c r="K9" i="43"/>
  <c r="K10" i="43"/>
  <c r="Z17" i="43"/>
  <c r="T18" i="43"/>
  <c r="Z18" i="43"/>
  <c r="W19" i="43"/>
  <c r="Z19" i="43"/>
  <c r="X20" i="43"/>
  <c r="AA62" i="43" a="1"/>
  <c r="AF62" i="43"/>
  <c r="Z20" i="43"/>
  <c r="Z21" i="43"/>
  <c r="X22" i="43"/>
  <c r="Y22" i="43"/>
  <c r="Z22" i="43"/>
  <c r="W23" i="43"/>
  <c r="Z23" i="43"/>
  <c r="V24" i="43"/>
  <c r="W24" i="43"/>
  <c r="Z24" i="43"/>
  <c r="Z25" i="43"/>
  <c r="Z26" i="43"/>
  <c r="Z27" i="43"/>
  <c r="Z28" i="43"/>
  <c r="Z29" i="43"/>
  <c r="Z30" i="43"/>
  <c r="W31" i="43"/>
  <c r="Z31" i="43"/>
  <c r="J44" i="43"/>
  <c r="K47" i="43"/>
  <c r="L48" i="43"/>
  <c r="I50" i="43"/>
  <c r="J50" i="43"/>
  <c r="K50" i="43"/>
  <c r="L50" i="43"/>
  <c r="J57" i="43"/>
  <c r="J58" i="43"/>
  <c r="I59" i="43"/>
  <c r="J59" i="43"/>
  <c r="N62" i="43" a="1"/>
  <c r="N62" i="43"/>
  <c r="K64" i="43"/>
  <c r="J65" i="43"/>
  <c r="K65" i="43"/>
  <c r="J68" i="43"/>
  <c r="K68" i="43"/>
  <c r="L68" i="43"/>
  <c r="J77" i="43"/>
  <c r="L77" i="43"/>
  <c r="J86" i="43"/>
  <c r="K86" i="43"/>
  <c r="L86" i="43"/>
  <c r="L92" i="43"/>
  <c r="L95" i="43"/>
  <c r="Z35" i="43"/>
  <c r="AA34" i="43"/>
  <c r="Y34" i="43"/>
  <c r="Y37" i="43"/>
  <c r="Z34" i="43"/>
  <c r="X34" i="43"/>
  <c r="X37" i="43"/>
  <c r="V34" i="43"/>
  <c r="V37" i="43"/>
  <c r="U34" i="43"/>
  <c r="U37" i="43"/>
  <c r="O69" i="43"/>
  <c r="R66" i="43"/>
  <c r="R65" i="43"/>
  <c r="AA64" i="43"/>
  <c r="AB63" i="43"/>
  <c r="AB62" i="43"/>
  <c r="S64" i="43"/>
  <c r="AA62" i="43"/>
  <c r="AF66" i="43"/>
  <c r="AF65" i="43"/>
  <c r="AB66" i="43"/>
  <c r="AB65" i="43"/>
  <c r="AD64" i="43"/>
  <c r="AE63" i="43"/>
  <c r="AE62" i="43"/>
  <c r="AA66" i="43"/>
  <c r="AA65" i="43"/>
  <c r="AC64" i="43"/>
  <c r="AD63" i="43"/>
  <c r="AD62" i="43"/>
  <c r="S66" i="43"/>
  <c r="S65" i="43"/>
  <c r="AB64" i="43"/>
  <c r="AC63" i="43"/>
  <c r="AC62" i="43"/>
  <c r="Q66" i="43"/>
  <c r="Q65" i="43"/>
  <c r="AA63" i="43"/>
  <c r="P66" i="43"/>
  <c r="P65" i="43"/>
  <c r="R64" i="43"/>
  <c r="S63" i="43"/>
  <c r="O66" i="43"/>
  <c r="O65" i="43"/>
  <c r="Q64" i="43"/>
  <c r="R63" i="43"/>
  <c r="S62" i="43"/>
  <c r="N66" i="43"/>
  <c r="N65" i="43"/>
  <c r="P64" i="43"/>
  <c r="Q63" i="43"/>
  <c r="R62" i="43"/>
  <c r="O64" i="43"/>
  <c r="P63" i="43"/>
  <c r="Q62" i="43"/>
  <c r="N64" i="43"/>
  <c r="O63" i="43"/>
  <c r="AD66" i="43"/>
  <c r="AD65" i="43"/>
  <c r="AF64" i="43"/>
  <c r="N63" i="43"/>
  <c r="O62" i="43"/>
  <c r="AE66" i="43"/>
  <c r="AE65" i="43"/>
  <c r="P62" i="43"/>
  <c r="AC66" i="43"/>
  <c r="AC65" i="43"/>
  <c r="AE64" i="43"/>
  <c r="AF63" i="43"/>
  <c r="C55" i="88"/>
  <c r="X38" i="43"/>
  <c r="V38" i="43"/>
  <c r="AA38" i="43"/>
  <c r="Y38" i="43"/>
  <c r="U38" i="43"/>
  <c r="Q69" i="43"/>
  <c r="E55" i="88"/>
  <c r="E61" i="88"/>
  <c r="E62" i="88" s="1"/>
  <c r="E60" i="88"/>
  <c r="D72" i="34"/>
  <c r="D71" i="34"/>
  <c r="D70" i="34"/>
  <c r="E69" i="34"/>
  <c r="F69" i="34" s="1"/>
  <c r="E68" i="34"/>
  <c r="F68" i="34"/>
  <c r="D67" i="34"/>
  <c r="E66" i="34"/>
  <c r="D66" i="34"/>
  <c r="E65" i="34"/>
  <c r="D65" i="34"/>
  <c r="F65" i="34" s="1"/>
  <c r="E64" i="34"/>
  <c r="E72" i="34" s="1"/>
  <c r="F72" i="34" s="1"/>
  <c r="E63" i="34"/>
  <c r="E71" i="34" s="1"/>
  <c r="K62" i="34"/>
  <c r="E61" i="34"/>
  <c r="D61" i="34"/>
  <c r="E60" i="34"/>
  <c r="D60" i="34"/>
  <c r="F59" i="34"/>
  <c r="F58" i="34"/>
  <c r="F57" i="34"/>
  <c r="B52" i="35"/>
  <c r="L54" i="35"/>
  <c r="R50" i="35"/>
  <c r="P50" i="35"/>
  <c r="L50" i="35"/>
  <c r="R49" i="35"/>
  <c r="Q49" i="35"/>
  <c r="P49" i="35"/>
  <c r="J39" i="35"/>
  <c r="L39" i="35"/>
  <c r="R39" i="35"/>
  <c r="R33" i="35"/>
  <c r="Q33" i="35"/>
  <c r="P33" i="35"/>
  <c r="J33" i="35"/>
  <c r="K33" i="35"/>
  <c r="R32" i="35"/>
  <c r="Q32" i="35"/>
  <c r="P32" i="35"/>
  <c r="J32" i="35"/>
  <c r="K32" i="35"/>
  <c r="R31" i="35"/>
  <c r="Q31" i="35"/>
  <c r="P31" i="35"/>
  <c r="J31" i="35"/>
  <c r="K31" i="35"/>
  <c r="R30" i="35"/>
  <c r="Q30" i="35"/>
  <c r="P30" i="35"/>
  <c r="J30" i="35"/>
  <c r="K30" i="35"/>
  <c r="R29" i="35"/>
  <c r="Q29" i="35"/>
  <c r="P29" i="35"/>
  <c r="J29" i="35"/>
  <c r="K29" i="35"/>
  <c r="R28" i="35"/>
  <c r="Q28" i="35"/>
  <c r="P28" i="35"/>
  <c r="J28" i="35"/>
  <c r="K28" i="35"/>
  <c r="R27" i="35"/>
  <c r="Q27" i="35"/>
  <c r="P27" i="35"/>
  <c r="J27" i="35"/>
  <c r="K27" i="35"/>
  <c r="R26" i="35"/>
  <c r="Q26" i="35"/>
  <c r="P26" i="35"/>
  <c r="J26" i="35"/>
  <c r="K26" i="35"/>
  <c r="R25" i="35"/>
  <c r="Q25" i="35"/>
  <c r="P25" i="35"/>
  <c r="J25" i="35"/>
  <c r="K25" i="35"/>
  <c r="R24" i="35"/>
  <c r="Q24" i="35"/>
  <c r="P24" i="35"/>
  <c r="J24" i="35"/>
  <c r="K24" i="35"/>
  <c r="R23" i="35"/>
  <c r="Q23" i="35"/>
  <c r="P23" i="35"/>
  <c r="J23" i="35"/>
  <c r="K23" i="35"/>
  <c r="R22" i="35"/>
  <c r="Q22" i="35"/>
  <c r="P22" i="35"/>
  <c r="J22" i="35"/>
  <c r="K22" i="35"/>
  <c r="K40" i="34"/>
  <c r="J40" i="34"/>
  <c r="Z29" i="34"/>
  <c r="E27" i="34"/>
  <c r="M25" i="34"/>
  <c r="M26" i="34" s="1"/>
  <c r="M31" i="34" s="1"/>
  <c r="L25" i="34"/>
  <c r="L26" i="34"/>
  <c r="K25" i="34"/>
  <c r="K26" i="34"/>
  <c r="J25" i="34"/>
  <c r="J26" i="34" s="1"/>
  <c r="I25" i="34"/>
  <c r="I26" i="34"/>
  <c r="H25" i="34"/>
  <c r="H26" i="34"/>
  <c r="G25" i="34"/>
  <c r="E25" i="34" s="1"/>
  <c r="E26" i="34" s="1"/>
  <c r="F25" i="34"/>
  <c r="F26" i="34" s="1"/>
  <c r="E24" i="34"/>
  <c r="E23" i="34"/>
  <c r="E22" i="34"/>
  <c r="E21" i="34"/>
  <c r="E20" i="34"/>
  <c r="E19" i="34"/>
  <c r="E18" i="34"/>
  <c r="E17" i="34"/>
  <c r="E16" i="34"/>
  <c r="F61" i="34"/>
  <c r="F60" i="34"/>
  <c r="I50" i="35"/>
  <c r="Y23" i="34"/>
  <c r="E50" i="35"/>
  <c r="G50" i="35"/>
  <c r="K39" i="35"/>
  <c r="B57" i="35"/>
  <c r="B56" i="35"/>
  <c r="S50" i="35"/>
  <c r="U50" i="35"/>
  <c r="P39" i="35"/>
  <c r="Q39" i="35"/>
  <c r="S51" i="35"/>
  <c r="D50" i="35"/>
  <c r="F50" i="35"/>
  <c r="H50" i="35"/>
  <c r="C53" i="35"/>
  <c r="C57" i="35"/>
  <c r="J36" i="35"/>
  <c r="L36" i="35"/>
  <c r="U51" i="35"/>
  <c r="M22" i="35"/>
  <c r="M38" i="35"/>
  <c r="O38" i="35"/>
  <c r="K36" i="35"/>
  <c r="M24" i="35"/>
  <c r="O24" i="35"/>
  <c r="M25" i="35"/>
  <c r="M26" i="35"/>
  <c r="M27" i="35"/>
  <c r="M28" i="35"/>
  <c r="O28" i="35"/>
  <c r="S22" i="35"/>
  <c r="M30" i="35"/>
  <c r="O30" i="35"/>
  <c r="M29" i="35"/>
  <c r="O29" i="35"/>
  <c r="M31" i="35"/>
  <c r="O31" i="35"/>
  <c r="M32" i="35"/>
  <c r="O32" i="35"/>
  <c r="M39" i="35"/>
  <c r="O39" i="35"/>
  <c r="M23" i="35"/>
  <c r="O23" i="35"/>
  <c r="M36" i="35"/>
  <c r="O36" i="35"/>
  <c r="M33" i="35"/>
  <c r="O33" i="35"/>
  <c r="R36" i="35"/>
  <c r="Q36" i="35"/>
  <c r="P36" i="35"/>
  <c r="N38" i="35"/>
  <c r="S38" i="35"/>
  <c r="N27" i="35"/>
  <c r="S27" i="35"/>
  <c r="N26" i="35"/>
  <c r="S26" i="35"/>
  <c r="S36" i="35"/>
  <c r="N36" i="35"/>
  <c r="O43" i="35"/>
  <c r="N25" i="35"/>
  <c r="S25" i="35"/>
  <c r="S23" i="35"/>
  <c r="N23" i="35"/>
  <c r="N29" i="35"/>
  <c r="S29" i="35"/>
  <c r="O27" i="35"/>
  <c r="S24" i="35"/>
  <c r="N24" i="35"/>
  <c r="M42" i="35"/>
  <c r="S39" i="35"/>
  <c r="N39" i="35"/>
  <c r="S30" i="35"/>
  <c r="N30" i="35"/>
  <c r="O26" i="35"/>
  <c r="S33" i="35"/>
  <c r="N33" i="35"/>
  <c r="S31" i="35"/>
  <c r="N31" i="35"/>
  <c r="S32" i="35"/>
  <c r="N32" i="35"/>
  <c r="O25" i="35"/>
  <c r="N28" i="35"/>
  <c r="S28" i="35"/>
  <c r="L84" i="14"/>
  <c r="N91" i="14"/>
  <c r="M91" i="14"/>
  <c r="N90" i="14"/>
  <c r="N144" i="14"/>
  <c r="M90" i="14"/>
  <c r="M89" i="14"/>
  <c r="K89" i="14"/>
  <c r="K143" i="14"/>
  <c r="J89" i="14"/>
  <c r="P89" i="14"/>
  <c r="O89" i="14"/>
  <c r="L88" i="14"/>
  <c r="L87" i="14"/>
  <c r="L86" i="14"/>
  <c r="L113" i="14"/>
  <c r="L85" i="14"/>
  <c r="D118" i="14"/>
  <c r="D145" i="14"/>
  <c r="D117" i="14"/>
  <c r="D144" i="14"/>
  <c r="D116" i="14"/>
  <c r="D143" i="14"/>
  <c r="D115" i="14"/>
  <c r="D142" i="14"/>
  <c r="D114" i="14"/>
  <c r="D141" i="14"/>
  <c r="D113" i="14"/>
  <c r="D140" i="14"/>
  <c r="D112" i="14"/>
  <c r="D139" i="14"/>
  <c r="D111" i="14"/>
  <c r="D138" i="14"/>
  <c r="D110" i="14"/>
  <c r="D137" i="14"/>
  <c r="D109" i="14"/>
  <c r="D136" i="14"/>
  <c r="D108" i="14"/>
  <c r="D135" i="14"/>
  <c r="D107" i="14"/>
  <c r="D134" i="14"/>
  <c r="D106" i="14"/>
  <c r="D133" i="14"/>
  <c r="D105" i="14"/>
  <c r="D132" i="14"/>
  <c r="D104" i="14"/>
  <c r="D131" i="14"/>
  <c r="D103" i="14"/>
  <c r="D130" i="14"/>
  <c r="D102" i="14"/>
  <c r="D129" i="14"/>
  <c r="D101" i="14"/>
  <c r="D128" i="14"/>
  <c r="D100" i="14"/>
  <c r="D127" i="14"/>
  <c r="D99" i="14"/>
  <c r="D126" i="14"/>
  <c r="D98" i="14"/>
  <c r="D125" i="14"/>
  <c r="F91" i="14"/>
  <c r="F118" i="14"/>
  <c r="F145" i="14"/>
  <c r="E91" i="14"/>
  <c r="E118" i="14"/>
  <c r="E145" i="14"/>
  <c r="F90" i="14"/>
  <c r="F117" i="14"/>
  <c r="F144" i="14"/>
  <c r="E90" i="14"/>
  <c r="E117" i="14"/>
  <c r="E144" i="14"/>
  <c r="F89" i="14"/>
  <c r="F116" i="14"/>
  <c r="F143" i="14"/>
  <c r="E89" i="14"/>
  <c r="E116" i="14"/>
  <c r="E143" i="14"/>
  <c r="F88" i="14"/>
  <c r="F115" i="14"/>
  <c r="F142" i="14"/>
  <c r="E88" i="14"/>
  <c r="E115" i="14"/>
  <c r="E142" i="14"/>
  <c r="F87" i="14"/>
  <c r="F114" i="14"/>
  <c r="F141" i="14"/>
  <c r="E87" i="14"/>
  <c r="E114" i="14"/>
  <c r="E141" i="14"/>
  <c r="F86" i="14"/>
  <c r="F113" i="14"/>
  <c r="F140" i="14"/>
  <c r="E86" i="14"/>
  <c r="E113" i="14"/>
  <c r="E140" i="14"/>
  <c r="F85" i="14"/>
  <c r="E85" i="14"/>
  <c r="E112" i="14"/>
  <c r="E139" i="14"/>
  <c r="F84" i="14"/>
  <c r="F111" i="14"/>
  <c r="F138" i="14"/>
  <c r="E84" i="14"/>
  <c r="E111" i="14"/>
  <c r="E138" i="14"/>
  <c r="F83" i="14"/>
  <c r="F110" i="14"/>
  <c r="F137" i="14"/>
  <c r="E83" i="14"/>
  <c r="E110" i="14"/>
  <c r="E137" i="14"/>
  <c r="F82" i="14"/>
  <c r="F109" i="14"/>
  <c r="F136" i="14"/>
  <c r="E82" i="14"/>
  <c r="E109" i="14"/>
  <c r="E136" i="14"/>
  <c r="F81" i="14"/>
  <c r="F108" i="14"/>
  <c r="F135" i="14"/>
  <c r="E81" i="14"/>
  <c r="E108" i="14"/>
  <c r="E135" i="14"/>
  <c r="F80" i="14"/>
  <c r="F107" i="14"/>
  <c r="F134" i="14"/>
  <c r="E80" i="14"/>
  <c r="E107" i="14"/>
  <c r="E134" i="14"/>
  <c r="F79" i="14"/>
  <c r="F106" i="14"/>
  <c r="F133" i="14"/>
  <c r="E79" i="14"/>
  <c r="E106" i="14"/>
  <c r="E133" i="14"/>
  <c r="F78" i="14"/>
  <c r="F105" i="14"/>
  <c r="F132" i="14"/>
  <c r="E78" i="14"/>
  <c r="E105" i="14"/>
  <c r="E132" i="14"/>
  <c r="F77" i="14"/>
  <c r="F104" i="14"/>
  <c r="F131" i="14"/>
  <c r="E77" i="14"/>
  <c r="E104" i="14"/>
  <c r="E131" i="14"/>
  <c r="F76" i="14"/>
  <c r="F103" i="14"/>
  <c r="F130" i="14"/>
  <c r="E76" i="14"/>
  <c r="E103" i="14"/>
  <c r="E130" i="14"/>
  <c r="F75" i="14"/>
  <c r="F102" i="14"/>
  <c r="F129" i="14"/>
  <c r="E75" i="14"/>
  <c r="E102" i="14"/>
  <c r="E129" i="14"/>
  <c r="F74" i="14"/>
  <c r="F101" i="14"/>
  <c r="F128" i="14"/>
  <c r="E74" i="14"/>
  <c r="E101" i="14"/>
  <c r="E128" i="14"/>
  <c r="F73" i="14"/>
  <c r="F100" i="14"/>
  <c r="F127" i="14"/>
  <c r="E73" i="14"/>
  <c r="E100" i="14"/>
  <c r="E127" i="14"/>
  <c r="F72" i="14"/>
  <c r="F99" i="14"/>
  <c r="F126" i="14"/>
  <c r="E72" i="14"/>
  <c r="E99" i="14"/>
  <c r="E126" i="14"/>
  <c r="F71" i="14"/>
  <c r="F98" i="14"/>
  <c r="F125" i="14"/>
  <c r="E71" i="14"/>
  <c r="E98" i="14"/>
  <c r="E125" i="14"/>
  <c r="P84" i="14"/>
  <c r="O84" i="14"/>
  <c r="O138" i="14"/>
  <c r="N84" i="14"/>
  <c r="N138" i="14"/>
  <c r="M84" i="14"/>
  <c r="K84" i="14"/>
  <c r="K111" i="14"/>
  <c r="J84" i="14"/>
  <c r="P91" i="14"/>
  <c r="O91" i="14"/>
  <c r="O145" i="14"/>
  <c r="L91" i="14"/>
  <c r="L118" i="14"/>
  <c r="K91" i="14"/>
  <c r="J91" i="14"/>
  <c r="P90" i="14"/>
  <c r="O90" i="14"/>
  <c r="O144" i="14"/>
  <c r="L90" i="14"/>
  <c r="L117" i="14"/>
  <c r="K90" i="14"/>
  <c r="J90" i="14"/>
  <c r="L89" i="14"/>
  <c r="L143" i="14"/>
  <c r="N88" i="14"/>
  <c r="M88" i="14"/>
  <c r="K88" i="14"/>
  <c r="J88" i="14"/>
  <c r="P87" i="14"/>
  <c r="O87" i="14"/>
  <c r="N87" i="14"/>
  <c r="N114" i="14"/>
  <c r="M87" i="14"/>
  <c r="K87" i="14"/>
  <c r="J87" i="14"/>
  <c r="P86" i="14"/>
  <c r="O86" i="14"/>
  <c r="O113" i="14"/>
  <c r="N86" i="14"/>
  <c r="N113" i="14"/>
  <c r="M86" i="14"/>
  <c r="K86" i="14"/>
  <c r="J86" i="14"/>
  <c r="P85" i="14"/>
  <c r="O85" i="14"/>
  <c r="N85" i="14"/>
  <c r="M85" i="14"/>
  <c r="K85" i="14"/>
  <c r="K112" i="14"/>
  <c r="J85" i="14"/>
  <c r="P80" i="14"/>
  <c r="O80" i="14"/>
  <c r="N80" i="14"/>
  <c r="L80" i="14"/>
  <c r="K80" i="14"/>
  <c r="J80" i="14"/>
  <c r="P78" i="14"/>
  <c r="O78" i="14"/>
  <c r="O132" i="14"/>
  <c r="M78" i="14"/>
  <c r="L78" i="14"/>
  <c r="L105" i="14"/>
  <c r="K78" i="14"/>
  <c r="J78" i="14"/>
  <c r="P77" i="14"/>
  <c r="O77" i="14"/>
  <c r="N131" i="14"/>
  <c r="M77" i="14"/>
  <c r="L77" i="14"/>
  <c r="K77" i="14"/>
  <c r="K131" i="14"/>
  <c r="J77" i="14"/>
  <c r="P76" i="14"/>
  <c r="O76" i="14"/>
  <c r="N76" i="14"/>
  <c r="M76" i="14"/>
  <c r="L76" i="14"/>
  <c r="K76" i="14"/>
  <c r="J76" i="14"/>
  <c r="P75" i="14"/>
  <c r="O75" i="14"/>
  <c r="O102" i="14"/>
  <c r="M75" i="14"/>
  <c r="L75" i="14"/>
  <c r="L129" i="14"/>
  <c r="K75" i="14"/>
  <c r="J75" i="14"/>
  <c r="P74" i="14"/>
  <c r="O74" i="14"/>
  <c r="N74" i="14"/>
  <c r="N101" i="14"/>
  <c r="M74" i="14"/>
  <c r="L74" i="14"/>
  <c r="K74" i="14"/>
  <c r="K101" i="14"/>
  <c r="J74" i="14"/>
  <c r="P73" i="14"/>
  <c r="O73" i="14"/>
  <c r="F39" i="14"/>
  <c r="M73" i="14"/>
  <c r="L73" i="14"/>
  <c r="L100" i="14"/>
  <c r="K73" i="14"/>
  <c r="K100" i="14"/>
  <c r="J73" i="14"/>
  <c r="P72" i="14"/>
  <c r="O72" i="14"/>
  <c r="O126" i="14"/>
  <c r="M72" i="14"/>
  <c r="L72" i="14"/>
  <c r="K72" i="14"/>
  <c r="J72" i="14"/>
  <c r="P71" i="14"/>
  <c r="O71" i="14"/>
  <c r="O125" i="14"/>
  <c r="F37" i="14"/>
  <c r="M71" i="14"/>
  <c r="L71" i="14"/>
  <c r="K71" i="14"/>
  <c r="J71" i="14"/>
  <c r="A30" i="14"/>
  <c r="A29" i="14"/>
  <c r="A28" i="14"/>
  <c r="A27" i="14"/>
  <c r="C26" i="14"/>
  <c r="A26" i="14"/>
  <c r="U25" i="14"/>
  <c r="A25" i="14"/>
  <c r="A24" i="14"/>
  <c r="T4" i="14"/>
  <c r="O88" i="14"/>
  <c r="K82" i="14"/>
  <c r="K136" i="14"/>
  <c r="L82" i="14"/>
  <c r="L136" i="14"/>
  <c r="P82" i="14"/>
  <c r="P109" i="14"/>
  <c r="J82" i="14"/>
  <c r="J136" i="14"/>
  <c r="M82" i="14"/>
  <c r="M136" i="14"/>
  <c r="F48" i="14"/>
  <c r="O82" i="14"/>
  <c r="F112" i="14"/>
  <c r="F139" i="14"/>
  <c r="J79" i="14"/>
  <c r="J106" i="14"/>
  <c r="K79" i="14"/>
  <c r="K133" i="14"/>
  <c r="L79" i="14"/>
  <c r="L106" i="14"/>
  <c r="M79" i="14"/>
  <c r="M106" i="14"/>
  <c r="O79" i="14"/>
  <c r="O133" i="14"/>
  <c r="P79" i="14"/>
  <c r="P133" i="14"/>
  <c r="F45" i="14"/>
  <c r="K81" i="14"/>
  <c r="K135" i="14"/>
  <c r="L81" i="14"/>
  <c r="L135" i="14"/>
  <c r="J83" i="14"/>
  <c r="J137" i="14"/>
  <c r="M81" i="14"/>
  <c r="M108" i="14"/>
  <c r="M51" i="14"/>
  <c r="K83" i="14"/>
  <c r="K110" i="14"/>
  <c r="L83" i="14"/>
  <c r="L110" i="14"/>
  <c r="O81" i="14"/>
  <c r="O135" i="14"/>
  <c r="M83" i="14"/>
  <c r="M110" i="14"/>
  <c r="P81" i="14"/>
  <c r="P108" i="14"/>
  <c r="F49" i="14"/>
  <c r="O83" i="14"/>
  <c r="O137" i="14"/>
  <c r="M80" i="14"/>
  <c r="M107" i="14"/>
  <c r="P83" i="14"/>
  <c r="P137" i="14"/>
  <c r="J81" i="14"/>
  <c r="J135" i="14"/>
  <c r="F46" i="14"/>
  <c r="N79" i="14"/>
  <c r="N106" i="14"/>
  <c r="F40" i="14"/>
  <c r="N82" i="14"/>
  <c r="N136" i="14"/>
  <c r="N73" i="14"/>
  <c r="N100" i="14"/>
  <c r="N83" i="14"/>
  <c r="N137" i="14"/>
  <c r="K134" i="14"/>
  <c r="K107" i="14"/>
  <c r="O142" i="14"/>
  <c r="O115" i="14"/>
  <c r="N89" i="14"/>
  <c r="N143" i="14"/>
  <c r="N75" i="14"/>
  <c r="N102" i="14"/>
  <c r="F43" i="14"/>
  <c r="F44" i="14"/>
  <c r="N81" i="14"/>
  <c r="N135" i="14"/>
  <c r="F42" i="14"/>
  <c r="P88" i="14"/>
  <c r="P142" i="14"/>
  <c r="N71" i="14"/>
  <c r="N125" i="14"/>
  <c r="J140" i="14"/>
  <c r="J113" i="14"/>
  <c r="P102" i="14"/>
  <c r="P129" i="14"/>
  <c r="M125" i="14"/>
  <c r="M98" i="14"/>
  <c r="M100" i="14"/>
  <c r="M127" i="14"/>
  <c r="N130" i="14"/>
  <c r="N103" i="14"/>
  <c r="N118" i="14"/>
  <c r="N145" i="14"/>
  <c r="K129" i="14"/>
  <c r="K102" i="14"/>
  <c r="N112" i="14"/>
  <c r="N139" i="14"/>
  <c r="J142" i="14"/>
  <c r="J115" i="14"/>
  <c r="M126" i="14"/>
  <c r="M99" i="14"/>
  <c r="O131" i="14"/>
  <c r="O104" i="14"/>
  <c r="J129" i="14"/>
  <c r="J102" i="14"/>
  <c r="K105" i="14"/>
  <c r="K132" i="14"/>
  <c r="K141" i="14"/>
  <c r="K114" i="14"/>
  <c r="J99" i="14"/>
  <c r="J126" i="14"/>
  <c r="O103" i="14"/>
  <c r="O130" i="14"/>
  <c r="L141" i="14"/>
  <c r="L114" i="14"/>
  <c r="J117" i="14"/>
  <c r="J144" i="14"/>
  <c r="K99" i="14"/>
  <c r="K126" i="14"/>
  <c r="O127" i="14"/>
  <c r="O100" i="14"/>
  <c r="P103" i="14"/>
  <c r="P130" i="14"/>
  <c r="M132" i="14"/>
  <c r="M105" i="14"/>
  <c r="O139" i="14"/>
  <c r="O112" i="14"/>
  <c r="M114" i="14"/>
  <c r="M141" i="14"/>
  <c r="K142" i="14"/>
  <c r="K115" i="14"/>
  <c r="K117" i="14"/>
  <c r="K144" i="14"/>
  <c r="P145" i="14"/>
  <c r="P118" i="14"/>
  <c r="K125" i="14"/>
  <c r="K98" i="14"/>
  <c r="J100" i="14"/>
  <c r="J127" i="14"/>
  <c r="P125" i="14"/>
  <c r="P98" i="14"/>
  <c r="L99" i="14"/>
  <c r="L126" i="14"/>
  <c r="P127" i="14"/>
  <c r="P100" i="14"/>
  <c r="M102" i="14"/>
  <c r="M129" i="14"/>
  <c r="J134" i="14"/>
  <c r="J107" i="14"/>
  <c r="P139" i="14"/>
  <c r="P112" i="14"/>
  <c r="L142" i="14"/>
  <c r="L115" i="14"/>
  <c r="J111" i="14"/>
  <c r="J138" i="14"/>
  <c r="O143" i="14"/>
  <c r="O116" i="14"/>
  <c r="J128" i="14"/>
  <c r="J101" i="14"/>
  <c r="P132" i="14"/>
  <c r="P105" i="14"/>
  <c r="L107" i="14"/>
  <c r="L134" i="14"/>
  <c r="K113" i="14"/>
  <c r="K140" i="14"/>
  <c r="P114" i="14"/>
  <c r="P141" i="14"/>
  <c r="N142" i="14"/>
  <c r="N115" i="14"/>
  <c r="L111" i="14"/>
  <c r="L138" i="14"/>
  <c r="P143" i="14"/>
  <c r="P116" i="14"/>
  <c r="L131" i="14"/>
  <c r="L104" i="14"/>
  <c r="M138" i="14"/>
  <c r="M111" i="14"/>
  <c r="J104" i="14"/>
  <c r="J131" i="14"/>
  <c r="N107" i="14"/>
  <c r="N134" i="14"/>
  <c r="O114" i="14"/>
  <c r="O141" i="14"/>
  <c r="J98" i="14"/>
  <c r="J125" i="14"/>
  <c r="L101" i="14"/>
  <c r="L128" i="14"/>
  <c r="M131" i="14"/>
  <c r="M104" i="14"/>
  <c r="M113" i="14"/>
  <c r="M140" i="14"/>
  <c r="P144" i="14"/>
  <c r="P117" i="14"/>
  <c r="L125" i="14"/>
  <c r="L98" i="14"/>
  <c r="M101" i="14"/>
  <c r="M128" i="14"/>
  <c r="J130" i="14"/>
  <c r="J103" i="14"/>
  <c r="O107" i="14"/>
  <c r="O134" i="14"/>
  <c r="J116" i="14"/>
  <c r="J143" i="14"/>
  <c r="J118" i="14"/>
  <c r="J145" i="14"/>
  <c r="J112" i="14"/>
  <c r="J139" i="14"/>
  <c r="P138" i="14"/>
  <c r="P111" i="14"/>
  <c r="P107" i="14"/>
  <c r="P134" i="14"/>
  <c r="M142" i="14"/>
  <c r="M115" i="14"/>
  <c r="P126" i="14"/>
  <c r="P99" i="14"/>
  <c r="K130" i="14"/>
  <c r="K103" i="14"/>
  <c r="M109" i="14"/>
  <c r="K118" i="14"/>
  <c r="K145" i="14"/>
  <c r="O101" i="14"/>
  <c r="O128" i="14"/>
  <c r="L130" i="14"/>
  <c r="L103" i="14"/>
  <c r="P131" i="14"/>
  <c r="P104" i="14"/>
  <c r="P113" i="14"/>
  <c r="P140" i="14"/>
  <c r="P101" i="14"/>
  <c r="P128" i="14"/>
  <c r="M130" i="14"/>
  <c r="M103" i="14"/>
  <c r="J105" i="14"/>
  <c r="J132" i="14"/>
  <c r="O109" i="14"/>
  <c r="O136" i="14"/>
  <c r="L112" i="14"/>
  <c r="L139" i="14"/>
  <c r="J141" i="14"/>
  <c r="J114" i="14"/>
  <c r="M143" i="14"/>
  <c r="M116" i="14"/>
  <c r="M118" i="14"/>
  <c r="M145" i="14"/>
  <c r="M144" i="14"/>
  <c r="M117" i="14"/>
  <c r="M112" i="14"/>
  <c r="M139" i="14"/>
  <c r="N78" i="14"/>
  <c r="K104" i="14"/>
  <c r="K116" i="14"/>
  <c r="O118" i="14"/>
  <c r="K128" i="14"/>
  <c r="F38" i="14"/>
  <c r="F41" i="14"/>
  <c r="F47" i="14"/>
  <c r="N111" i="14"/>
  <c r="L116" i="14"/>
  <c r="N117" i="14"/>
  <c r="L140" i="14"/>
  <c r="N141" i="14"/>
  <c r="N72" i="14"/>
  <c r="O99" i="14"/>
  <c r="O105" i="14"/>
  <c r="O111" i="14"/>
  <c r="O117" i="14"/>
  <c r="K127" i="14"/>
  <c r="O129" i="14"/>
  <c r="K139" i="14"/>
  <c r="L127" i="14"/>
  <c r="N128" i="14"/>
  <c r="N140" i="14"/>
  <c r="L145" i="14"/>
  <c r="O98" i="14"/>
  <c r="K108" i="14"/>
  <c r="K138" i="14"/>
  <c r="O140" i="14"/>
  <c r="L102" i="14"/>
  <c r="L132" i="14"/>
  <c r="L144" i="14"/>
  <c r="M134" i="14"/>
  <c r="P106" i="14"/>
  <c r="J133" i="14"/>
  <c r="J109" i="14"/>
  <c r="P135" i="14"/>
  <c r="M135" i="14"/>
  <c r="L133" i="14"/>
  <c r="L109" i="14"/>
  <c r="P110" i="14"/>
  <c r="K106" i="14"/>
  <c r="L137" i="14"/>
  <c r="K137" i="14"/>
  <c r="L108" i="14"/>
  <c r="O106" i="14"/>
  <c r="O108" i="14"/>
  <c r="J108" i="14"/>
  <c r="N116" i="14"/>
  <c r="N108" i="14"/>
  <c r="M133" i="14"/>
  <c r="P136" i="14"/>
  <c r="N133" i="14"/>
  <c r="K109" i="14"/>
  <c r="P115" i="14"/>
  <c r="N109" i="14"/>
  <c r="J110" i="14"/>
  <c r="M137" i="14"/>
  <c r="O110" i="14"/>
  <c r="N110" i="14"/>
  <c r="N129" i="14"/>
  <c r="N98" i="14"/>
  <c r="N127" i="14"/>
  <c r="N126" i="14"/>
  <c r="N99" i="14"/>
  <c r="N132" i="14"/>
  <c r="N105" i="14"/>
  <c r="C52" i="35"/>
  <c r="C60" i="35"/>
  <c r="J40" i="35"/>
  <c r="L40" i="35"/>
  <c r="M40" i="35"/>
  <c r="N40" i="35"/>
  <c r="O40" i="35"/>
  <c r="P40" i="35"/>
  <c r="Q40" i="35"/>
  <c r="R40" i="35"/>
  <c r="S40" i="35"/>
  <c r="C56" i="35"/>
  <c r="C58" i="35"/>
  <c r="J34" i="35"/>
  <c r="L34" i="35"/>
  <c r="M34" i="35"/>
  <c r="P34" i="35"/>
  <c r="Q34" i="35"/>
  <c r="R34" i="35"/>
  <c r="S34" i="35"/>
  <c r="J35" i="35"/>
  <c r="L35" i="35"/>
  <c r="M35" i="35"/>
  <c r="P35" i="35"/>
  <c r="Q35" i="35"/>
  <c r="R35" i="35"/>
  <c r="S35" i="35"/>
  <c r="K40" i="35"/>
  <c r="O34" i="35"/>
  <c r="N34" i="35"/>
  <c r="K34" i="35"/>
  <c r="N35" i="35"/>
  <c r="O42" i="35"/>
  <c r="K35" i="35"/>
  <c r="O35" i="35"/>
  <c r="C55" i="35"/>
  <c r="D26" i="88"/>
  <c r="C26" i="88"/>
  <c r="C26" i="115"/>
  <c r="G192" i="118"/>
  <c r="G190" i="115"/>
  <c r="B24" i="113"/>
  <c r="D16" i="68" a="1"/>
  <c r="C25" i="88"/>
  <c r="D17" i="68" a="1"/>
  <c r="F26" i="113"/>
  <c r="G24" i="113"/>
  <c r="B26" i="115"/>
  <c r="E24" i="113"/>
  <c r="D11" i="68" a="1"/>
  <c r="C91" i="113"/>
  <c r="F25" i="88"/>
  <c r="E24" i="115"/>
  <c r="C91" i="115"/>
  <c r="E16" i="68" a="1"/>
  <c r="G190" i="88"/>
  <c r="C24" i="115"/>
  <c r="D26" i="113"/>
  <c r="C90" i="115"/>
  <c r="F25" i="113"/>
  <c r="G25" i="115"/>
  <c r="E13" i="68" a="1"/>
  <c r="D25" i="115"/>
  <c r="H25" i="115"/>
  <c r="C24" i="88"/>
  <c r="G191" i="117"/>
  <c r="G190" i="116"/>
  <c r="C89" i="115"/>
  <c r="G191" i="113"/>
  <c r="G26" i="113"/>
  <c r="E26" i="113"/>
  <c r="D24" i="115"/>
  <c r="B26" i="88"/>
  <c r="H26" i="113"/>
  <c r="E15" i="68" a="1"/>
  <c r="D12" i="68" a="1"/>
  <c r="H24" i="115"/>
  <c r="G190" i="118"/>
  <c r="C91" i="88"/>
  <c r="E26" i="88"/>
  <c r="D14" i="68" a="1"/>
  <c r="C24" i="113"/>
  <c r="F24" i="88"/>
  <c r="C89" i="88"/>
  <c r="F24" i="115"/>
  <c r="G191" i="115"/>
  <c r="G25" i="113"/>
  <c r="E24" i="88"/>
  <c r="G24" i="115"/>
  <c r="G26" i="115"/>
  <c r="E17" i="68" a="1"/>
  <c r="G25" i="88"/>
  <c r="H24" i="88"/>
  <c r="G192" i="88"/>
  <c r="H24" i="113"/>
  <c r="B24" i="115"/>
  <c r="B25" i="88"/>
  <c r="E25" i="115"/>
  <c r="G191" i="116"/>
  <c r="B25" i="115"/>
  <c r="E26" i="115"/>
  <c r="D26" i="115"/>
  <c r="G192" i="117"/>
  <c r="F25" i="115"/>
  <c r="C26" i="113"/>
  <c r="B24" i="88"/>
  <c r="D15" i="68" a="1"/>
  <c r="D24" i="88"/>
  <c r="D25" i="88"/>
  <c r="E12" i="68" a="1"/>
  <c r="F26" i="88"/>
  <c r="D24" i="113"/>
  <c r="G190" i="113"/>
  <c r="H25" i="88"/>
  <c r="C25" i="113"/>
  <c r="B26" i="113"/>
  <c r="H25" i="113"/>
  <c r="E25" i="113"/>
  <c r="G191" i="88"/>
  <c r="D25" i="113"/>
  <c r="G26" i="88"/>
  <c r="E14" i="68" a="1"/>
  <c r="B25" i="113"/>
  <c r="G192" i="116"/>
  <c r="D13" i="68" a="1"/>
  <c r="G192" i="115"/>
  <c r="C25" i="115"/>
  <c r="C90" i="88"/>
  <c r="G24" i="88"/>
  <c r="H26" i="88"/>
  <c r="F24" i="113"/>
  <c r="G190" i="117"/>
  <c r="C90" i="113"/>
  <c r="G192" i="113"/>
  <c r="G191" i="118"/>
  <c r="F26" i="115"/>
  <c r="E25" i="88"/>
  <c r="H26" i="115"/>
  <c r="C89" i="113"/>
  <c r="D11" i="68" l="1"/>
  <c r="L16" i="89"/>
  <c r="AH43" i="34"/>
  <c r="K16" i="89"/>
  <c r="AG43" i="34"/>
  <c r="L37" i="35"/>
  <c r="K37" i="35"/>
  <c r="Q37" i="35"/>
  <c r="P37" i="35"/>
  <c r="D17" i="68"/>
  <c r="E17" i="68"/>
  <c r="E16" i="68"/>
  <c r="D16" i="68"/>
  <c r="B220" i="125"/>
  <c r="B220" i="124"/>
  <c r="G211" i="124"/>
  <c r="P208" i="124"/>
  <c r="H208" i="124"/>
  <c r="Q208" i="124" s="1"/>
  <c r="V208" i="124" s="1"/>
  <c r="P208" i="125"/>
  <c r="H208" i="125"/>
  <c r="Q208" i="125" s="1"/>
  <c r="V208" i="125" s="1"/>
  <c r="G211" i="125"/>
  <c r="E15" i="68"/>
  <c r="D15" i="68"/>
  <c r="E14" i="68"/>
  <c r="D14" i="68"/>
  <c r="D12" i="68"/>
  <c r="E12" i="68"/>
  <c r="B220" i="122"/>
  <c r="B220" i="123"/>
  <c r="P208" i="123"/>
  <c r="H208" i="123"/>
  <c r="Q208" i="123" s="1"/>
  <c r="V208" i="123" s="1"/>
  <c r="G211" i="123"/>
  <c r="E13" i="68"/>
  <c r="D13" i="68"/>
  <c r="P208" i="122"/>
  <c r="H208" i="122"/>
  <c r="Q208" i="122" s="1"/>
  <c r="V208" i="122" s="1"/>
  <c r="G211" i="122"/>
  <c r="P208" i="121"/>
  <c r="H208" i="121"/>
  <c r="Q208" i="121" s="1"/>
  <c r="V208" i="121" s="1"/>
  <c r="G211" i="121"/>
  <c r="B220" i="121"/>
  <c r="B220" i="120"/>
  <c r="W208" i="120"/>
  <c r="W211" i="120" s="1"/>
  <c r="P211" i="120"/>
  <c r="B220" i="118"/>
  <c r="B220" i="119"/>
  <c r="T36" i="35"/>
  <c r="U36" i="35" s="1"/>
  <c r="W208" i="119"/>
  <c r="W211" i="119" s="1"/>
  <c r="C226" i="119" s="1"/>
  <c r="C228" i="119" s="1"/>
  <c r="P211" i="119"/>
  <c r="G194" i="117"/>
  <c r="H191" i="117"/>
  <c r="G194" i="118"/>
  <c r="H191" i="118"/>
  <c r="H190" i="117"/>
  <c r="G193" i="117"/>
  <c r="H192" i="117"/>
  <c r="G195" i="117"/>
  <c r="H192" i="118"/>
  <c r="G195" i="118"/>
  <c r="H190" i="118"/>
  <c r="G193" i="118"/>
  <c r="H192" i="116"/>
  <c r="G195" i="116"/>
  <c r="H190" i="116"/>
  <c r="G193" i="116"/>
  <c r="G194" i="116"/>
  <c r="H191" i="116"/>
  <c r="C220" i="117"/>
  <c r="C220" i="118"/>
  <c r="C220" i="116"/>
  <c r="C220" i="113"/>
  <c r="D91" i="117"/>
  <c r="E91" i="117" s="1"/>
  <c r="D90" i="117"/>
  <c r="E90" i="117" s="1"/>
  <c r="D91" i="118"/>
  <c r="E91" i="118" s="1"/>
  <c r="D90" i="118"/>
  <c r="E90" i="118" s="1"/>
  <c r="D89" i="118"/>
  <c r="E89" i="118" s="1"/>
  <c r="D89" i="117"/>
  <c r="E89" i="117" s="1"/>
  <c r="H17" i="118"/>
  <c r="H17" i="117"/>
  <c r="H17" i="116"/>
  <c r="D89" i="116"/>
  <c r="E89" i="116" s="1"/>
  <c r="D91" i="116"/>
  <c r="E91" i="116" s="1"/>
  <c r="D90" i="116"/>
  <c r="E90" i="116" s="1"/>
  <c r="D89" i="115"/>
  <c r="D89" i="113"/>
  <c r="D90" i="115"/>
  <c r="C220" i="115"/>
  <c r="D91" i="115"/>
  <c r="Y25" i="34"/>
  <c r="F66" i="34"/>
  <c r="F71" i="34"/>
  <c r="E15" i="57"/>
  <c r="W25" i="34"/>
  <c r="Y24" i="34"/>
  <c r="Y26" i="34" s="1"/>
  <c r="S6" i="57" s="1"/>
  <c r="F64" i="34"/>
  <c r="F63" i="34"/>
  <c r="G26" i="34"/>
  <c r="B26" i="34"/>
  <c r="AH29" i="34"/>
  <c r="O191" i="113"/>
  <c r="O190" i="113"/>
  <c r="O208" i="113"/>
  <c r="O209" i="113"/>
  <c r="E16" i="57"/>
  <c r="D22" i="57"/>
  <c r="F22" i="57" s="1"/>
  <c r="H18" i="57"/>
  <c r="G9" i="57"/>
  <c r="O190" i="115"/>
  <c r="O190" i="118"/>
  <c r="O190" i="117"/>
  <c r="O209" i="118"/>
  <c r="O191" i="118"/>
  <c r="O208" i="118"/>
  <c r="O209" i="117"/>
  <c r="O208" i="117"/>
  <c r="O191" i="117"/>
  <c r="O191" i="116"/>
  <c r="O208" i="116"/>
  <c r="O190" i="116"/>
  <c r="O209" i="116"/>
  <c r="O191" i="115"/>
  <c r="O208" i="115"/>
  <c r="O209" i="115"/>
  <c r="T30" i="35"/>
  <c r="U30" i="35" s="1"/>
  <c r="T26" i="35"/>
  <c r="U26" i="35" s="1"/>
  <c r="T23" i="35"/>
  <c r="U23" i="35" s="1"/>
  <c r="U191" i="113"/>
  <c r="T35" i="35"/>
  <c r="U35" i="35" s="1"/>
  <c r="T39" i="35"/>
  <c r="U39" i="35" s="1"/>
  <c r="T33" i="35"/>
  <c r="U33" i="35" s="1"/>
  <c r="T22" i="35"/>
  <c r="U22" i="35" s="1"/>
  <c r="T25" i="35"/>
  <c r="U25" i="35" s="1"/>
  <c r="B220" i="116"/>
  <c r="B220" i="117"/>
  <c r="T31" i="35"/>
  <c r="U31" i="35" s="1"/>
  <c r="T34" i="35"/>
  <c r="U34" i="35" s="1"/>
  <c r="T27" i="35"/>
  <c r="U27" i="35" s="1"/>
  <c r="T32" i="35"/>
  <c r="U32" i="35" s="1"/>
  <c r="T28" i="35"/>
  <c r="U28" i="35" s="1"/>
  <c r="T24" i="35"/>
  <c r="U24" i="35" s="1"/>
  <c r="T29" i="35"/>
  <c r="U29" i="35" s="1"/>
  <c r="T40" i="35"/>
  <c r="U40" i="35" s="1"/>
  <c r="U208" i="115"/>
  <c r="U211" i="115" s="1"/>
  <c r="U191" i="115"/>
  <c r="E98" i="115"/>
  <c r="E154" i="115"/>
  <c r="D74" i="115"/>
  <c r="D96" i="115"/>
  <c r="E97" i="115"/>
  <c r="F154" i="115"/>
  <c r="F98" i="115"/>
  <c r="C74" i="115"/>
  <c r="C96" i="115"/>
  <c r="G195" i="115"/>
  <c r="H192" i="115"/>
  <c r="E96" i="115"/>
  <c r="F97" i="115"/>
  <c r="G154" i="115"/>
  <c r="G98" i="115"/>
  <c r="E91" i="115"/>
  <c r="B147" i="115" s="1"/>
  <c r="G194" i="115"/>
  <c r="H191" i="115"/>
  <c r="D97" i="115"/>
  <c r="F96" i="115"/>
  <c r="F74" i="115"/>
  <c r="G97" i="115"/>
  <c r="H154" i="115"/>
  <c r="H98" i="115"/>
  <c r="G96" i="115"/>
  <c r="G74" i="115"/>
  <c r="H97" i="115"/>
  <c r="E89" i="115"/>
  <c r="C92" i="115"/>
  <c r="H190" i="115"/>
  <c r="G193" i="115"/>
  <c r="H96" i="115"/>
  <c r="H74" i="115"/>
  <c r="B154" i="115"/>
  <c r="B98" i="115"/>
  <c r="B97" i="115"/>
  <c r="C154" i="115"/>
  <c r="C98" i="115"/>
  <c r="B96" i="115"/>
  <c r="B74" i="115"/>
  <c r="C97" i="115"/>
  <c r="D154" i="115"/>
  <c r="D98" i="115"/>
  <c r="E90" i="115"/>
  <c r="B146" i="115" s="1"/>
  <c r="B220" i="113"/>
  <c r="B220" i="115"/>
  <c r="B220" i="88"/>
  <c r="U190" i="115"/>
  <c r="B208" i="88"/>
  <c r="U208" i="88" s="1"/>
  <c r="U190" i="88"/>
  <c r="U193" i="88" s="1"/>
  <c r="B209" i="88"/>
  <c r="U209" i="88" s="1"/>
  <c r="C96" i="88"/>
  <c r="C74" i="88"/>
  <c r="G97" i="88"/>
  <c r="B97" i="88"/>
  <c r="G74" i="88"/>
  <c r="G96" i="88"/>
  <c r="B74" i="88"/>
  <c r="B96" i="88"/>
  <c r="C97" i="88"/>
  <c r="G154" i="88"/>
  <c r="G98" i="88"/>
  <c r="H97" i="88"/>
  <c r="F96" i="88"/>
  <c r="F74" i="88"/>
  <c r="E96" i="88"/>
  <c r="F97" i="88"/>
  <c r="H96" i="88"/>
  <c r="H74" i="88"/>
  <c r="F154" i="88"/>
  <c r="F98" i="88"/>
  <c r="E98" i="88"/>
  <c r="E154" i="88"/>
  <c r="E97" i="88"/>
  <c r="B154" i="88"/>
  <c r="B98" i="88"/>
  <c r="C98" i="88"/>
  <c r="C154" i="88"/>
  <c r="D98" i="88"/>
  <c r="D154" i="88"/>
  <c r="D74" i="88"/>
  <c r="D96" i="88"/>
  <c r="H154" i="88"/>
  <c r="H98" i="88"/>
  <c r="D97" i="88"/>
  <c r="G193" i="88"/>
  <c r="H190" i="88"/>
  <c r="B96" i="113"/>
  <c r="B74" i="113"/>
  <c r="C74" i="113"/>
  <c r="C96" i="113"/>
  <c r="G194" i="88"/>
  <c r="H191" i="88"/>
  <c r="E90" i="113"/>
  <c r="B146" i="113" s="1"/>
  <c r="G195" i="88"/>
  <c r="H192" i="88"/>
  <c r="E154" i="113"/>
  <c r="E98" i="113"/>
  <c r="E97" i="113"/>
  <c r="E90" i="88"/>
  <c r="B146" i="88" s="1"/>
  <c r="E91" i="113"/>
  <c r="B147" i="113" s="1"/>
  <c r="E96" i="113"/>
  <c r="C92" i="113"/>
  <c r="E89" i="113"/>
  <c r="G98" i="113"/>
  <c r="G154" i="113"/>
  <c r="F154" i="113"/>
  <c r="F98" i="113"/>
  <c r="D154" i="113"/>
  <c r="D98" i="113"/>
  <c r="H98" i="113"/>
  <c r="H154" i="113"/>
  <c r="E89" i="88"/>
  <c r="C92" i="88"/>
  <c r="G97" i="113"/>
  <c r="F97" i="113"/>
  <c r="D97" i="113"/>
  <c r="E91" i="88"/>
  <c r="B147" i="88" s="1"/>
  <c r="H97" i="113"/>
  <c r="G96" i="113"/>
  <c r="G74" i="113"/>
  <c r="F74" i="113"/>
  <c r="F96" i="113"/>
  <c r="D96" i="113"/>
  <c r="D74" i="113"/>
  <c r="H190" i="113"/>
  <c r="G193" i="113"/>
  <c r="H96" i="113"/>
  <c r="H74" i="113"/>
  <c r="G195" i="113"/>
  <c r="H192" i="113"/>
  <c r="G194" i="113"/>
  <c r="H191" i="113"/>
  <c r="B98" i="113"/>
  <c r="B154" i="113"/>
  <c r="C98" i="113"/>
  <c r="C154" i="113"/>
  <c r="B97" i="113"/>
  <c r="C97" i="113"/>
  <c r="U190" i="113"/>
  <c r="B209" i="113"/>
  <c r="U209" i="113" s="1"/>
  <c r="U211" i="113" s="1"/>
  <c r="C11" i="68" a="1"/>
  <c r="K17" i="89" l="1"/>
  <c r="AG44" i="34"/>
  <c r="L17" i="89"/>
  <c r="AH44" i="34"/>
  <c r="C61" i="35"/>
  <c r="C59" i="35"/>
  <c r="R37" i="35"/>
  <c r="M37" i="35"/>
  <c r="W208" i="125"/>
  <c r="W211" i="125" s="1"/>
  <c r="C226" i="125" s="1"/>
  <c r="C228" i="125" s="1"/>
  <c r="P211" i="125"/>
  <c r="P211" i="124"/>
  <c r="W208" i="124"/>
  <c r="W211" i="124" s="1"/>
  <c r="C226" i="124" s="1"/>
  <c r="C228" i="124" s="1"/>
  <c r="C226" i="120"/>
  <c r="W208" i="123"/>
  <c r="W211" i="123" s="1"/>
  <c r="C226" i="123" s="1"/>
  <c r="C228" i="123" s="1"/>
  <c r="P211" i="123"/>
  <c r="C11" i="68"/>
  <c r="H11" i="68" s="1"/>
  <c r="W208" i="122"/>
  <c r="W211" i="122" s="1"/>
  <c r="C226" i="122" s="1"/>
  <c r="C228" i="122" s="1"/>
  <c r="P211" i="122"/>
  <c r="W208" i="121"/>
  <c r="W211" i="121" s="1"/>
  <c r="C226" i="121" s="1"/>
  <c r="C228" i="121" s="1"/>
  <c r="P211" i="121"/>
  <c r="C238" i="119"/>
  <c r="C234" i="119"/>
  <c r="C233" i="119"/>
  <c r="B145" i="117"/>
  <c r="H102" i="117"/>
  <c r="G102" i="117"/>
  <c r="C102" i="117"/>
  <c r="E92" i="117"/>
  <c r="D102" i="117"/>
  <c r="B102" i="117"/>
  <c r="F102" i="117"/>
  <c r="E102" i="117"/>
  <c r="B102" i="118"/>
  <c r="B145" i="118"/>
  <c r="E92" i="118"/>
  <c r="H102" i="118"/>
  <c r="D102" i="118"/>
  <c r="G102" i="118"/>
  <c r="E102" i="118"/>
  <c r="C102" i="118"/>
  <c r="F102" i="118"/>
  <c r="B146" i="118"/>
  <c r="D103" i="118"/>
  <c r="G103" i="118"/>
  <c r="B103" i="118"/>
  <c r="C103" i="118"/>
  <c r="F103" i="118"/>
  <c r="E103" i="118"/>
  <c r="H103" i="118"/>
  <c r="B147" i="118"/>
  <c r="F104" i="118"/>
  <c r="G104" i="118"/>
  <c r="D104" i="118"/>
  <c r="B104" i="118"/>
  <c r="H104" i="118"/>
  <c r="E104" i="118"/>
  <c r="C104" i="118"/>
  <c r="B146" i="117"/>
  <c r="E103" i="117"/>
  <c r="D103" i="117"/>
  <c r="H103" i="117"/>
  <c r="B103" i="117"/>
  <c r="G103" i="117"/>
  <c r="F103" i="117"/>
  <c r="C103" i="117"/>
  <c r="B147" i="117"/>
  <c r="C104" i="117"/>
  <c r="G104" i="117"/>
  <c r="E104" i="117"/>
  <c r="H104" i="117"/>
  <c r="D104" i="117"/>
  <c r="B104" i="117"/>
  <c r="F104" i="117"/>
  <c r="B146" i="116"/>
  <c r="G103" i="116"/>
  <c r="F103" i="116"/>
  <c r="B103" i="116"/>
  <c r="C103" i="116"/>
  <c r="D103" i="116"/>
  <c r="E103" i="116"/>
  <c r="H103" i="116"/>
  <c r="B147" i="116"/>
  <c r="F104" i="116"/>
  <c r="H104" i="116"/>
  <c r="D104" i="116"/>
  <c r="G104" i="116"/>
  <c r="B104" i="116"/>
  <c r="E104" i="116"/>
  <c r="C104" i="116"/>
  <c r="G102" i="116"/>
  <c r="D102" i="116"/>
  <c r="E92" i="116"/>
  <c r="E102" i="116"/>
  <c r="B145" i="116"/>
  <c r="F102" i="116"/>
  <c r="C102" i="116"/>
  <c r="H102" i="116"/>
  <c r="B102" i="116"/>
  <c r="V26" i="34"/>
  <c r="W26" i="34" s="1"/>
  <c r="B38" i="34"/>
  <c r="B39" i="34" s="1"/>
  <c r="U193" i="113"/>
  <c r="E9" i="57"/>
  <c r="AH35" i="34"/>
  <c r="AI35" i="34"/>
  <c r="D21" i="57"/>
  <c r="H16" i="57"/>
  <c r="C104" i="115"/>
  <c r="G104" i="115"/>
  <c r="H104" i="115"/>
  <c r="G103" i="115"/>
  <c r="F104" i="115"/>
  <c r="D104" i="115"/>
  <c r="B104" i="115"/>
  <c r="U193" i="115"/>
  <c r="G102" i="115"/>
  <c r="H102" i="115"/>
  <c r="B102" i="115"/>
  <c r="C153" i="115"/>
  <c r="C152" i="115"/>
  <c r="C146" i="115"/>
  <c r="D146" i="115" s="1"/>
  <c r="E191" i="115"/>
  <c r="B103" i="115"/>
  <c r="E74" i="115"/>
  <c r="F152" i="115"/>
  <c r="F153" i="115"/>
  <c r="E92" i="115"/>
  <c r="B145" i="115"/>
  <c r="F102" i="115"/>
  <c r="F103" i="115"/>
  <c r="H103" i="115"/>
  <c r="D103" i="115"/>
  <c r="E102" i="115"/>
  <c r="E103" i="115"/>
  <c r="C103" i="115"/>
  <c r="H152" i="115"/>
  <c r="H153" i="115"/>
  <c r="G152" i="115"/>
  <c r="G153" i="115"/>
  <c r="D102" i="115"/>
  <c r="B152" i="115"/>
  <c r="B153" i="115"/>
  <c r="D153" i="115"/>
  <c r="D152" i="115"/>
  <c r="E192" i="115"/>
  <c r="D147" i="115"/>
  <c r="C102" i="115"/>
  <c r="E104" i="115"/>
  <c r="H103" i="113"/>
  <c r="B103" i="113"/>
  <c r="C103" i="113"/>
  <c r="F104" i="113"/>
  <c r="C104" i="113"/>
  <c r="U211" i="88"/>
  <c r="B104" i="113"/>
  <c r="E104" i="113"/>
  <c r="H104" i="113"/>
  <c r="G104" i="113"/>
  <c r="D102" i="113"/>
  <c r="F102" i="113"/>
  <c r="G103" i="113"/>
  <c r="E192" i="113"/>
  <c r="D147" i="113"/>
  <c r="D103" i="88"/>
  <c r="D102" i="88"/>
  <c r="E102" i="88"/>
  <c r="F152" i="88"/>
  <c r="E74" i="88"/>
  <c r="F153" i="88"/>
  <c r="D153" i="88"/>
  <c r="D152" i="88"/>
  <c r="F102" i="88"/>
  <c r="G104" i="88"/>
  <c r="D104" i="113"/>
  <c r="F103" i="88"/>
  <c r="E103" i="113"/>
  <c r="D153" i="113"/>
  <c r="D152" i="113"/>
  <c r="E192" i="88"/>
  <c r="D147" i="88"/>
  <c r="C146" i="88"/>
  <c r="D146" i="88" s="1"/>
  <c r="E191" i="88"/>
  <c r="B152" i="113"/>
  <c r="B153" i="113"/>
  <c r="B102" i="88"/>
  <c r="F152" i="113"/>
  <c r="E74" i="113"/>
  <c r="F153" i="113"/>
  <c r="E92" i="88"/>
  <c r="B145" i="88"/>
  <c r="C146" i="113"/>
  <c r="D146" i="113" s="1"/>
  <c r="E191" i="113"/>
  <c r="B102" i="113"/>
  <c r="D104" i="88"/>
  <c r="F104" i="88"/>
  <c r="B152" i="88"/>
  <c r="B153" i="88"/>
  <c r="B103" i="88"/>
  <c r="H152" i="113"/>
  <c r="H153" i="113"/>
  <c r="G152" i="113"/>
  <c r="G153" i="113"/>
  <c r="E92" i="113"/>
  <c r="B145" i="113"/>
  <c r="H102" i="113"/>
  <c r="G102" i="113"/>
  <c r="E102" i="113"/>
  <c r="H153" i="88"/>
  <c r="H152" i="88"/>
  <c r="E104" i="88"/>
  <c r="H102" i="88"/>
  <c r="G102" i="88"/>
  <c r="C103" i="88"/>
  <c r="G152" i="88"/>
  <c r="G153" i="88"/>
  <c r="C102" i="113"/>
  <c r="C152" i="113"/>
  <c r="C153" i="113"/>
  <c r="C104" i="88"/>
  <c r="G103" i="88"/>
  <c r="H104" i="88"/>
  <c r="H103" i="88"/>
  <c r="C153" i="88"/>
  <c r="C152" i="88"/>
  <c r="C102" i="88"/>
  <c r="D103" i="113"/>
  <c r="E103" i="88"/>
  <c r="F103" i="113"/>
  <c r="B104" i="88"/>
  <c r="C14" i="68" a="1"/>
  <c r="C16" i="68" a="1"/>
  <c r="C15" i="68" a="1"/>
  <c r="C13" i="68" a="1"/>
  <c r="G11" i="68" a="1"/>
  <c r="F11" i="68" a="1"/>
  <c r="C17" i="68" a="1"/>
  <c r="L18" i="89" l="1"/>
  <c r="AH45" i="34"/>
  <c r="K18" i="89"/>
  <c r="AG45" i="34"/>
  <c r="M44" i="35"/>
  <c r="O44" i="35"/>
  <c r="S37" i="35"/>
  <c r="N37" i="35"/>
  <c r="O37" i="35"/>
  <c r="T37" i="35"/>
  <c r="U37" i="35" s="1"/>
  <c r="C16" i="68"/>
  <c r="H16" i="68" s="1"/>
  <c r="C17" i="68"/>
  <c r="H17" i="68" s="1"/>
  <c r="C238" i="124"/>
  <c r="C234" i="124"/>
  <c r="C233" i="124"/>
  <c r="C238" i="125"/>
  <c r="C234" i="125"/>
  <c r="C233" i="125"/>
  <c r="C15" i="68"/>
  <c r="H15" i="68" s="1"/>
  <c r="C14" i="68"/>
  <c r="H14" i="68" s="1"/>
  <c r="C238" i="123"/>
  <c r="C234" i="123"/>
  <c r="C233" i="123"/>
  <c r="C13" i="68"/>
  <c r="H13" i="68" s="1"/>
  <c r="F11" i="68"/>
  <c r="G11" i="68"/>
  <c r="C238" i="122"/>
  <c r="C234" i="122"/>
  <c r="C233" i="122"/>
  <c r="C238" i="121"/>
  <c r="C234" i="121"/>
  <c r="C233" i="121"/>
  <c r="E105" i="118"/>
  <c r="H105" i="118"/>
  <c r="D105" i="116"/>
  <c r="G105" i="116"/>
  <c r="E105" i="116"/>
  <c r="D105" i="117"/>
  <c r="E192" i="117"/>
  <c r="D147" i="117"/>
  <c r="C146" i="118"/>
  <c r="D146" i="118" s="1"/>
  <c r="E191" i="118"/>
  <c r="C105" i="117"/>
  <c r="F105" i="118"/>
  <c r="C105" i="118"/>
  <c r="G105" i="118"/>
  <c r="D105" i="118"/>
  <c r="D147" i="116"/>
  <c r="E192" i="116"/>
  <c r="C146" i="117"/>
  <c r="D146" i="117" s="1"/>
  <c r="E191" i="117"/>
  <c r="G145" i="118"/>
  <c r="G148" i="118" s="1"/>
  <c r="C145" i="118"/>
  <c r="B148" i="118"/>
  <c r="E190" i="118"/>
  <c r="B105" i="118"/>
  <c r="E105" i="117"/>
  <c r="F105" i="117"/>
  <c r="B105" i="117"/>
  <c r="B105" i="116"/>
  <c r="H105" i="116"/>
  <c r="C146" i="116"/>
  <c r="D146" i="116" s="1"/>
  <c r="E191" i="116"/>
  <c r="C105" i="116"/>
  <c r="E192" i="118"/>
  <c r="D147" i="118"/>
  <c r="G105" i="117"/>
  <c r="F105" i="116"/>
  <c r="H105" i="117"/>
  <c r="C145" i="116"/>
  <c r="E190" i="116"/>
  <c r="G145" i="116"/>
  <c r="G148" i="116" s="1"/>
  <c r="B148" i="116"/>
  <c r="B148" i="117"/>
  <c r="C145" i="117"/>
  <c r="D145" i="117" s="1"/>
  <c r="G145" i="117"/>
  <c r="G148" i="117" s="1"/>
  <c r="E190" i="117"/>
  <c r="E17" i="57"/>
  <c r="H17" i="57" s="1"/>
  <c r="I17" i="57" s="1"/>
  <c r="F21" i="57"/>
  <c r="H9" i="57"/>
  <c r="AJ36" i="34"/>
  <c r="H105" i="113"/>
  <c r="G105" i="115"/>
  <c r="D105" i="115"/>
  <c r="B105" i="115"/>
  <c r="F105" i="113"/>
  <c r="H105" i="115"/>
  <c r="E152" i="115"/>
  <c r="E153" i="115"/>
  <c r="E105" i="115"/>
  <c r="F105" i="115"/>
  <c r="L191" i="115"/>
  <c r="L209" i="115" s="1"/>
  <c r="F191" i="115"/>
  <c r="C105" i="115"/>
  <c r="B148" i="115"/>
  <c r="C145" i="115"/>
  <c r="C148" i="115" s="1"/>
  <c r="G145" i="115"/>
  <c r="G148" i="115" s="1"/>
  <c r="E190" i="115"/>
  <c r="F192" i="115"/>
  <c r="L192" i="115"/>
  <c r="L210" i="115" s="1"/>
  <c r="C105" i="113"/>
  <c r="C105" i="88"/>
  <c r="B105" i="113"/>
  <c r="G105" i="113"/>
  <c r="E105" i="88"/>
  <c r="E105" i="113"/>
  <c r="D105" i="113"/>
  <c r="B105" i="88"/>
  <c r="D105" i="88"/>
  <c r="F105" i="88"/>
  <c r="C145" i="88"/>
  <c r="C148" i="88" s="1"/>
  <c r="G145" i="88"/>
  <c r="G148" i="88" s="1"/>
  <c r="E190" i="88"/>
  <c r="B148" i="88"/>
  <c r="L192" i="88"/>
  <c r="L210" i="88" s="1"/>
  <c r="F192" i="88"/>
  <c r="G105" i="88"/>
  <c r="H105" i="88"/>
  <c r="E152" i="113"/>
  <c r="E153" i="113"/>
  <c r="L192" i="113"/>
  <c r="L210" i="113" s="1"/>
  <c r="F192" i="113"/>
  <c r="L191" i="88"/>
  <c r="L209" i="88" s="1"/>
  <c r="F191" i="88"/>
  <c r="E153" i="88"/>
  <c r="E152" i="88"/>
  <c r="G145" i="113"/>
  <c r="G148" i="113" s="1"/>
  <c r="E190" i="113"/>
  <c r="B148" i="113"/>
  <c r="C145" i="113"/>
  <c r="C148" i="113" s="1"/>
  <c r="F191" i="113"/>
  <c r="L191" i="113"/>
  <c r="L209" i="113" s="1"/>
  <c r="G17" i="68" a="1"/>
  <c r="F14" i="68" a="1"/>
  <c r="G16" i="68" a="1"/>
  <c r="G14" i="68" a="1"/>
  <c r="F16" i="68" a="1"/>
  <c r="F15" i="68" a="1"/>
  <c r="F13" i="68" a="1"/>
  <c r="F17" i="68" a="1"/>
  <c r="G13" i="68" a="1"/>
  <c r="G15" i="68" a="1"/>
  <c r="K19" i="89" l="1"/>
  <c r="AG46" i="34"/>
  <c r="L19" i="89"/>
  <c r="AH46" i="34"/>
  <c r="F16" i="68"/>
  <c r="G16" i="68"/>
  <c r="G17" i="68"/>
  <c r="F17" i="68"/>
  <c r="F14" i="68"/>
  <c r="G14" i="68"/>
  <c r="F15" i="68"/>
  <c r="G15" i="68"/>
  <c r="F13" i="68"/>
  <c r="G13" i="68"/>
  <c r="C148" i="116"/>
  <c r="D145" i="116"/>
  <c r="D148" i="116" s="1"/>
  <c r="C148" i="118"/>
  <c r="D145" i="118"/>
  <c r="D148" i="118" s="1"/>
  <c r="C148" i="117"/>
  <c r="D148" i="117"/>
  <c r="L190" i="117"/>
  <c r="L208" i="117" s="1"/>
  <c r="E193" i="117"/>
  <c r="F190" i="117"/>
  <c r="L190" i="118"/>
  <c r="L208" i="118" s="1"/>
  <c r="F190" i="118"/>
  <c r="E193" i="118"/>
  <c r="F191" i="117"/>
  <c r="L191" i="117"/>
  <c r="L209" i="117" s="1"/>
  <c r="L192" i="116"/>
  <c r="L210" i="116" s="1"/>
  <c r="F192" i="116"/>
  <c r="L190" i="116"/>
  <c r="L208" i="116" s="1"/>
  <c r="F190" i="116"/>
  <c r="E193" i="116"/>
  <c r="F192" i="118"/>
  <c r="L192" i="118"/>
  <c r="L210" i="118" s="1"/>
  <c r="L191" i="118"/>
  <c r="L209" i="118" s="1"/>
  <c r="F191" i="118"/>
  <c r="F191" i="116"/>
  <c r="L191" i="116"/>
  <c r="L209" i="116" s="1"/>
  <c r="L192" i="117"/>
  <c r="L210" i="117" s="1"/>
  <c r="F192" i="117"/>
  <c r="N210" i="118"/>
  <c r="N192" i="118"/>
  <c r="N192" i="117"/>
  <c r="N210" i="117"/>
  <c r="N210" i="116"/>
  <c r="N192" i="116"/>
  <c r="N210" i="115"/>
  <c r="N192" i="113"/>
  <c r="N192" i="115"/>
  <c r="N210" i="88"/>
  <c r="N192" i="88"/>
  <c r="N210" i="113"/>
  <c r="I9" i="57"/>
  <c r="AJ37" i="34"/>
  <c r="N191" i="120" s="1"/>
  <c r="D145" i="115"/>
  <c r="L190" i="115"/>
  <c r="L208" i="115" s="1"/>
  <c r="F190" i="115"/>
  <c r="E193" i="115"/>
  <c r="D145" i="113"/>
  <c r="L190" i="88"/>
  <c r="L208" i="88" s="1"/>
  <c r="F190" i="88"/>
  <c r="E193" i="88"/>
  <c r="F190" i="113"/>
  <c r="L190" i="113"/>
  <c r="L208" i="113" s="1"/>
  <c r="E193" i="113"/>
  <c r="D145" i="88"/>
  <c r="P191" i="120" l="1"/>
  <c r="Q191" i="120"/>
  <c r="V191" i="120" s="1"/>
  <c r="L20" i="89"/>
  <c r="AH47" i="34"/>
  <c r="K20" i="89"/>
  <c r="AG47" i="34"/>
  <c r="P192" i="88"/>
  <c r="W192" i="88" s="1"/>
  <c r="Q192" i="88"/>
  <c r="V192" i="88" s="1"/>
  <c r="N191" i="117"/>
  <c r="N191" i="118"/>
  <c r="N191" i="116"/>
  <c r="N191" i="113"/>
  <c r="N191" i="115"/>
  <c r="N191" i="88"/>
  <c r="D127" i="117"/>
  <c r="D127" i="118"/>
  <c r="D127" i="113"/>
  <c r="D127" i="115"/>
  <c r="D127" i="116"/>
  <c r="D127" i="88"/>
  <c r="P192" i="116"/>
  <c r="W192" i="116" s="1"/>
  <c r="Q192" i="116"/>
  <c r="V192" i="116" s="1"/>
  <c r="P192" i="115"/>
  <c r="W192" i="115" s="1"/>
  <c r="Q192" i="115"/>
  <c r="V192" i="115" s="1"/>
  <c r="P192" i="113"/>
  <c r="W192" i="113" s="1"/>
  <c r="Q192" i="113"/>
  <c r="V192" i="113" s="1"/>
  <c r="AJ38" i="34"/>
  <c r="J9" i="57"/>
  <c r="P192" i="117"/>
  <c r="W192" i="117" s="1"/>
  <c r="Q192" i="117"/>
  <c r="V192" i="117" s="1"/>
  <c r="P192" i="118"/>
  <c r="W192" i="118" s="1"/>
  <c r="Q192" i="118"/>
  <c r="V192" i="118" s="1"/>
  <c r="D148" i="115"/>
  <c r="D148" i="88"/>
  <c r="D148" i="113"/>
  <c r="K21" i="89" l="1"/>
  <c r="K22" i="89" s="1"/>
  <c r="K23" i="89" s="1"/>
  <c r="K24" i="89" s="1"/>
  <c r="K25" i="89" s="1"/>
  <c r="K26" i="89" s="1"/>
  <c r="K27" i="89" s="1"/>
  <c r="K28" i="89" s="1"/>
  <c r="K29" i="89" s="1"/>
  <c r="K30" i="89" s="1"/>
  <c r="K31" i="89" s="1"/>
  <c r="K32" i="89" s="1"/>
  <c r="K33" i="89" s="1"/>
  <c r="K34" i="89" s="1"/>
  <c r="K35" i="89" s="1"/>
  <c r="K36" i="89" s="1"/>
  <c r="K37" i="89" s="1"/>
  <c r="K38" i="89" s="1"/>
  <c r="AG48" i="34"/>
  <c r="L21" i="89"/>
  <c r="L22" i="89" s="1"/>
  <c r="L23" i="89" s="1"/>
  <c r="L24" i="89" s="1"/>
  <c r="L25" i="89" s="1"/>
  <c r="L26" i="89" s="1"/>
  <c r="L27" i="89" s="1"/>
  <c r="L28" i="89" s="1"/>
  <c r="L29" i="89" s="1"/>
  <c r="L30" i="89" s="1"/>
  <c r="L31" i="89" s="1"/>
  <c r="L32" i="89" s="1"/>
  <c r="L33" i="89" s="1"/>
  <c r="L34" i="89" s="1"/>
  <c r="L35" i="89" s="1"/>
  <c r="L36" i="89" s="1"/>
  <c r="L37" i="89" s="1"/>
  <c r="L38" i="89" s="1"/>
  <c r="AH48" i="34"/>
  <c r="P193" i="120"/>
  <c r="W191" i="120"/>
  <c r="W193" i="120" s="1"/>
  <c r="C224" i="120" s="1"/>
  <c r="C228" i="120" s="1"/>
  <c r="N208" i="118"/>
  <c r="N209" i="118" s="1"/>
  <c r="P190" i="118"/>
  <c r="Q190" i="118"/>
  <c r="V190" i="118" s="1"/>
  <c r="D130" i="117"/>
  <c r="E147" i="117" s="1"/>
  <c r="D128" i="117"/>
  <c r="N208" i="117"/>
  <c r="N209" i="117" s="1"/>
  <c r="P190" i="117"/>
  <c r="Q190" i="117"/>
  <c r="V190" i="117" s="1"/>
  <c r="P191" i="88"/>
  <c r="W191" i="88" s="1"/>
  <c r="Q191" i="88"/>
  <c r="V191" i="88" s="1"/>
  <c r="P191" i="115"/>
  <c r="W191" i="115" s="1"/>
  <c r="Q191" i="115"/>
  <c r="V191" i="115" s="1"/>
  <c r="P191" i="113"/>
  <c r="W191" i="113" s="1"/>
  <c r="Q191" i="113"/>
  <c r="V191" i="113" s="1"/>
  <c r="P191" i="116"/>
  <c r="W191" i="116" s="1"/>
  <c r="Q191" i="116"/>
  <c r="V191" i="116" s="1"/>
  <c r="K9" i="57"/>
  <c r="AJ39" i="34"/>
  <c r="P191" i="118"/>
  <c r="W191" i="118" s="1"/>
  <c r="Q191" i="118"/>
  <c r="V191" i="118" s="1"/>
  <c r="P191" i="117"/>
  <c r="W191" i="117" s="1"/>
  <c r="Q191" i="117"/>
  <c r="V191" i="117" s="1"/>
  <c r="D128" i="88"/>
  <c r="D130" i="88"/>
  <c r="E147" i="88" s="1"/>
  <c r="N208" i="88"/>
  <c r="N209" i="88" s="1"/>
  <c r="P190" i="88"/>
  <c r="Q190" i="88"/>
  <c r="V190" i="88" s="1"/>
  <c r="N208" i="115"/>
  <c r="N209" i="115" s="1"/>
  <c r="Q190" i="115"/>
  <c r="V190" i="115" s="1"/>
  <c r="P190" i="115"/>
  <c r="D128" i="116"/>
  <c r="D130" i="116"/>
  <c r="E147" i="116" s="1"/>
  <c r="N208" i="116"/>
  <c r="N209" i="116" s="1"/>
  <c r="P190" i="116"/>
  <c r="Q190" i="116"/>
  <c r="V190" i="116" s="1"/>
  <c r="N208" i="113"/>
  <c r="N209" i="113" s="1"/>
  <c r="P190" i="113"/>
  <c r="Q190" i="113"/>
  <c r="V190" i="113" s="1"/>
  <c r="D128" i="115"/>
  <c r="D130" i="115"/>
  <c r="E147" i="115" s="1"/>
  <c r="D128" i="113"/>
  <c r="D130" i="113"/>
  <c r="E147" i="113" s="1"/>
  <c r="D130" i="118"/>
  <c r="E147" i="118" s="1"/>
  <c r="D128" i="118"/>
  <c r="C12" i="68" a="1"/>
  <c r="C12" i="68" l="1"/>
  <c r="H12" i="68" s="1"/>
  <c r="C233" i="120"/>
  <c r="C238" i="120"/>
  <c r="C234" i="120"/>
  <c r="F147" i="116"/>
  <c r="F148" i="116" s="1"/>
  <c r="E146" i="116"/>
  <c r="H146" i="116" s="1"/>
  <c r="E145" i="116"/>
  <c r="W190" i="115"/>
  <c r="W193" i="115" s="1"/>
  <c r="C224" i="115" s="1"/>
  <c r="P193" i="115"/>
  <c r="AJ40" i="34"/>
  <c r="L9" i="57"/>
  <c r="AJ41" i="34"/>
  <c r="E146" i="118"/>
  <c r="H146" i="118" s="1"/>
  <c r="E145" i="118"/>
  <c r="F147" i="118"/>
  <c r="F148" i="118" s="1"/>
  <c r="F147" i="113"/>
  <c r="F148" i="113" s="1"/>
  <c r="W190" i="88"/>
  <c r="W193" i="88" s="1"/>
  <c r="C224" i="88" s="1"/>
  <c r="P193" i="88"/>
  <c r="E146" i="113"/>
  <c r="H146" i="113" s="1"/>
  <c r="E145" i="113"/>
  <c r="F147" i="88"/>
  <c r="F148" i="88" s="1"/>
  <c r="F147" i="115"/>
  <c r="F148" i="115" s="1"/>
  <c r="E146" i="88"/>
  <c r="H146" i="88" s="1"/>
  <c r="E145" i="88"/>
  <c r="W190" i="117"/>
  <c r="W193" i="117" s="1"/>
  <c r="C224" i="117" s="1"/>
  <c r="P193" i="117"/>
  <c r="E146" i="115"/>
  <c r="H146" i="115" s="1"/>
  <c r="E145" i="115"/>
  <c r="E146" i="117"/>
  <c r="H146" i="117" s="1"/>
  <c r="E145" i="117"/>
  <c r="P193" i="113"/>
  <c r="W190" i="113"/>
  <c r="W193" i="113" s="1"/>
  <c r="C224" i="113" s="1"/>
  <c r="F147" i="117"/>
  <c r="F148" i="117" s="1"/>
  <c r="W190" i="118"/>
  <c r="W193" i="118" s="1"/>
  <c r="C224" i="118" s="1"/>
  <c r="P193" i="118"/>
  <c r="W190" i="116"/>
  <c r="W193" i="116" s="1"/>
  <c r="C224" i="116" s="1"/>
  <c r="P193" i="116"/>
  <c r="G12" i="68" a="1"/>
  <c r="F12" i="68" a="1"/>
  <c r="G12" i="68" l="1"/>
  <c r="F12" i="68"/>
  <c r="H147" i="116"/>
  <c r="B160" i="116" s="1"/>
  <c r="H147" i="118"/>
  <c r="H160" i="118" s="1"/>
  <c r="H147" i="117"/>
  <c r="E160" i="117" s="1"/>
  <c r="H147" i="113"/>
  <c r="E210" i="113" s="1"/>
  <c r="I146" i="118"/>
  <c r="E209" i="118"/>
  <c r="D159" i="118"/>
  <c r="H159" i="118"/>
  <c r="F159" i="118"/>
  <c r="G159" i="118"/>
  <c r="B159" i="118"/>
  <c r="C159" i="118"/>
  <c r="E159" i="118"/>
  <c r="E148" i="115"/>
  <c r="H145" i="115"/>
  <c r="AJ42" i="34"/>
  <c r="C159" i="115"/>
  <c r="G159" i="115"/>
  <c r="D159" i="115"/>
  <c r="E159" i="115"/>
  <c r="H159" i="115"/>
  <c r="B159" i="115"/>
  <c r="F159" i="115"/>
  <c r="E209" i="115"/>
  <c r="I146" i="115"/>
  <c r="E148" i="88"/>
  <c r="H145" i="88"/>
  <c r="H159" i="88"/>
  <c r="D159" i="88"/>
  <c r="G159" i="88"/>
  <c r="C159" i="88"/>
  <c r="B159" i="88"/>
  <c r="E209" i="88"/>
  <c r="I146" i="88"/>
  <c r="E159" i="88"/>
  <c r="F159" i="88"/>
  <c r="E148" i="116"/>
  <c r="H145" i="116"/>
  <c r="H147" i="115"/>
  <c r="E209" i="116"/>
  <c r="I146" i="116"/>
  <c r="F159" i="116"/>
  <c r="C159" i="116"/>
  <c r="H159" i="116"/>
  <c r="B159" i="116"/>
  <c r="D159" i="116"/>
  <c r="G159" i="116"/>
  <c r="E159" i="116"/>
  <c r="H147" i="88"/>
  <c r="C160" i="117"/>
  <c r="E148" i="113"/>
  <c r="H145" i="113"/>
  <c r="E209" i="113"/>
  <c r="E159" i="113"/>
  <c r="I146" i="113"/>
  <c r="H159" i="113"/>
  <c r="G159" i="113"/>
  <c r="B159" i="113"/>
  <c r="F159" i="113"/>
  <c r="D159" i="113"/>
  <c r="C159" i="113"/>
  <c r="E148" i="117"/>
  <c r="H145" i="117"/>
  <c r="I146" i="117"/>
  <c r="E209" i="117"/>
  <c r="C159" i="117"/>
  <c r="G159" i="117"/>
  <c r="D159" i="117"/>
  <c r="H159" i="117"/>
  <c r="B159" i="117"/>
  <c r="F159" i="117"/>
  <c r="E159" i="117"/>
  <c r="C160" i="118"/>
  <c r="E148" i="118"/>
  <c r="H145" i="118"/>
  <c r="E160" i="118" l="1"/>
  <c r="D160" i="118"/>
  <c r="G160" i="118"/>
  <c r="F160" i="118"/>
  <c r="E210" i="117"/>
  <c r="B160" i="117"/>
  <c r="I147" i="117"/>
  <c r="H160" i="117"/>
  <c r="E160" i="116"/>
  <c r="C160" i="116"/>
  <c r="F160" i="116"/>
  <c r="D160" i="116"/>
  <c r="H160" i="116"/>
  <c r="I147" i="116"/>
  <c r="E160" i="113"/>
  <c r="F160" i="113"/>
  <c r="B160" i="113"/>
  <c r="G160" i="113"/>
  <c r="I147" i="118"/>
  <c r="D160" i="113"/>
  <c r="E210" i="118"/>
  <c r="F210" i="118" s="1"/>
  <c r="B160" i="118"/>
  <c r="G160" i="116"/>
  <c r="D160" i="117"/>
  <c r="E210" i="116"/>
  <c r="G210" i="116" s="1"/>
  <c r="G160" i="117"/>
  <c r="F160" i="117"/>
  <c r="H160" i="113"/>
  <c r="C160" i="113"/>
  <c r="I147" i="113"/>
  <c r="D160" i="88"/>
  <c r="E160" i="88"/>
  <c r="F160" i="88"/>
  <c r="G160" i="88"/>
  <c r="B160" i="88"/>
  <c r="C160" i="88"/>
  <c r="E210" i="88"/>
  <c r="I147" i="88"/>
  <c r="H160" i="88"/>
  <c r="E208" i="88"/>
  <c r="B158" i="88"/>
  <c r="C158" i="88"/>
  <c r="F158" i="88"/>
  <c r="E158" i="88"/>
  <c r="I145" i="88"/>
  <c r="H158" i="88"/>
  <c r="D158" i="88"/>
  <c r="G158" i="88"/>
  <c r="H148" i="88"/>
  <c r="I148" i="88" s="1"/>
  <c r="F209" i="115"/>
  <c r="G209" i="115"/>
  <c r="E158" i="113"/>
  <c r="F158" i="113"/>
  <c r="H158" i="113"/>
  <c r="I145" i="113"/>
  <c r="H148" i="113"/>
  <c r="I148" i="113" s="1"/>
  <c r="E208" i="113"/>
  <c r="G158" i="113"/>
  <c r="B158" i="113"/>
  <c r="D158" i="113"/>
  <c r="C158" i="113"/>
  <c r="F209" i="113"/>
  <c r="G209" i="113"/>
  <c r="F210" i="113"/>
  <c r="G210" i="113"/>
  <c r="D158" i="117"/>
  <c r="H158" i="117"/>
  <c r="B158" i="117"/>
  <c r="B161" i="117" s="1"/>
  <c r="B168" i="117" s="1"/>
  <c r="B169" i="117" s="1"/>
  <c r="B170" i="117" s="1"/>
  <c r="B171" i="117" s="1"/>
  <c r="B172" i="117" s="1"/>
  <c r="B173" i="117" s="1"/>
  <c r="B174" i="117" s="1"/>
  <c r="F158" i="117"/>
  <c r="E158" i="117"/>
  <c r="E161" i="117" s="1"/>
  <c r="E168" i="117" s="1"/>
  <c r="E169" i="117" s="1"/>
  <c r="E170" i="117" s="1"/>
  <c r="E171" i="117" s="1"/>
  <c r="E172" i="117" s="1"/>
  <c r="E173" i="117" s="1"/>
  <c r="E174" i="117" s="1"/>
  <c r="H148" i="117"/>
  <c r="I148" i="117" s="1"/>
  <c r="I145" i="117"/>
  <c r="E208" i="117"/>
  <c r="C158" i="117"/>
  <c r="C161" i="117" s="1"/>
  <c r="C168" i="117" s="1"/>
  <c r="C169" i="117" s="1"/>
  <c r="C170" i="117" s="1"/>
  <c r="C171" i="117" s="1"/>
  <c r="C172" i="117" s="1"/>
  <c r="C173" i="117" s="1"/>
  <c r="C174" i="117" s="1"/>
  <c r="G158" i="117"/>
  <c r="F158" i="118"/>
  <c r="F161" i="118" s="1"/>
  <c r="F168" i="118" s="1"/>
  <c r="B158" i="118"/>
  <c r="C158" i="118"/>
  <c r="C161" i="118" s="1"/>
  <c r="C168" i="118" s="1"/>
  <c r="C169" i="118" s="1"/>
  <c r="C170" i="118" s="1"/>
  <c r="C171" i="118" s="1"/>
  <c r="C172" i="118" s="1"/>
  <c r="C173" i="118" s="1"/>
  <c r="C174" i="118" s="1"/>
  <c r="E158" i="118"/>
  <c r="E161" i="118" s="1"/>
  <c r="E168" i="118" s="1"/>
  <c r="E169" i="118" s="1"/>
  <c r="E170" i="118" s="1"/>
  <c r="E171" i="118" s="1"/>
  <c r="E172" i="118" s="1"/>
  <c r="E173" i="118" s="1"/>
  <c r="E174" i="118" s="1"/>
  <c r="I145" i="118"/>
  <c r="H148" i="118"/>
  <c r="I148" i="118" s="1"/>
  <c r="E208" i="118"/>
  <c r="H158" i="118"/>
  <c r="H161" i="118" s="1"/>
  <c r="H168" i="118" s="1"/>
  <c r="H169" i="118" s="1"/>
  <c r="H170" i="118" s="1"/>
  <c r="H171" i="118" s="1"/>
  <c r="H172" i="118" s="1"/>
  <c r="H173" i="118" s="1"/>
  <c r="H174" i="118" s="1"/>
  <c r="D158" i="118"/>
  <c r="D161" i="118" s="1"/>
  <c r="D168" i="118" s="1"/>
  <c r="G158" i="118"/>
  <c r="G161" i="118" s="1"/>
  <c r="G168" i="118" s="1"/>
  <c r="G169" i="118" s="1"/>
  <c r="G170" i="118" s="1"/>
  <c r="G171" i="118" s="1"/>
  <c r="G172" i="118" s="1"/>
  <c r="G173" i="118" s="1"/>
  <c r="G174" i="118" s="1"/>
  <c r="G209" i="116"/>
  <c r="F209" i="116"/>
  <c r="H160" i="115"/>
  <c r="E160" i="115"/>
  <c r="C160" i="115"/>
  <c r="B160" i="115"/>
  <c r="E210" i="115"/>
  <c r="G160" i="115"/>
  <c r="F160" i="115"/>
  <c r="D160" i="115"/>
  <c r="I147" i="115"/>
  <c r="AJ43" i="34"/>
  <c r="G209" i="117"/>
  <c r="F209" i="117"/>
  <c r="G210" i="117"/>
  <c r="F210" i="117"/>
  <c r="I145" i="116"/>
  <c r="H148" i="116"/>
  <c r="I148" i="116" s="1"/>
  <c r="E208" i="116"/>
  <c r="F158" i="116"/>
  <c r="C158" i="116"/>
  <c r="C161" i="116" s="1"/>
  <c r="C168" i="116" s="1"/>
  <c r="C169" i="116" s="1"/>
  <c r="C170" i="116" s="1"/>
  <c r="C171" i="116" s="1"/>
  <c r="C172" i="116" s="1"/>
  <c r="C173" i="116" s="1"/>
  <c r="C174" i="116" s="1"/>
  <c r="H158" i="116"/>
  <c r="B158" i="116"/>
  <c r="B161" i="116" s="1"/>
  <c r="B168" i="116" s="1"/>
  <c r="B169" i="116" s="1"/>
  <c r="B170" i="116" s="1"/>
  <c r="B171" i="116" s="1"/>
  <c r="B172" i="116" s="1"/>
  <c r="B173" i="116" s="1"/>
  <c r="B174" i="116" s="1"/>
  <c r="D158" i="116"/>
  <c r="G158" i="116"/>
  <c r="E158" i="116"/>
  <c r="E161" i="116" s="1"/>
  <c r="E168" i="116" s="1"/>
  <c r="E169" i="116" s="1"/>
  <c r="E170" i="116" s="1"/>
  <c r="E171" i="116" s="1"/>
  <c r="E172" i="116" s="1"/>
  <c r="E173" i="116" s="1"/>
  <c r="E174" i="116" s="1"/>
  <c r="H148" i="115"/>
  <c r="I148" i="115" s="1"/>
  <c r="I145" i="115"/>
  <c r="E208" i="115"/>
  <c r="D158" i="115"/>
  <c r="C158" i="115"/>
  <c r="B158" i="115"/>
  <c r="H158" i="115"/>
  <c r="G158" i="115"/>
  <c r="F158" i="115"/>
  <c r="E158" i="115"/>
  <c r="G209" i="88"/>
  <c r="F209" i="88"/>
  <c r="G209" i="118"/>
  <c r="F209" i="118"/>
  <c r="G161" i="115" l="1"/>
  <c r="G168" i="115" s="1"/>
  <c r="G169" i="115" s="1"/>
  <c r="G170" i="115" s="1"/>
  <c r="G171" i="115" s="1"/>
  <c r="G172" i="115" s="1"/>
  <c r="G173" i="115" s="1"/>
  <c r="G174" i="115" s="1"/>
  <c r="H161" i="117"/>
  <c r="H168" i="117" s="1"/>
  <c r="H169" i="117" s="1"/>
  <c r="H170" i="117" s="1"/>
  <c r="H171" i="117" s="1"/>
  <c r="H172" i="117" s="1"/>
  <c r="H173" i="117" s="1"/>
  <c r="H174" i="117" s="1"/>
  <c r="C161" i="88"/>
  <c r="C168" i="88" s="1"/>
  <c r="C169" i="88" s="1"/>
  <c r="C170" i="88" s="1"/>
  <c r="C171" i="88" s="1"/>
  <c r="C172" i="88" s="1"/>
  <c r="C173" i="88" s="1"/>
  <c r="C174" i="88" s="1"/>
  <c r="D161" i="116"/>
  <c r="D168" i="116" s="1"/>
  <c r="F161" i="116"/>
  <c r="F168" i="116" s="1"/>
  <c r="H161" i="116"/>
  <c r="H168" i="116" s="1"/>
  <c r="H169" i="116" s="1"/>
  <c r="H170" i="116" s="1"/>
  <c r="H171" i="116" s="1"/>
  <c r="H172" i="116" s="1"/>
  <c r="H173" i="116" s="1"/>
  <c r="H174" i="116" s="1"/>
  <c r="G210" i="118"/>
  <c r="P210" i="118" s="1"/>
  <c r="W210" i="118" s="1"/>
  <c r="D161" i="117"/>
  <c r="D168" i="117" s="1"/>
  <c r="C231" i="117" s="1"/>
  <c r="G161" i="116"/>
  <c r="G168" i="116" s="1"/>
  <c r="G169" i="116" s="1"/>
  <c r="G170" i="116" s="1"/>
  <c r="G171" i="116" s="1"/>
  <c r="G172" i="116" s="1"/>
  <c r="G173" i="116" s="1"/>
  <c r="G174" i="116" s="1"/>
  <c r="D161" i="113"/>
  <c r="D168" i="113" s="1"/>
  <c r="D169" i="113" s="1"/>
  <c r="D170" i="113" s="1"/>
  <c r="D171" i="113" s="1"/>
  <c r="D172" i="113" s="1"/>
  <c r="D173" i="113" s="1"/>
  <c r="D174" i="113" s="1"/>
  <c r="F161" i="117"/>
  <c r="F168" i="117" s="1"/>
  <c r="G161" i="113"/>
  <c r="G168" i="113" s="1"/>
  <c r="G169" i="113" s="1"/>
  <c r="G170" i="113" s="1"/>
  <c r="G171" i="113" s="1"/>
  <c r="G172" i="113" s="1"/>
  <c r="G173" i="113" s="1"/>
  <c r="G174" i="113" s="1"/>
  <c r="B161" i="113"/>
  <c r="B168" i="113" s="1"/>
  <c r="B169" i="113" s="1"/>
  <c r="B170" i="113" s="1"/>
  <c r="B171" i="113" s="1"/>
  <c r="B172" i="113" s="1"/>
  <c r="B173" i="113" s="1"/>
  <c r="B174" i="113" s="1"/>
  <c r="F161" i="115"/>
  <c r="F168" i="115" s="1"/>
  <c r="F169" i="115" s="1"/>
  <c r="F170" i="115" s="1"/>
  <c r="F171" i="115" s="1"/>
  <c r="F172" i="115" s="1"/>
  <c r="F173" i="115" s="1"/>
  <c r="F174" i="115" s="1"/>
  <c r="G161" i="117"/>
  <c r="G168" i="117" s="1"/>
  <c r="G169" i="117" s="1"/>
  <c r="G170" i="117" s="1"/>
  <c r="G171" i="117" s="1"/>
  <c r="G172" i="117" s="1"/>
  <c r="G173" i="117" s="1"/>
  <c r="G174" i="117" s="1"/>
  <c r="F161" i="113"/>
  <c r="F168" i="113" s="1"/>
  <c r="C230" i="113" s="1"/>
  <c r="E161" i="113"/>
  <c r="E168" i="113" s="1"/>
  <c r="E169" i="113" s="1"/>
  <c r="E170" i="113" s="1"/>
  <c r="E171" i="113" s="1"/>
  <c r="E172" i="113" s="1"/>
  <c r="E173" i="113" s="1"/>
  <c r="E174" i="113" s="1"/>
  <c r="F210" i="116"/>
  <c r="B161" i="118"/>
  <c r="B168" i="118" s="1"/>
  <c r="B169" i="118" s="1"/>
  <c r="B170" i="118" s="1"/>
  <c r="B171" i="118" s="1"/>
  <c r="B172" i="118" s="1"/>
  <c r="B173" i="118" s="1"/>
  <c r="B174" i="118" s="1"/>
  <c r="H161" i="113"/>
  <c r="H168" i="113" s="1"/>
  <c r="H169" i="113" s="1"/>
  <c r="H170" i="113" s="1"/>
  <c r="H171" i="113" s="1"/>
  <c r="H172" i="113" s="1"/>
  <c r="H173" i="113" s="1"/>
  <c r="H174" i="113" s="1"/>
  <c r="B161" i="88"/>
  <c r="B168" i="88" s="1"/>
  <c r="B169" i="88" s="1"/>
  <c r="B170" i="88" s="1"/>
  <c r="B171" i="88" s="1"/>
  <c r="B172" i="88" s="1"/>
  <c r="B173" i="88" s="1"/>
  <c r="B174" i="88" s="1"/>
  <c r="C161" i="113"/>
  <c r="C168" i="113" s="1"/>
  <c r="C169" i="113" s="1"/>
  <c r="C170" i="113" s="1"/>
  <c r="C171" i="113" s="1"/>
  <c r="C172" i="113" s="1"/>
  <c r="C173" i="113" s="1"/>
  <c r="C174" i="113" s="1"/>
  <c r="G161" i="88"/>
  <c r="G168" i="88" s="1"/>
  <c r="G169" i="88" s="1"/>
  <c r="G170" i="88" s="1"/>
  <c r="G171" i="88" s="1"/>
  <c r="G172" i="88" s="1"/>
  <c r="G173" i="88" s="1"/>
  <c r="G174" i="88" s="1"/>
  <c r="D161" i="88"/>
  <c r="D168" i="88" s="1"/>
  <c r="C231" i="88" s="1"/>
  <c r="H161" i="88"/>
  <c r="H168" i="88" s="1"/>
  <c r="H169" i="88" s="1"/>
  <c r="H170" i="88" s="1"/>
  <c r="H171" i="88" s="1"/>
  <c r="H172" i="88" s="1"/>
  <c r="H173" i="88" s="1"/>
  <c r="H174" i="88" s="1"/>
  <c r="E161" i="88"/>
  <c r="E168" i="88" s="1"/>
  <c r="E169" i="88" s="1"/>
  <c r="E170" i="88" s="1"/>
  <c r="E171" i="88" s="1"/>
  <c r="E172" i="88" s="1"/>
  <c r="E173" i="88" s="1"/>
  <c r="E174" i="88" s="1"/>
  <c r="F161" i="88"/>
  <c r="F168" i="88" s="1"/>
  <c r="F169" i="88" s="1"/>
  <c r="F170" i="88" s="1"/>
  <c r="F171" i="88" s="1"/>
  <c r="F172" i="88" s="1"/>
  <c r="F173" i="88" s="1"/>
  <c r="F174" i="88" s="1"/>
  <c r="C161" i="115"/>
  <c r="C168" i="115" s="1"/>
  <c r="C169" i="115" s="1"/>
  <c r="C170" i="115" s="1"/>
  <c r="C171" i="115" s="1"/>
  <c r="C172" i="115" s="1"/>
  <c r="C173" i="115" s="1"/>
  <c r="C174" i="115" s="1"/>
  <c r="B161" i="115"/>
  <c r="B168" i="115" s="1"/>
  <c r="B169" i="115" s="1"/>
  <c r="B170" i="115" s="1"/>
  <c r="B171" i="115" s="1"/>
  <c r="B172" i="115" s="1"/>
  <c r="B173" i="115" s="1"/>
  <c r="B174" i="115" s="1"/>
  <c r="E161" i="115"/>
  <c r="E168" i="115" s="1"/>
  <c r="E169" i="115" s="1"/>
  <c r="E170" i="115" s="1"/>
  <c r="E171" i="115" s="1"/>
  <c r="E172" i="115" s="1"/>
  <c r="E173" i="115" s="1"/>
  <c r="E174" i="115" s="1"/>
  <c r="P210" i="113"/>
  <c r="W210" i="113" s="1"/>
  <c r="G213" i="113"/>
  <c r="H210" i="113"/>
  <c r="Q210" i="113" s="1"/>
  <c r="V210" i="113" s="1"/>
  <c r="P209" i="88"/>
  <c r="W209" i="88" s="1"/>
  <c r="H209" i="88"/>
  <c r="Q209" i="88" s="1"/>
  <c r="V209" i="88" s="1"/>
  <c r="G212" i="88"/>
  <c r="D169" i="118"/>
  <c r="D170" i="118" s="1"/>
  <c r="D171" i="118" s="1"/>
  <c r="D172" i="118" s="1"/>
  <c r="D173" i="118" s="1"/>
  <c r="D174" i="118" s="1"/>
  <c r="C231" i="118"/>
  <c r="H210" i="116"/>
  <c r="Q210" i="116" s="1"/>
  <c r="V210" i="116" s="1"/>
  <c r="G213" i="116"/>
  <c r="P210" i="116"/>
  <c r="W210" i="116" s="1"/>
  <c r="H209" i="113"/>
  <c r="Q209" i="113" s="1"/>
  <c r="V209" i="113" s="1"/>
  <c r="P209" i="113"/>
  <c r="W209" i="113" s="1"/>
  <c r="G212" i="113"/>
  <c r="F169" i="116"/>
  <c r="F170" i="116" s="1"/>
  <c r="F171" i="116" s="1"/>
  <c r="F172" i="116" s="1"/>
  <c r="F173" i="116" s="1"/>
  <c r="F174" i="116" s="1"/>
  <c r="C230" i="116"/>
  <c r="G208" i="118"/>
  <c r="F208" i="118"/>
  <c r="E211" i="118"/>
  <c r="G208" i="116"/>
  <c r="F208" i="116"/>
  <c r="E211" i="116"/>
  <c r="C231" i="116"/>
  <c r="D169" i="116"/>
  <c r="D170" i="116" s="1"/>
  <c r="D171" i="116" s="1"/>
  <c r="D172" i="116" s="1"/>
  <c r="D173" i="116" s="1"/>
  <c r="D174" i="116" s="1"/>
  <c r="AJ44" i="34"/>
  <c r="G208" i="88"/>
  <c r="F208" i="88"/>
  <c r="E211" i="88"/>
  <c r="F208" i="113"/>
  <c r="G208" i="113"/>
  <c r="E211" i="113"/>
  <c r="C230" i="118"/>
  <c r="F169" i="118"/>
  <c r="F170" i="118" s="1"/>
  <c r="F171" i="118" s="1"/>
  <c r="F172" i="118" s="1"/>
  <c r="F173" i="118" s="1"/>
  <c r="F174" i="118" s="1"/>
  <c r="P209" i="116"/>
  <c r="W209" i="116" s="1"/>
  <c r="G212" i="116"/>
  <c r="H209" i="116"/>
  <c r="Q209" i="116" s="1"/>
  <c r="V209" i="116" s="1"/>
  <c r="F210" i="88"/>
  <c r="G210" i="88"/>
  <c r="C230" i="115"/>
  <c r="G208" i="117"/>
  <c r="F208" i="117"/>
  <c r="E211" i="117"/>
  <c r="G212" i="118"/>
  <c r="P209" i="118"/>
  <c r="W209" i="118" s="1"/>
  <c r="H209" i="118"/>
  <c r="Q209" i="118" s="1"/>
  <c r="V209" i="118" s="1"/>
  <c r="H161" i="115"/>
  <c r="H168" i="115" s="1"/>
  <c r="H169" i="115" s="1"/>
  <c r="H170" i="115" s="1"/>
  <c r="H171" i="115" s="1"/>
  <c r="H172" i="115" s="1"/>
  <c r="H173" i="115" s="1"/>
  <c r="H174" i="115" s="1"/>
  <c r="D161" i="115"/>
  <c r="D168" i="115" s="1"/>
  <c r="F210" i="115"/>
  <c r="G210" i="115"/>
  <c r="E211" i="115"/>
  <c r="G208" i="115"/>
  <c r="F208" i="115"/>
  <c r="P209" i="115"/>
  <c r="W209" i="115" s="1"/>
  <c r="G212" i="115"/>
  <c r="H209" i="115"/>
  <c r="Q209" i="115" s="1"/>
  <c r="V209" i="115" s="1"/>
  <c r="P210" i="117"/>
  <c r="W210" i="117" s="1"/>
  <c r="H210" i="117"/>
  <c r="Q210" i="117" s="1"/>
  <c r="V210" i="117" s="1"/>
  <c r="G213" i="117"/>
  <c r="H209" i="117"/>
  <c r="Q209" i="117" s="1"/>
  <c r="V209" i="117" s="1"/>
  <c r="P209" i="117"/>
  <c r="W209" i="117" s="1"/>
  <c r="G212" i="117"/>
  <c r="F169" i="117"/>
  <c r="F170" i="117" s="1"/>
  <c r="F171" i="117" s="1"/>
  <c r="F172" i="117" s="1"/>
  <c r="F173" i="117" s="1"/>
  <c r="F174" i="117" s="1"/>
  <c r="C230" i="117"/>
  <c r="E5" i="68" a="1"/>
  <c r="E10" i="68" a="1"/>
  <c r="D10" i="68" a="1"/>
  <c r="E9" i="68" a="1"/>
  <c r="D6" i="68" a="1"/>
  <c r="D8" i="68" a="1"/>
  <c r="D7" i="68" a="1"/>
  <c r="D9" i="68" a="1"/>
  <c r="E7" i="68" a="1"/>
  <c r="D169" i="117" l="1"/>
  <c r="D170" i="117" s="1"/>
  <c r="D171" i="117" s="1"/>
  <c r="D172" i="117" s="1"/>
  <c r="D173" i="117" s="1"/>
  <c r="D174" i="117" s="1"/>
  <c r="C231" i="113"/>
  <c r="G213" i="118"/>
  <c r="H210" i="118"/>
  <c r="Q210" i="118" s="1"/>
  <c r="V210" i="118" s="1"/>
  <c r="F169" i="113"/>
  <c r="F170" i="113" s="1"/>
  <c r="F171" i="113" s="1"/>
  <c r="F172" i="113" s="1"/>
  <c r="F173" i="113" s="1"/>
  <c r="F174" i="113" s="1"/>
  <c r="D169" i="88"/>
  <c r="D170" i="88" s="1"/>
  <c r="D171" i="88" s="1"/>
  <c r="D172" i="88" s="1"/>
  <c r="D173" i="88" s="1"/>
  <c r="D174" i="88" s="1"/>
  <c r="E9" i="68"/>
  <c r="E5" i="68"/>
  <c r="D8" i="68"/>
  <c r="D10" i="68"/>
  <c r="D7" i="68"/>
  <c r="E10" i="68"/>
  <c r="D6" i="68"/>
  <c r="E7" i="68"/>
  <c r="D9" i="68"/>
  <c r="C230" i="88"/>
  <c r="P208" i="117"/>
  <c r="H208" i="117"/>
  <c r="Q208" i="117" s="1"/>
  <c r="V208" i="117" s="1"/>
  <c r="G211" i="117"/>
  <c r="P208" i="116"/>
  <c r="H208" i="116"/>
  <c r="Q208" i="116" s="1"/>
  <c r="V208" i="116" s="1"/>
  <c r="G211" i="116"/>
  <c r="G211" i="115"/>
  <c r="P208" i="115"/>
  <c r="H208" i="115"/>
  <c r="Q208" i="115" s="1"/>
  <c r="V208" i="115" s="1"/>
  <c r="H208" i="118"/>
  <c r="Q208" i="118" s="1"/>
  <c r="V208" i="118" s="1"/>
  <c r="P208" i="118"/>
  <c r="G211" i="118"/>
  <c r="H208" i="113"/>
  <c r="Q208" i="113" s="1"/>
  <c r="V208" i="113" s="1"/>
  <c r="P208" i="113"/>
  <c r="G211" i="113"/>
  <c r="C231" i="115"/>
  <c r="D169" i="115"/>
  <c r="D170" i="115" s="1"/>
  <c r="D171" i="115" s="1"/>
  <c r="D172" i="115" s="1"/>
  <c r="D173" i="115" s="1"/>
  <c r="D174" i="115" s="1"/>
  <c r="H208" i="88"/>
  <c r="Q208" i="88" s="1"/>
  <c r="V208" i="88" s="1"/>
  <c r="G211" i="88"/>
  <c r="P208" i="88"/>
  <c r="H210" i="115"/>
  <c r="Q210" i="115" s="1"/>
  <c r="V210" i="115" s="1"/>
  <c r="P210" i="115"/>
  <c r="W210" i="115" s="1"/>
  <c r="G213" i="115"/>
  <c r="AJ45" i="34"/>
  <c r="P210" i="88"/>
  <c r="W210" i="88" s="1"/>
  <c r="H210" i="88"/>
  <c r="Q210" i="88" s="1"/>
  <c r="V210" i="88" s="1"/>
  <c r="G213" i="88"/>
  <c r="E8" i="68" a="1"/>
  <c r="D5" i="68" a="1"/>
  <c r="E6" i="68" a="1"/>
  <c r="E8" i="68" l="1"/>
  <c r="D5" i="68"/>
  <c r="E6" i="68"/>
  <c r="W208" i="116"/>
  <c r="W211" i="116" s="1"/>
  <c r="C226" i="116" s="1"/>
  <c r="C228" i="116" s="1"/>
  <c r="P211" i="116"/>
  <c r="AJ46" i="34"/>
  <c r="W208" i="118"/>
  <c r="W211" i="118" s="1"/>
  <c r="C226" i="118" s="1"/>
  <c r="C228" i="118" s="1"/>
  <c r="P211" i="118"/>
  <c r="P211" i="88"/>
  <c r="W208" i="88"/>
  <c r="W211" i="88" s="1"/>
  <c r="C226" i="88" s="1"/>
  <c r="C228" i="88" s="1"/>
  <c r="W208" i="117"/>
  <c r="W211" i="117" s="1"/>
  <c r="C226" i="117" s="1"/>
  <c r="C228" i="117" s="1"/>
  <c r="P211" i="117"/>
  <c r="P211" i="113"/>
  <c r="W208" i="113"/>
  <c r="W211" i="113" s="1"/>
  <c r="C226" i="113" s="1"/>
  <c r="C228" i="113" s="1"/>
  <c r="W208" i="115"/>
  <c r="W211" i="115" s="1"/>
  <c r="C226" i="115" s="1"/>
  <c r="C228" i="115" s="1"/>
  <c r="P211" i="115"/>
  <c r="C6" i="68" a="1"/>
  <c r="C8" i="68" a="1"/>
  <c r="C5" i="68" a="1"/>
  <c r="C7" i="68" a="1"/>
  <c r="C9" i="68" a="1"/>
  <c r="C10" i="68" a="1"/>
  <c r="C7" i="68" l="1"/>
  <c r="H7" i="68" s="1"/>
  <c r="C10" i="68"/>
  <c r="H10" i="68" s="1"/>
  <c r="C8" i="68"/>
  <c r="H8" i="68" s="1"/>
  <c r="C6" i="68"/>
  <c r="H6" i="68" s="1"/>
  <c r="C9" i="68"/>
  <c r="H9" i="68" s="1"/>
  <c r="C5" i="68"/>
  <c r="H5" i="68" s="1"/>
  <c r="C238" i="117"/>
  <c r="C234" i="117"/>
  <c r="C233" i="117"/>
  <c r="C238" i="116"/>
  <c r="C234" i="116"/>
  <c r="C233" i="116"/>
  <c r="C233" i="88"/>
  <c r="C234" i="88"/>
  <c r="C238" i="118"/>
  <c r="C234" i="118"/>
  <c r="C233" i="118"/>
  <c r="AJ47" i="34"/>
  <c r="C234" i="113"/>
  <c r="C238" i="113"/>
  <c r="C233" i="113"/>
  <c r="C234" i="115"/>
  <c r="C233" i="115"/>
  <c r="F9" i="68" a="1"/>
  <c r="G10" i="68" a="1"/>
  <c r="F6" i="68" a="1"/>
  <c r="F8" i="68" a="1"/>
  <c r="G7" i="68" a="1"/>
  <c r="F5" i="68" a="1"/>
  <c r="G5" i="68" a="1"/>
  <c r="G9" i="68" a="1"/>
  <c r="F7" i="68" a="1"/>
  <c r="G6" i="68" a="1"/>
  <c r="G8" i="68" a="1"/>
  <c r="F10" i="68" a="1"/>
  <c r="G8" i="68" l="1"/>
  <c r="F9" i="68"/>
  <c r="G9" i="68"/>
  <c r="G5" i="68"/>
  <c r="F5" i="68"/>
  <c r="F7" i="68"/>
  <c r="G7" i="68"/>
  <c r="F10" i="68"/>
  <c r="G10" i="68"/>
  <c r="F6" i="68"/>
  <c r="G6" i="68"/>
  <c r="F8" i="68"/>
  <c r="AJ48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A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H1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This represents the assumed fraction of the cost of commercially-sold wood that applies to "cut-own" wood. It's a rough monetization of gasoline (driving + chainsaw) and "sweat equity" costs for people that cut their own wood.</t>
        </r>
      </text>
    </comment>
    <comment ref="A1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A1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A1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A17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N24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Tom Carlson:</t>
        </r>
        <r>
          <rPr>
            <sz val="8"/>
            <color indexed="81"/>
            <rFont val="Tahoma"/>
            <family val="2"/>
          </rPr>
          <t xml:space="preserve">
Portable heater fuel split per 2007 Fairbanks HH survey.</t>
        </r>
      </text>
    </comment>
    <comment ref="S3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This factor is used to adjust episodic average daily emission reductions to annual average daily emission reductions.</t>
        </r>
      </text>
    </comment>
    <comment ref="F37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https://www.federalreserve.gov/releases/h15/ as of 3/5/2019.  See screen snapshot below.</t>
        </r>
      </text>
    </comment>
    <comment ref="S37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This factor is used to adjust winter average daily emission reductions to annual average daily emission reductions.</t>
        </r>
      </text>
    </comment>
    <comment ref="S3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This factor is used to adjust winter average daily emission reductions to annual average daily emission reductions.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2FC8964B-2062-44A8-BCD2-B7D81FFDF9D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0" authorId="0" shapeId="0" xr:uid="{AFA3DE94-107A-4DC2-975D-C707AAC25F6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AA88B99F-78DE-4A81-A351-74EE0F06C33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1" authorId="0" shapeId="0" xr:uid="{12784567-E4DF-488C-93AF-A388EE7FA4E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09438AA3-4860-4A5F-8020-72E35681B52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22E3F27D-6F08-4D0B-AC76-E8F96E8613F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04BC0CFE-23FF-4648-AE10-10C9C5DA68F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B3CECA71-83CF-4FA2-AB0D-862C7E38ED7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3708C15E-5396-4763-86F5-C5FF249EB47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687651AF-9C6E-41FA-9177-2EAAE86670D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212EFB89-8BAF-4919-87A0-7EB50CF6B75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0" authorId="0" shapeId="0" xr:uid="{D18B7F60-D4AC-4FBF-9546-0E50C9F5DE9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FAD29B92-408D-4D79-A468-4FD627D0F14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1" authorId="0" shapeId="0" xr:uid="{755FF5FD-4F83-41BE-A5FA-E09EEB63ADF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9406090F-65D9-4EE6-B250-E6F4C02B5AF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CFC108C4-24E8-4D6F-942F-1A324819F1D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3361C6A2-1841-48D5-B139-C498468DFA7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35CFCCAB-84F3-433E-A883-9EFAA63AC667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3EDC2D98-3076-4F19-998E-F47ABBE2655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DD3B1502-886D-4010-9306-3E5D4E1F627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C708650D-6E34-475C-AABA-3B3B847E7F9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0" authorId="0" shapeId="0" xr:uid="{810C0697-C5D6-4A22-977F-50B56E5CDDB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86D777CD-A28E-4182-94CE-138066E7BF8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1" authorId="0" shapeId="0" xr:uid="{9B45807C-6FEE-4A50-82AD-805CD66C149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62AA1D1E-4362-45DC-95B8-3144B050A0F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3E691849-35CC-488D-89FC-E83233072BF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3F5B635B-3962-4018-A103-CF92D26B5FA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5B17E050-86FD-4151-A39E-D65305614EC3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A2E730D0-0149-4A5B-AC19-5A9C99648DE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AC685344-BD49-4919-B81D-B8EDF39746B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377BC77B-95C2-41E3-8612-4B769ADA347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0" authorId="0" shapeId="0" xr:uid="{07453F39-27DD-4DD2-8F93-05282EC437F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3E44C7F7-4D95-46B6-A74B-FAF09739CC47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1" authorId="0" shapeId="0" xr:uid="{7C674A4E-CACE-4C12-AF48-15F15CCC549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DBF624D4-14F6-4D84-8BB2-3A7C712F418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8AFE1977-60C4-496D-A375-2DC1702C32C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EE0CF3BC-E3B2-47ED-B6B7-557758C7432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B9A7CF27-EB7A-4C49-8EDC-14B68759652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12E54B5F-D3F2-4AB5-9752-CAA9DCEC378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730403D1-E8F5-40AE-BB56-2FD86B6E67E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781516B6-65B3-4131-92BB-01EDB055004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0" authorId="0" shapeId="0" xr:uid="{522624DB-31BD-4F9D-9CE7-1C1D853770B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7E3BFBBD-54A9-4B36-8D06-7CECB17A16D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Interpolation from cleaning frequency from ULS (2015 Brookhaven report and 2000 ppm fuel (Oct 2022 Fairbanks Heating Oil Appliance Cleaning survey).</t>
        </r>
      </text>
    </comment>
    <comment ref="S191" authorId="0" shapeId="0" xr:uid="{0A252476-E57B-4753-B2D9-D07F52065AA3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5FFC3A9F-88CB-418F-B52F-BA732C29DCD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C8D1B92F-ACBD-42F4-8C82-F042A77F80D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7FA3FA9E-A05C-45A2-8B3C-CE2B9E94D41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BD1D7745-C306-47A2-9E29-A895A537857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0CC2EE2D-8A89-49C5-8A85-8FD5B3A64AF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3A2717A8-9D38-4D5E-887F-DE14597F3CC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A23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A24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A25" authorId="0" shapeId="0" xr:uid="{00000000-0006-0000-1F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F25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G25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H25" authorId="0" shapeId="0" xr:uid="{00000000-0006-0000-1F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I25" authorId="0" shapeId="0" xr:uid="{00000000-0006-0000-1F00-00000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J25" authorId="0" shapeId="0" xr:uid="{00000000-0006-0000-1F00-00000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K25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L25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M25" authorId="0" shapeId="0" xr:uid="{00000000-0006-0000-1F00-00000B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N25" authorId="0" shapeId="0" xr:uid="{00000000-0006-0000-1F00-00000C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O25" authorId="0" shapeId="0" xr:uid="{94AE54B5-753A-49EE-9A8B-59274A8E8F07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P25" authorId="0" shapeId="0" xr:uid="{2C8C9B2D-50DF-428F-93EC-B6EA3EB4F6A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Q25" authorId="0" shapeId="0" xr:uid="{712AF26E-F3F7-48A1-916D-01AD2B55F55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R25" authorId="0" shapeId="0" xr:uid="{3F885216-91BE-439E-8D83-369431DBA9D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Assumed price equal to spruce.</t>
        </r>
      </text>
    </comment>
    <comment ref="A26" authorId="0" shapeId="0" xr:uid="{00000000-0006-0000-1F00-00000D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"Purchasing Firewood in Alaska" on air dry basis (20% MC).</t>
        </r>
      </text>
    </comment>
    <comment ref="J36" authorId="0" shapeId="0" xr:uid="{00000000-0006-0000-1F00-00000F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2013 Wood Tag survey, on a volumetric basis.</t>
        </r>
      </text>
    </comment>
    <comment ref="K36" authorId="0" shapeId="0" xr:uid="{00000000-0006-0000-1F00-000010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2013 Wood Tag survey, on a mass basis.</t>
        </r>
      </text>
    </comment>
    <comment ref="A38" authorId="0" shapeId="0" xr:uid="{00000000-0006-0000-1F00-00001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Split &amp; cut.</t>
        </r>
      </text>
    </comment>
    <comment ref="A39" authorId="0" shapeId="0" xr:uid="{00000000-0006-0000-1F00-00001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Split &amp; cut.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H37" authorId="0" shapeId="0" xr:uid="{D16AA018-45A2-45B1-AEBD-E98867E8458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O3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NH3 EF from Pechan "Estimating Ammonia Emissions from Anthropogenic Non-Agricultural Sources" Draft Final Report, April 2004.</t>
        </r>
      </text>
    </comment>
    <comment ref="H38" authorId="0" shapeId="0" xr:uid="{DCFDF6DF-B6C2-4EC2-9C92-EAFDDED4252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H39" authorId="0" shapeId="0" xr:uid="{C757C801-D1AC-4C01-A407-6F7525BA8C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J39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non-catalytic woodstove EF.</t>
        </r>
      </text>
    </comment>
    <comment ref="K39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non-catalytic woodstove EF.</t>
        </r>
      </text>
    </comment>
    <comment ref="L39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non-catalytic woodstove EF.</t>
        </r>
      </text>
    </comment>
    <comment ref="O39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non-catalytic woodstove EF.</t>
        </r>
      </text>
    </comment>
    <comment ref="P39" authorId="0" shapeId="0" xr:uid="{00000000-0006-0000-1C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non-catalytic woodstove EF.</t>
        </r>
      </text>
    </comment>
    <comment ref="H40" authorId="0" shapeId="0" xr:uid="{2A35EEAB-A56C-4FDB-A017-1257FC76161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J40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catalytic woodstove EF.</t>
        </r>
      </text>
    </comment>
    <comment ref="K40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catalytic woodstove EF.</t>
        </r>
      </text>
    </comment>
    <comment ref="L40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catalytic woodstove EF.</t>
        </r>
      </text>
    </comment>
    <comment ref="O40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catalytic woodstove EF.</t>
        </r>
      </text>
    </comment>
    <comment ref="P40" authorId="0" shapeId="0" xr:uid="{00000000-0006-0000-1C00-00000B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No separate EF data for this pollutant for certified inserts.  Assumed equal to certified catalytic woodstove EF.</t>
        </r>
      </text>
    </comment>
    <comment ref="H41" authorId="0" shapeId="0" xr:uid="{559B9ACE-2685-4B0A-B375-7A1F8F6EF87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1" authorId="0" shapeId="0" xr:uid="{00000000-0006-0000-1C00-00000C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1" authorId="0" shapeId="0" xr:uid="{00000000-0006-0000-1C00-00000D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H42" authorId="0" shapeId="0" xr:uid="{8DD7398C-1CB8-43AB-B986-8A76FF42F4D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2" authorId="0" shapeId="0" xr:uid="{00000000-0006-0000-1C00-00000E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2" authorId="0" shapeId="0" xr:uid="{00000000-0006-0000-1C00-00000F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H43" authorId="0" shapeId="0" xr:uid="{E75EF9C6-52E7-4692-80A4-E06E022AF84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3" authorId="0" shapeId="0" xr:uid="{00000000-0006-0000-1C00-000010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3" authorId="0" shapeId="0" xr:uid="{00000000-0006-0000-1C00-00001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O43" authorId="0" shapeId="0" xr:uid="{00000000-0006-0000-1C00-00001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P43" authorId="0" shapeId="0" xr:uid="{00000000-0006-0000-1C00-00001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H44" authorId="0" shapeId="0" xr:uid="{106A585F-E1E3-4569-8EBE-1405BE7CB20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J44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Tom Carlson:</t>
        </r>
        <r>
          <rPr>
            <sz val="8"/>
            <color indexed="81"/>
            <rFont val="Tahoma"/>
            <family val="2"/>
          </rPr>
          <t xml:space="preserve">
From http://www.epa.gov/burnwise/pdfs/EPA_stove_emis_reduct.pdf, converted from kg/tonne to lb/ton.</t>
        </r>
      </text>
    </comment>
    <comment ref="H45" authorId="0" shapeId="0" xr:uid="{07B49AEF-D788-45F9-A171-7359F2F1138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J45" authorId="0" shapeId="0" xr:uid="{00000000-0006-0000-1C00-000015000000}">
      <text>
        <r>
          <rPr>
            <b/>
            <sz val="8"/>
            <color indexed="81"/>
            <rFont val="Tahoma"/>
            <family val="2"/>
          </rPr>
          <t>Tom Carlson:</t>
        </r>
        <r>
          <rPr>
            <sz val="8"/>
            <color indexed="81"/>
            <rFont val="Tahoma"/>
            <family val="2"/>
          </rPr>
          <t xml:space="preserve">
From http://www.epa.gov/burnwise/pdfs/EPA_stove_emis_reduct.pdf, converted from kg/tonne to lb/ton.</t>
        </r>
      </text>
    </comment>
    <comment ref="H46" authorId="0" shapeId="0" xr:uid="{6E8DE29F-DA63-4CDD-87A6-1F87CD1CAE13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H47" authorId="0" shapeId="0" xr:uid="{7202430E-BB0D-4B84-9989-3DC00287D327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7" authorId="0" shapeId="0" xr:uid="{00000000-0006-0000-1C00-00001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7" authorId="0" shapeId="0" xr:uid="{00000000-0006-0000-1C00-00001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H48" authorId="0" shapeId="0" xr:uid="{58CF25DC-92C6-4545-A07F-82E0F9F425E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8" authorId="0" shapeId="0" xr:uid="{00000000-0006-0000-1C00-00001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8" authorId="0" shapeId="0" xr:uid="{00000000-0006-0000-1C00-00001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H49" authorId="0" shapeId="0" xr:uid="{526B5958-B5F6-45E0-A18A-EAEF3453393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http://www.woodenergy.ie/woodasafuel/listandvaluesofwoodfuelparameters-part1/</t>
        </r>
      </text>
    </comment>
    <comment ref="M49" authorId="0" shapeId="0" xr:uid="{00000000-0006-0000-1C00-00001A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N49" authorId="0" shapeId="0" xr:uid="{00000000-0006-0000-1C00-00001B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Reflects weighting of spruce and birch EFs from wood-specific OMNI tests based on spruce vs. birch split from Forest Service timber sales data.</t>
        </r>
      </text>
    </comment>
    <comment ref="L54" authorId="0" shapeId="0" xr:uid="{00000000-0006-0000-1C00-00001C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2,163 ppm per RGD 8/18/11 email.
This also reflects a rough 76% vs. 24% split in exising use of #2 and #1 distillate, respectively per info from Polar Fuel and Soutdough (PetroStar) in 1/31/12 email from Joan Hardesty to Bob Dulla:
76% x 2566 ppm (#2 S)   +  24% x 896 ppm (#1 S)  =  2,165 ppm S.</t>
        </r>
      </text>
    </comment>
    <comment ref="L55" authorId="0" shapeId="0" xr:uid="{00000000-0006-0000-1C00-00001D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896 ppm per RGD 2/13/12 email giving sulfur content in #1 as measured by OMNI Labs.
</t>
        </r>
      </text>
    </comment>
    <comment ref="L56" authorId="0" shapeId="0" xr:uid="{00000000-0006-0000-1C00-00001E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2,566 ppm per RGD 2/13/12 email giving sulfur content in #2 as measured by OMNI Labs.
</t>
        </r>
      </text>
    </comment>
    <comment ref="L57" authorId="0" shapeId="0" xr:uid="{00000000-0006-0000-1C00-00001F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2,163 ppm per RGD 8/18/11 email.
This also reflects a rough 76% vs. 24% split in exising use of #2 and #1 distillate, respectively per info from Polar Fuel and Soutdough (PetroStar) in 1/31/12 email from Joan Hardesty to Bob Dulla:
76% x 2566 ppm (#2 S)   +  24% x 896 ppm (#1 S)  =  2,165 ppm S.</t>
        </r>
      </text>
    </comment>
    <comment ref="A58" authorId="0" shapeId="0" xr:uid="{00000000-0006-0000-1C00-000020000000}">
      <text>
        <r>
          <rPr>
            <b/>
            <sz val="8"/>
            <color indexed="81"/>
            <rFont val="Tahoma"/>
            <family val="2"/>
          </rPr>
          <t>Tom Carlson:</t>
        </r>
        <r>
          <rPr>
            <sz val="8"/>
            <color indexed="81"/>
            <rFont val="Tahoma"/>
            <family val="2"/>
          </rPr>
          <t xml:space="preserve">
Portable heater fuel split per 2007 Fairbanks HH survey.</t>
        </r>
      </text>
    </comment>
    <comment ref="L58" authorId="0" shapeId="0" xr:uid="{00000000-0006-0000-1C00-00002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2,163 ppm per RGD 8/18/11 email.
This also reflects a rough 76% vs. 24% split in exising use of #2 and #1 distillate, respectively per info from Polar Fuel and Soutdough (PetroStar) in 1/31/12 email from Joan Hardesty to Bob Dulla:
76% x 2566 ppm (#2 S)   +  24% x 896 ppm (#1 S)  =  2,165 ppm S.</t>
        </r>
      </text>
    </comment>
    <comment ref="L59" authorId="0" shapeId="0" xr:uid="{00000000-0006-0000-1C00-00002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Assumes fuel sulfur content of 2,163 ppm per RGD 8/18/11 email.
This also reflects a rough 76% vs. 24% split in exising use of #2 and #1 distillate, respectively per info from Polar Fuel and Soutdough (PetroStar) in 1/31/12 email from Joan Hardesty to Bob Dulla:
76% x 2566 ppm (#2 S)   +  24% x 896 ppm (#1 S)  =  2,165 ppm S.</t>
        </r>
      </text>
    </comment>
    <comment ref="H60" authorId="0" shapeId="0" xr:uid="{C938B7EF-1469-4D16-8560-4D56C2C013E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http://www.interline.nl/media/1000030/handbooksulfurmeasurements_002.pdf</t>
        </r>
      </text>
    </comment>
    <comment ref="H61" authorId="0" shapeId="0" xr:uid="{098A9635-CD8D-47EA-826B-5592F945C75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http://www.interline.nl/media/1000030/handbooksulfurmeasurements_002.pdf</t>
        </r>
      </text>
    </comment>
    <comment ref="H62" authorId="0" shapeId="0" xr:uid="{4581D167-511A-4089-8FC7-A4586F887A2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http://www.usibelli.com/coal/data-sheet</t>
        </r>
      </text>
    </comment>
    <comment ref="L62" authorId="0" shapeId="0" xr:uid="{00000000-0006-0000-1C00-00002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Assuming coal sulfur content of 0.3% weight per www.usibelli.com/Coal_data.asp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T11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This is a reasonable average of flue temperatures from the 2011 CCHRC Instrumented study during firing.</t>
        </r>
      </text>
    </comment>
    <comment ref="C50" authorId="0" shapeId="0" xr:uid="{00000000-0006-0000-29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Dry basis, since all CCHRC data reported on oven-dry (OD) moisture basis.</t>
        </r>
      </text>
    </comment>
    <comment ref="O50" authorId="0" shapeId="0" xr:uid="{00000000-0006-0000-29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P.L. Wilson, et al, "Fuelwood Characteristics of Northwestern Conifers and Hardwoods (Updated", USDA Forest Service, PNW-GTR-810, April 2010.</t>
        </r>
      </text>
    </comment>
    <comment ref="O51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UAF Cooperative Extension: 
http://www.alaskawoodheating.com/energy_content.php and adjusted from 20% MCd to an Oven Dry basis (see AK_Wood_HHV.xlsx spreadsheet and "Purchasing Firewood in Alaska" reference.
</t>
        </r>
      </text>
    </comment>
    <comment ref="H52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Taken from Simulated Wood Shed moisture data, not Tarp Covered.</t>
        </r>
      </text>
    </comment>
    <comment ref="I52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Taken from Simulated Wood Shed moisture data, not Tarp Covered.</t>
        </r>
      </text>
    </comment>
    <comment ref="K5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Tarp-covered data from CCHRCTables sheet, except where noted.</t>
        </r>
      </text>
    </comment>
    <comment ref="H5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Taken from Simulated Wood Shed moisture data, not Tarp Covered.</t>
        </r>
      </text>
    </comment>
    <comment ref="I53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Taken from Simulated Wood Shed moisture data, not Tarp Covered.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I6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Does not include condensible PM.  Filterable PM is that particulate collected on or prior to the filter of an EPA Method 5 (or equivalent) sampling train.</t>
        </r>
      </text>
    </comment>
    <comment ref="J6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Does not include condensible PM.  Filterable PM is that particulate collected on or prior to the filter of an EPA Method 5 (or equivalent) sampling train.</t>
        </r>
      </text>
    </comment>
    <comment ref="I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Emission factor for Pre-1970's burner designs.</t>
        </r>
      </text>
    </comment>
    <comment ref="J7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Based on data from new burner designs.  Pre-1970's burner designs may emit filterable PM as high as 3.0 lb/1000 gallons.</t>
        </r>
      </text>
    </comment>
    <comment ref="K7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To determine EF in lb/ton, multiply the EF provided by the weight percent sulfur.  S=% Sulfur content.</t>
        </r>
      </text>
    </comment>
    <comment ref="T24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Fuel sulfur taken as 450-ppm (80% of maximum allowable, likely lower.</t>
        </r>
      </text>
    </comment>
    <comment ref="K62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Fuel sulfur taken as 450-ppm (80% of maximum allowable, likely lower.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0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191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1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19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8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209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9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210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2E9E5525-76DC-47EA-9916-64E5B1A91DF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0" authorId="0" shapeId="0" xr:uid="{DFD2BDA2-39DF-402C-90CE-F157ADDB03E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191" authorId="0" shapeId="0" xr:uid="{1AFDC1A4-CCE9-4471-99D9-56F5C1189F3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1" authorId="0" shapeId="0" xr:uid="{F7832E1F-0E3D-40EC-AD2A-4B7A6BA1733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192" authorId="0" shapeId="0" xr:uid="{6342BBED-BA68-41E4-9963-0C39F898DC7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92EBA3DA-3522-4AD8-A870-DB184509B15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8" authorId="0" shapeId="0" xr:uid="{1779640E-77E1-433D-98D8-7DA2EF13ED5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209" authorId="0" shapeId="0" xr:uid="{B12423F7-2309-4883-B32A-C222AD9E064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9" authorId="0" shapeId="0" xr:uid="{FC06EE4F-85DC-4884-88E4-A78DE5F71CD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210" authorId="0" shapeId="0" xr:uid="{F7082528-35AD-4B04-8BC5-7E2F3C4FE6E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7F156A75-2752-440F-BD00-7EA61BFF838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0" authorId="0" shapeId="0" xr:uid="{D7695B08-C40A-4529-9A96-7471902094B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191" authorId="0" shapeId="0" xr:uid="{12C03676-A699-4A61-840B-7BCC99F64EA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1" authorId="0" shapeId="0" xr:uid="{B146DC00-CBA6-49C9-8E31-6CDF0C02F95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192" authorId="0" shapeId="0" xr:uid="{90DFE848-649B-4278-9671-9C0E20F4E9B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9730385B-9C65-48C6-924D-B1B892BCBE7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8" authorId="0" shapeId="0" xr:uid="{9ADFD440-C5A2-4245-9A37-B6BCB0F055C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209" authorId="0" shapeId="0" xr:uid="{60FA73C9-6820-434C-B0A0-39A174AA353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9" authorId="0" shapeId="0" xr:uid="{FD00D502-2FE5-439D-A179-9BE21701F607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210" authorId="0" shapeId="0" xr:uid="{552E9E26-7AAB-4D70-86E4-A7457A49BAE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3E2B6409-D67C-4B23-A463-04613E78DF7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0" authorId="0" shapeId="0" xr:uid="{4E0373C2-25B1-4377-984C-2E77B4AD428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191" authorId="0" shapeId="0" xr:uid="{7D02EFEF-0C70-4ED0-B407-8E943F707B2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191" authorId="0" shapeId="0" xr:uid="{E2D2B89A-B787-42A8-8C68-348E4BD949B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192" authorId="0" shapeId="0" xr:uid="{AD4318C4-EAB3-4547-B26D-A7C648E6941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0AA57263-D677-4644-BE64-D7434D00132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8" authorId="0" shapeId="0" xr:uid="{52E3CF23-C394-4C19-AF8C-2F60D121A05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R209" authorId="0" shapeId="0" xr:uid="{15BFB12D-F3FA-465B-83C0-F542F2EE42A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2015 Brookhaven/NYSERDA report BNL-108353-2015-IR.</t>
        </r>
      </text>
    </comment>
    <comment ref="S209" authorId="0" shapeId="0" xr:uid="{06D7B6E6-0830-46C0-941C-53858D334A3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from HVAC.com.</t>
        </r>
      </text>
    </comment>
    <comment ref="N210" authorId="0" shapeId="0" xr:uid="{A9244AC4-9D6C-4180-A8C0-41E0E99E089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DC9244BA-4F0F-483B-893A-200B98AE324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0" authorId="0" shapeId="0" xr:uid="{2942F6F1-73AB-42C4-9C67-47A5BE564DE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04CA458E-0F67-4A49-852A-29E144032B7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1" authorId="0" shapeId="0" xr:uid="{0930E0A1-88D1-45C5-A430-F1E11351673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D168F307-EF8B-40FF-96A7-650912EA96B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59BA9490-DAB3-40F0-98DB-B5AAED33776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D70FA6FD-77FB-4CC0-860F-FAD2D404A13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E53321D7-F3A8-4342-AF99-97242873DA8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B15A8F72-739A-436A-B1F8-EFD681D354C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E6736222-F71A-4853-B663-119D1F14B91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82C17F6A-4703-4913-8A5F-63B31ED332B2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0" authorId="0" shapeId="0" xr:uid="{4884159E-3DB2-4A37-9167-2EB0B67A750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53E9326A-072B-4C72-AF00-8A37C193B6B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1" authorId="0" shapeId="0" xr:uid="{860E9F91-A7B2-4251-817E-F566AFEAD00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5239E8CF-0160-47C8-9796-23CEA403A03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4293D0FD-1B98-4025-9344-17177A38CA9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reduced interval based on qualitative info from several Fairbanks oil appliance companies.</t>
        </r>
      </text>
    </comment>
    <comment ref="S208" authorId="0" shapeId="0" xr:uid="{33F08B9C-C12E-46AC-80F8-44ECF872F39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5079E923-F6E0-4284-A59F-269D4CCB98F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Estimated reduced interval based on qualitative info from several Fairbanks oil appliance companies.</t>
        </r>
      </text>
    </comment>
    <comment ref="S209" authorId="0" shapeId="0" xr:uid="{040441F0-61F3-4D13-8638-4DD686AB0D7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9B1048D9-5BED-46FD-B072-3C877DD088F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E0C6FE61-1559-49CC-912D-AFDE5AB95D9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0" authorId="0" shapeId="0" xr:uid="{880A3350-9210-4077-BB4D-49300101C88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5F45CF79-C66A-4598-89DD-3B365DCAEB5C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1" authorId="0" shapeId="0" xr:uid="{D83E8B85-5318-4E30-8579-EF15E393435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49ED5013-8033-43EB-95CC-15C7E5B67216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F0165DAC-A80F-4EFA-880A-7F70BDB6F5E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7D781BDE-980D-4B3F-BAF1-F2BABA145B83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284E8690-925C-4112-9CB0-F857624309CB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128463C6-409F-4A9B-8224-B5445EA29299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E5C80F1F-A17C-4208-A580-09029B47DF7A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Carlson</author>
  </authors>
  <commentList>
    <comment ref="R190" authorId="0" shapeId="0" xr:uid="{57484B70-5294-497A-8170-9F86319DE8A4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0" authorId="0" shapeId="0" xr:uid="{F211D9DC-0C4C-48F2-A7F5-87F2A578CB2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191" authorId="0" shapeId="0" xr:uid="{D3170971-36BB-461C-89E4-2AFB06EDFAE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S191" authorId="0" shapeId="0" xr:uid="{9AD35A3B-94B4-42A6-8BE0-656C8B5B6BE0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192" authorId="0" shapeId="0" xr:uid="{A45EA4D4-5C4A-487C-B308-412DF83323DE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  <comment ref="R208" authorId="0" shapeId="0" xr:uid="{28D8A721-6CC0-46D5-85DE-4F5829F9A7E5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8" authorId="0" shapeId="0" xr:uid="{4E667652-C053-4C3C-9144-2380C410DBDD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R209" authorId="0" shapeId="0" xr:uid="{91002D22-2BE5-492B-8F24-6FEEADF1BEDF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Local survey-based baseline interval times BNL fouling rate improvement factor.</t>
        </r>
      </text>
    </comment>
    <comment ref="S209" authorId="0" shapeId="0" xr:uid="{5A2211F5-8EF8-40B8-B687-2382A7B969A8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From October 2022 Fairbanks Oil Heating Appliance Cleaning survey.</t>
        </r>
      </text>
    </comment>
    <comment ref="N210" authorId="0" shapeId="0" xr:uid="{DEC924AF-C6FB-479B-907D-9E4EB6F50141}">
      <text>
        <r>
          <rPr>
            <b/>
            <sz val="9"/>
            <color indexed="81"/>
            <rFont val="Tahoma"/>
            <family val="2"/>
          </rPr>
          <t>Tom Carlson:</t>
        </r>
        <r>
          <rPr>
            <sz val="9"/>
            <color indexed="81"/>
            <rFont val="Tahoma"/>
            <family val="2"/>
          </rPr>
          <t xml:space="preserve">
Composite wood cost that accounts for the fact that 40% buy wood and 60% cut their own.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<sst xmlns="http://schemas.openxmlformats.org/spreadsheetml/2006/main" count="11192" uniqueCount="1638">
  <si>
    <t/>
  </si>
  <si>
    <t>Aspen</t>
  </si>
  <si>
    <t>Masonry Heater</t>
  </si>
  <si>
    <t>Electric</t>
  </si>
  <si>
    <t>Oil</t>
  </si>
  <si>
    <t>Zip Code</t>
  </si>
  <si>
    <t>Wood</t>
  </si>
  <si>
    <t>Program</t>
  </si>
  <si>
    <t>Notes</t>
  </si>
  <si>
    <t>Year</t>
  </si>
  <si>
    <t>34% Max</t>
  </si>
  <si>
    <t>ER</t>
  </si>
  <si>
    <t>EF</t>
  </si>
  <si>
    <t>(g/hr)</t>
  </si>
  <si>
    <t>(lb/mmBTU)</t>
  </si>
  <si>
    <t>Catalytic</t>
  </si>
  <si>
    <t>Non Catalytic</t>
  </si>
  <si>
    <t>Rate</t>
  </si>
  <si>
    <t>Range</t>
  </si>
  <si>
    <t>-</t>
  </si>
  <si>
    <t>All</t>
  </si>
  <si>
    <t>Type</t>
  </si>
  <si>
    <t>SubType</t>
  </si>
  <si>
    <t>Fuel Type</t>
  </si>
  <si>
    <t>Notes:</t>
  </si>
  <si>
    <t>Energy Content Assumptions</t>
  </si>
  <si>
    <t>Fuel</t>
  </si>
  <si>
    <t>EC</t>
  </si>
  <si>
    <t>Units</t>
  </si>
  <si>
    <t>Energy Loads for Space Heating from CCHRC</t>
  </si>
  <si>
    <t>AP-42 Wood</t>
  </si>
  <si>
    <t>mmBTU/ton</t>
  </si>
  <si>
    <t>AP-42 residential wood document, c01s10.pdf</t>
  </si>
  <si>
    <t>Residential:</t>
  </si>
  <si>
    <t>BTU/DD-ft2-yr</t>
  </si>
  <si>
    <t>Fairbanks Wood - Oven Dry, 0% Moisture</t>
  </si>
  <si>
    <t>see Moisture sheet</t>
  </si>
  <si>
    <t>Commercial:</t>
  </si>
  <si>
    <t>Monthly</t>
  </si>
  <si>
    <t>Fairbanks Wood - Air Dry, 20% MC (Dry Basis)</t>
  </si>
  <si>
    <t>Month</t>
  </si>
  <si>
    <t>Avg HDD</t>
  </si>
  <si>
    <t>HDD Ratio</t>
  </si>
  <si>
    <t>Fairbanks Wood - Episode Avg Baseline, 36.5% MC (Dry)</t>
  </si>
  <si>
    <t>Fairbanks HDD:</t>
  </si>
  <si>
    <t>HDD/yr (base 65F)</t>
  </si>
  <si>
    <t>Fairbanks Wood - Jan/Feb Baseline, 36.1% MC (Dry)</t>
  </si>
  <si>
    <t>Daily Winter HDD:</t>
  </si>
  <si>
    <t>Fairbanks Wood - Nov Baseline, 36.9% MC (Dry)</t>
  </si>
  <si>
    <t>Daily Summer HDD:</t>
  </si>
  <si>
    <t>Fuel Oil #1</t>
  </si>
  <si>
    <t>BTU/gal</t>
  </si>
  <si>
    <t>CCHRC</t>
  </si>
  <si>
    <t>Reference Average Daily HDD:</t>
  </si>
  <si>
    <t>Fuel Oil #2</t>
  </si>
  <si>
    <t>North American Combustion Handbook (as referenced in http://en.wikipedia.org/wiki/Heating_oil#cite_note-1)</t>
  </si>
  <si>
    <t>Fuel Oil #1/#2 Weighted (76% #2 24% #1)*</t>
  </si>
  <si>
    <t>Fairbanks Community Research Quarterly</t>
  </si>
  <si>
    <t>Reference Daily Energy Loads (BTU/ft2-day)</t>
  </si>
  <si>
    <t>57% Fuel Oil #2 / 43% Kerosene Weighted</t>
  </si>
  <si>
    <t>assumed for portable heaters</t>
  </si>
  <si>
    <t>Winter</t>
  </si>
  <si>
    <t>Summer</t>
  </si>
  <si>
    <t>Kerosene</t>
  </si>
  <si>
    <t>http://www.generatorjoe.net/html/energy.html</t>
  </si>
  <si>
    <t>Propane</t>
  </si>
  <si>
    <t>Natural Gas</t>
  </si>
  <si>
    <t>BTU/ft3</t>
  </si>
  <si>
    <t>http://www.fngas.com/calculate.html</t>
  </si>
  <si>
    <t>Coal</t>
  </si>
  <si>
    <t>Days/Season:</t>
  </si>
  <si>
    <t>BTU/KWH</t>
  </si>
  <si>
    <t>* The EC number is based on a blend of #1 and #2 used under Fairbanks cold temps per this source</t>
  </si>
  <si>
    <t>Number of FNSB Households:</t>
  </si>
  <si>
    <t>(updated from 2010 Census)</t>
  </si>
  <si>
    <t>Wood Density:</t>
  </si>
  <si>
    <t>tons/cord, from Cord_Wood_Weight.xlsx</t>
  </si>
  <si>
    <t>Number of PM Area Households:</t>
  </si>
  <si>
    <t>(estimated from Jan-2012 parcel centroid data)</t>
  </si>
  <si>
    <t>Cost Assumptions</t>
  </si>
  <si>
    <t>Source</t>
  </si>
  <si>
    <t>Commercial Building Heating Splits by Fuel Type</t>
  </si>
  <si>
    <t>cord</t>
  </si>
  <si>
    <t>Fuel Oil:</t>
  </si>
  <si>
    <t>gal</t>
  </si>
  <si>
    <t>Natural Gas:</t>
  </si>
  <si>
    <t>assumed same as fuel oil</t>
  </si>
  <si>
    <t>10^2 ft3</t>
  </si>
  <si>
    <t>KwH</t>
  </si>
  <si>
    <t>Emission Factors -- OMNI Results Where Available (green shaded), OMNI factors based on oven dry (OD) weight, assume AP-42 factors are as well</t>
  </si>
  <si>
    <t>Combustion</t>
  </si>
  <si>
    <t>PM2.5</t>
  </si>
  <si>
    <t>Emission Factors (lb/mmBTU), EPA Method 5H Except Where Noted</t>
  </si>
  <si>
    <t>Wood-Burning Type</t>
  </si>
  <si>
    <t>Device Name</t>
  </si>
  <si>
    <t>SCC</t>
  </si>
  <si>
    <t>Efficiency</t>
  </si>
  <si>
    <t>Efficiency Source</t>
  </si>
  <si>
    <t>mg/MJ</t>
  </si>
  <si>
    <t>VOC</t>
  </si>
  <si>
    <t>NOX</t>
  </si>
  <si>
    <t>SO2</t>
  </si>
  <si>
    <t>PM10-PRI</t>
  </si>
  <si>
    <t>PM25-PRI</t>
  </si>
  <si>
    <t>NH3</t>
  </si>
  <si>
    <t>CO</t>
  </si>
  <si>
    <t>Emission Factor Source</t>
  </si>
  <si>
    <t>Fireplace, No Insert</t>
  </si>
  <si>
    <t>FP</t>
  </si>
  <si>
    <t>AP-42, www.epa.gov/ttnchie1/ap42/ch01/related/woodstove.pdf, Table 2.2-1</t>
  </si>
  <si>
    <t>AP-42, Table 1.9-1; for SO2, OMNI fuel S for spruce gave EF identical to AP42</t>
  </si>
  <si>
    <t>Fireplace, With Insert - Non-EPA Certified</t>
  </si>
  <si>
    <t>Ins-Conv</t>
  </si>
  <si>
    <t>Assumed equal to uncertified woodstove EFs</t>
  </si>
  <si>
    <t>Fireplace, With Insert - EPA Certified Non-Catalytic</t>
  </si>
  <si>
    <t>Ins-NonCat</t>
  </si>
  <si>
    <t>AP-42, www.epa.gov/ttnchie1/ap42/ch01/related/woodstoveapp.pdf, Table 3 for PM Efs,</t>
  </si>
  <si>
    <t>Fireplace, With Insert - EPA Certified Catalytic</t>
  </si>
  <si>
    <t>Ins-Cat</t>
  </si>
  <si>
    <t>AP-42, www.epa.gov/ttnchie1/ap42/ch01/related/woodstoveapp.pdf, Table 3 for PM Efs</t>
  </si>
  <si>
    <t>Woodstove - Non-EPA Certified</t>
  </si>
  <si>
    <t>WS-Conv</t>
  </si>
  <si>
    <t>AP-42, www.epa.gov/ttnchie1/ap42/ch01/related/woodstove.pdf, Table 2.1-2</t>
  </si>
  <si>
    <t>AP-42, Table 1.10-1 for VOC&amp;SO2; all others use avg of OMNI runs 14 and 15, conventional wood stove, spruce and birch, low firing rate</t>
  </si>
  <si>
    <t>Woodstove - EPA Certified Non-Catalytic</t>
  </si>
  <si>
    <t>WS-NonCat</t>
  </si>
  <si>
    <t>AP-42, Table 1.10-1, assumed Phase II (1990 stds) for VOC&amp;SO2; all others use avg of OMNI runs 5&amp;6 for birch&amp;spruce EPA (noncat) woodstove at low firing rate</t>
  </si>
  <si>
    <t>Woodstove - EPA Certified Catalytic</t>
  </si>
  <si>
    <t>WS-Cat</t>
  </si>
  <si>
    <t>same as immediately above, except that the OMNI avgs for PM10 and PM2.5 are scaled by the same ratio of cat to noncat (16.2/14.6) as used by TRC</t>
  </si>
  <si>
    <t>Pellet Stove (Exempt)</t>
  </si>
  <si>
    <t>PS-Exempt</t>
  </si>
  <si>
    <t>AP-42, Table 1.10-5</t>
  </si>
  <si>
    <t>AP-42, Table 1.10-1for VOC; all others OMNI run #1, pellet stove, except SO2 which is based on dry pellet S content from OMNI</t>
  </si>
  <si>
    <t>Pellet Stove (EPA Certified)</t>
  </si>
  <si>
    <t>PS-EPACert</t>
  </si>
  <si>
    <t>AP-42, www.epa.gov/ttnchie1/ap42/ch01/related/woodstove.pdf, Table 2</t>
  </si>
  <si>
    <t>OWB (Hydronic Heater) - 80/20 Unqual/Phase 2 Wtd</t>
  </si>
  <si>
    <t>OWBWtd</t>
  </si>
  <si>
    <t>EPA/NY per wood_stoves.xls</t>
  </si>
  <si>
    <t>80% / 20% weighting of OWB and OWB-Ph2</t>
  </si>
  <si>
    <t>OWB (Hydronic Heater) - Unqualified</t>
  </si>
  <si>
    <t>OWB</t>
  </si>
  <si>
    <t>EPA/NY per wood_stoves.xls for VOC&amp;SO2; others from avg of OMNI runs 30&amp;32, OWHH, birch&amp;spruce, low firing rate (note - CO is a lower limit, instrument pegged), OMNI's dry S content for spruce gave EF identical to AP42</t>
  </si>
  <si>
    <t>OWB (Hydronic Heater) - Phase 1</t>
  </si>
  <si>
    <t>OWB-Ph1</t>
  </si>
  <si>
    <t>set rates for VOC to those for woodstoves; others from avg of OMNI runs 9 and 11, spruce&amp;birch, EPA qualified OWHH, low firing rate, but for PM and CO scaled by TRC's ratio for phase 1 and 2; SO2 based on OMNI's S content of dry spruce</t>
  </si>
  <si>
    <t>OWB (Hydronic Heater) - Phase 2</t>
  </si>
  <si>
    <t>OWB-Ph2</t>
  </si>
  <si>
    <t>Emission Factors (lb/mmBTU)</t>
  </si>
  <si>
    <t>Other Heating Types</t>
  </si>
  <si>
    <t>Central Oil (Weighted # 1 &amp; #2), Residential</t>
  </si>
  <si>
    <t>COil-Res</t>
  </si>
  <si>
    <t>EIA</t>
  </si>
  <si>
    <t>Fuel Oil #1&amp;2</t>
  </si>
  <si>
    <t>lb/1000 gal</t>
  </si>
  <si>
    <t>EPA, AP-42 Table 1.3-1 for VOC and (with OMNI fuel S content) for SO2; all others OMNI run#17, SWRI for fuel (lower) heating value, AP-42 for fuel oil density</t>
  </si>
  <si>
    <t>Central Oil (#1 distillate), Residential</t>
  </si>
  <si>
    <t>COil-Res1</t>
  </si>
  <si>
    <t>Central Oil (#2 distillate), Residential</t>
  </si>
  <si>
    <t>COil-Res2</t>
  </si>
  <si>
    <t>Central Oil (Weighted # 1 &amp; #2), Commercial</t>
  </si>
  <si>
    <t>COil-Com</t>
  </si>
  <si>
    <t>2103004001</t>
  </si>
  <si>
    <t>EPA, AP-42 Table 1.3-1 for Nox; for all others, assume same as above</t>
  </si>
  <si>
    <t>Portable: 43% Kerosene &amp; 57% Fuel Oil</t>
  </si>
  <si>
    <t>Prtbl</t>
  </si>
  <si>
    <t>Kero/FO</t>
  </si>
  <si>
    <t>Emission rates for portable heating devices using kerosene/fuel oil #2 blend assumed equal to central oil (on #2) in absence of actual data; except SO2, NH3 and CO, assumed same as above</t>
  </si>
  <si>
    <t>Direct Vent</t>
  </si>
  <si>
    <t>DVOil</t>
  </si>
  <si>
    <t>Emission rates for DV devices using Heating Oil #1 assumed equal to central oil (on #2) in absence of actual data; except SO2, NH3 and CO assumed same as above</t>
  </si>
  <si>
    <t>Natural Gas - Residential</t>
  </si>
  <si>
    <t>NtGas-Res</t>
  </si>
  <si>
    <t>lb/10^6 ft3</t>
  </si>
  <si>
    <t>EPA, AP-42 Tables 1.4-1 &amp; 1.4-2 for all but NH3, EPA/Pechan for NH3</t>
  </si>
  <si>
    <t>Natural Gas - Commercial, small uncontrolled</t>
  </si>
  <si>
    <t>NtGas-Com</t>
  </si>
  <si>
    <t>Coal Boiler (bituminous/subbituminous, hand-fed)</t>
  </si>
  <si>
    <t>CoalHt</t>
  </si>
  <si>
    <t>NY per wood_stoves.xls</t>
  </si>
  <si>
    <t>lb/ton</t>
  </si>
  <si>
    <t>EPA, AP-42:  Table 1.1-19 for VOC and (w. Usibelli S content) SO2; OMNI runs 21, 23, 37&amp;38 for all other, coal stove, wet&amp;dry stoker and lump coal, low firing rate</t>
  </si>
  <si>
    <t>Waste Oil Burning</t>
  </si>
  <si>
    <t>WasteOil</t>
  </si>
  <si>
    <t>2102012000</t>
  </si>
  <si>
    <t>EPA, AP-42 Table 1.11-1 for VOC; all others OMNI run#18, SWRI for heating value, AP-42 for No. 2 fuel oil density</t>
  </si>
  <si>
    <t>Muni Heat</t>
  </si>
  <si>
    <t>Comparison of Space Heating Fuel/Device Emission Rates on an Equivalent Net Energy Basis -- OMNI Rates Where Available</t>
  </si>
  <si>
    <t>Wood on Oven Dry Basis (0% MC)</t>
  </si>
  <si>
    <t>Net</t>
  </si>
  <si>
    <t>Emission Factors (lb/net mmBTU)</t>
  </si>
  <si>
    <t>Device</t>
  </si>
  <si>
    <t>Gas</t>
  </si>
  <si>
    <t>Wood on "Dry"Basis (20% MC)</t>
  </si>
  <si>
    <t>Comparison of Space Heating Fuel/Device Emission Rates on an Equivalent Net Energy Basis</t>
  </si>
  <si>
    <t>Baseline Wood Moisture Basis (36.5% MC)</t>
  </si>
  <si>
    <t>lb/mmBTU</t>
  </si>
  <si>
    <t>2013 Tag Survey Woodstove/Insert ER (g/hr) Distribution</t>
  </si>
  <si>
    <t>Standard</t>
  </si>
  <si>
    <t>Pct Over</t>
  </si>
  <si>
    <t>Avg Over</t>
  </si>
  <si>
    <t>Avg Under</t>
  </si>
  <si>
    <t>2.0 g/hr:</t>
  </si>
  <si>
    <t>2.5 g/hr:</t>
  </si>
  <si>
    <t>Wood Device Replacement Levels Under Different Assumptions</t>
  </si>
  <si>
    <t>Slope</t>
  </si>
  <si>
    <t>Assumption</t>
  </si>
  <si>
    <t>FNSB WSCO</t>
  </si>
  <si>
    <t>WS/Ins</t>
  </si>
  <si>
    <t>Current (CY2012) replacement level</t>
  </si>
  <si>
    <t>Replace to cutpoint</t>
  </si>
  <si>
    <t>Replace to avg. below cutpoint</t>
  </si>
  <si>
    <t>Unq --&gt; Phase 2</t>
  </si>
  <si>
    <t>FNSB ESFBA</t>
  </si>
  <si>
    <t>State</t>
  </si>
  <si>
    <t>HH Slope</t>
  </si>
  <si>
    <t>mmBTU</t>
  </si>
  <si>
    <t>North Pole</t>
  </si>
  <si>
    <t>Total</t>
  </si>
  <si>
    <t>Device Type</t>
  </si>
  <si>
    <t>Baseline</t>
  </si>
  <si>
    <t>TOTALS</t>
  </si>
  <si>
    <t>CCHRC, http://www.cchrc.org/sites/default/files/docs/masonry_heater.pdf</t>
  </si>
  <si>
    <t>Summary of Space Heating Emissions and Energy Use by Device Averaged Across Each Modeling Episode</t>
  </si>
  <si>
    <t>Grid 3 Domain</t>
  </si>
  <si>
    <t>PM Non-Attainment Area</t>
  </si>
  <si>
    <t>Space Heating Emissions (tons/day)</t>
  </si>
  <si>
    <t>Avg Daily</t>
  </si>
  <si>
    <t>Fuel Use</t>
  </si>
  <si>
    <t>Episode</t>
  </si>
  <si>
    <t>Category</t>
  </si>
  <si>
    <t>E1</t>
  </si>
  <si>
    <t>Coal-Com</t>
  </si>
  <si>
    <t>Wood-Com</t>
  </si>
  <si>
    <t>E2</t>
  </si>
  <si>
    <t>Wtd Avg</t>
  </si>
  <si>
    <t>tons</t>
  </si>
  <si>
    <t>1000 gal</t>
  </si>
  <si>
    <t>mcf</t>
  </si>
  <si>
    <t>Lookup Areas</t>
  </si>
  <si>
    <t>Area</t>
  </si>
  <si>
    <t>Downtown</t>
  </si>
  <si>
    <t>Wainwright</t>
  </si>
  <si>
    <t>Airport</t>
  </si>
  <si>
    <t>Steese</t>
  </si>
  <si>
    <t>University</t>
  </si>
  <si>
    <t>FNSB Community Research Quarterly-Based Heating Fuel Energy Content, Heater Efficiency and Historical Prices</t>
  </si>
  <si>
    <t>Heater</t>
  </si>
  <si>
    <t>$/100,000</t>
  </si>
  <si>
    <t>Useful</t>
  </si>
  <si>
    <t>Historical Heating Oil Prices</t>
  </si>
  <si>
    <t>#2</t>
  </si>
  <si>
    <t>Gross Heat</t>
  </si>
  <si>
    <t>Unit</t>
  </si>
  <si>
    <t>Fuel Prices (November/December of indicated year)</t>
  </si>
  <si>
    <t>BTUs of</t>
  </si>
  <si>
    <t>BTUs per</t>
  </si>
  <si>
    <t>#1 Fuel Oil</t>
  </si>
  <si>
    <t>#2 Fuel Oil</t>
  </si>
  <si>
    <t>#1</t>
  </si>
  <si>
    <t>Content (BTU)</t>
  </si>
  <si>
    <t>MultYrAvg</t>
  </si>
  <si>
    <t>Useful Heat</t>
  </si>
  <si>
    <t>Dollar</t>
  </si>
  <si>
    <t>Average</t>
  </si>
  <si>
    <t>WtdComp</t>
  </si>
  <si>
    <t>Electricity</t>
  </si>
  <si>
    <t>/kWh</t>
  </si>
  <si>
    <t>Actual</t>
  </si>
  <si>
    <t>(1.330-1.400)</t>
  </si>
  <si>
    <t>(1.270-1.360)</t>
  </si>
  <si>
    <t>District Hot Water Heat</t>
  </si>
  <si>
    <t>/mmBTU</t>
  </si>
  <si>
    <t>(1.300-1.380)</t>
  </si>
  <si>
    <t>(1.260-1.310)</t>
  </si>
  <si>
    <t>District Steam Heat</t>
  </si>
  <si>
    <t>/1,000 lb</t>
  </si>
  <si>
    <t>(1.175-1.310)</t>
  </si>
  <si>
    <t>(1.110-1.280)</t>
  </si>
  <si>
    <t>Fuel Oil (common #2/#1 blend)</t>
  </si>
  <si>
    <t>/gal</t>
  </si>
  <si>
    <t>(1.220-1.320)</t>
  </si>
  <si>
    <t>(1.200-1.260)</t>
  </si>
  <si>
    <t>/mcf</t>
  </si>
  <si>
    <t>(1.770-1.870)</t>
  </si>
  <si>
    <t>(1.770-1.840)</t>
  </si>
  <si>
    <t>(2.500-2.610)</t>
  </si>
  <si>
    <t>(2.480-2.560)</t>
  </si>
  <si>
    <t>Wood, Pellet</t>
  </si>
  <si>
    <t>/ton</t>
  </si>
  <si>
    <t>lb/cord (at Baseline MC)</t>
  </si>
  <si>
    <t>(2.390-2.580)</t>
  </si>
  <si>
    <t>(2.380-2.550)</t>
  </si>
  <si>
    <t>Wood, Birch Cordwood</t>
  </si>
  <si>
    <t>/cord</t>
  </si>
  <si>
    <t>(2.640-2.730)</t>
  </si>
  <si>
    <t>(2.540-2.640)</t>
  </si>
  <si>
    <t>Wood, Spruce Cordwood</t>
  </si>
  <si>
    <t>(3.610-3.790)</t>
  </si>
  <si>
    <t>(3.630-3.770)</t>
  </si>
  <si>
    <t>Wood, Aspen Cordwood</t>
  </si>
  <si>
    <t>(2.680-2.750)</t>
  </si>
  <si>
    <t>(2.690-2.740)</t>
  </si>
  <si>
    <t>Wood, Cordwood Wtd. Avg.</t>
  </si>
  <si>
    <t>(2.980-3.060)</t>
  </si>
  <si>
    <t>(2.960-3.060)</t>
  </si>
  <si>
    <t>Coal, Stoker</t>
  </si>
  <si>
    <t>(3.890-3.950)</t>
  </si>
  <si>
    <t>(3.820-3.880)</t>
  </si>
  <si>
    <t>(4.010-4.080)</t>
  </si>
  <si>
    <t>(3.940-4.010)</t>
  </si>
  <si>
    <t>(3.850-3.960)</t>
  </si>
  <si>
    <t>(3.780-3.860)</t>
  </si>
  <si>
    <t>Electricity (distributed) price includes rate, customer change, RCA charge,cost of fuel adjustment charge</t>
  </si>
  <si>
    <t>0.293 Wh</t>
  </si>
  <si>
    <t>per BTU</t>
  </si>
  <si>
    <t>(3.720-3.850)</t>
  </si>
  <si>
    <t>(3.670-3.850)</t>
  </si>
  <si>
    <t>Wood energy content based on data for Interior Alaska species from George Sampson, Institute of Northern Forestry</t>
  </si>
  <si>
    <t>(2.280-2.400)</t>
  </si>
  <si>
    <t>(2.190-2.600)</t>
  </si>
  <si>
    <t>Natural gas price based on liquefied gas, trucked to Fairbanks or delivered by pipeline, includes rate, customer charge, RCA</t>
  </si>
  <si>
    <t>(2.050-2.410)</t>
  </si>
  <si>
    <t>(2.110-2.360)</t>
  </si>
  <si>
    <t>Propane price assumes delivery by truck to homes</t>
  </si>
  <si>
    <t>(2.600-2.770)</t>
  </si>
  <si>
    <t>(2.555-2.670)</t>
  </si>
  <si>
    <t>High</t>
  </si>
  <si>
    <t>Low</t>
  </si>
  <si>
    <t>Coal price assumes delivery to a downtown location</t>
  </si>
  <si>
    <t>Forecasted</t>
  </si>
  <si>
    <t>Local Species Splits</t>
  </si>
  <si>
    <t>At Baseline Moisture Content (36.4% db):</t>
  </si>
  <si>
    <t>Volume</t>
  </si>
  <si>
    <t>Mass</t>
  </si>
  <si>
    <t>Cordwood Species-Composite HHV:</t>
  </si>
  <si>
    <t>BTU/ton</t>
  </si>
  <si>
    <t>BTU/lb</t>
  </si>
  <si>
    <t>Calculation of Wood Moisture and Other Wood Combustion Heating Loss Effects</t>
  </si>
  <si>
    <t>Equations:</t>
  </si>
  <si>
    <t>MCd (%, dry basis)  =  100 (wet weight - dry weight) / dry weight</t>
  </si>
  <si>
    <t>MCw (%, wet basis)  =  100 (wet weight - dry weight) / wet weight</t>
  </si>
  <si>
    <t>To convert MC wet basis to  MC dry basis:    MCd  =  100 x MCw / (100-MCw)</t>
  </si>
  <si>
    <t>To convert MC dry basis  to  MC wet basis:    MCw  =  100 x MCd / (100+MCd)</t>
  </si>
  <si>
    <t xml:space="preserve">Available Potential Heat =  </t>
  </si>
  <si>
    <t>HHV(OD) x (1 - MCw)</t>
  </si>
  <si>
    <t>where</t>
  </si>
  <si>
    <t>Assumptions:</t>
  </si>
  <si>
    <t xml:space="preserve">HHV(OD) = </t>
  </si>
  <si>
    <t>Higher Heating Value, Oven Dry (BTU/lb)</t>
  </si>
  <si>
    <t>Tw:</t>
  </si>
  <si>
    <t>°F</t>
  </si>
  <si>
    <t>Heat Losses</t>
  </si>
  <si>
    <t xml:space="preserve">APH = </t>
  </si>
  <si>
    <t>Available Potential Heat (BTU/lb)</t>
  </si>
  <si>
    <t>Ts:</t>
  </si>
  <si>
    <t xml:space="preserve">Fuel Moisture  =  </t>
  </si>
  <si>
    <t>MCw x [ 970 + (212-Tw) + (0.46 x (Ts-Tw)) ]</t>
  </si>
  <si>
    <t xml:space="preserve">MCw = </t>
  </si>
  <si>
    <t>Wood Moisture Content, wt basis (%)</t>
  </si>
  <si>
    <t>ExAir:</t>
  </si>
  <si>
    <t xml:space="preserve">Fuel Hydrogen  =  </t>
  </si>
  <si>
    <t>0.54 x (1-MCw) x [ 970 + (212-Tw) + (0.46 x (Ts-Tw)) ]</t>
  </si>
  <si>
    <t xml:space="preserve">Tw = </t>
  </si>
  <si>
    <r>
      <t>Temp of wood and air entering furnace (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F)</t>
    </r>
  </si>
  <si>
    <t>ConvLoss:</t>
  </si>
  <si>
    <t xml:space="preserve">Dry Gases &amp; ExAir  =  </t>
  </si>
  <si>
    <t>(Ts-Tw) x (1-MCw) x [ (1.44 x ExAir) + 1.56]</t>
  </si>
  <si>
    <t xml:space="preserve">Ts = </t>
  </si>
  <si>
    <t>Temp of stack gases beyond heat recovery (°F)</t>
  </si>
  <si>
    <t xml:space="preserve">Conventional  =  </t>
  </si>
  <si>
    <t>APH x ConvLoss</t>
  </si>
  <si>
    <t xml:space="preserve">ExAir = </t>
  </si>
  <si>
    <t>Excess air (% volume)</t>
  </si>
  <si>
    <t>Complete combustion</t>
  </si>
  <si>
    <t xml:space="preserve">ConvLoss = </t>
  </si>
  <si>
    <t>Conventional heat loss factor (%)</t>
  </si>
  <si>
    <t xml:space="preserve">Recoverable Heat Energy =  </t>
  </si>
  <si>
    <t>APH - [Total Heat Losses]</t>
  </si>
  <si>
    <t>Available</t>
  </si>
  <si>
    <t>Potential</t>
  </si>
  <si>
    <t>Stack Gas Heat Losses (BTU/lb)</t>
  </si>
  <si>
    <t>Wt Relative</t>
  </si>
  <si>
    <t>Heat</t>
  </si>
  <si>
    <t>%BTU Red</t>
  </si>
  <si>
    <t>%BTU Incr to</t>
  </si>
  <si>
    <t>Dry Gases &amp;</t>
  </si>
  <si>
    <t>Recoverable Heat Energy</t>
  </si>
  <si>
    <t>MC Dry (%)</t>
  </si>
  <si>
    <t>to OD Wt</t>
  </si>
  <si>
    <t>MC Wet (%)</t>
  </si>
  <si>
    <t>(BTU/lb)</t>
  </si>
  <si>
    <t>vs. OD</t>
  </si>
  <si>
    <t>Match OD</t>
  </si>
  <si>
    <t>Moisture</t>
  </si>
  <si>
    <t>Hydrogen</t>
  </si>
  <si>
    <t>Excess Air</t>
  </si>
  <si>
    <t>Conventional</t>
  </si>
  <si>
    <t>(mmBTU/ton)</t>
  </si>
  <si>
    <t>Oven Dry (OD) ---&gt;</t>
  </si>
  <si>
    <t>Episode Wtd Avg ---&gt;</t>
  </si>
  <si>
    <t>Jan/Feb ---&gt;</t>
  </si>
  <si>
    <t>Nov ---&gt;</t>
  </si>
  <si>
    <t>Avg from 2011 CCHRC Inst Survey ---&gt;</t>
  </si>
  <si>
    <t>Dennis Used ---&gt;</t>
  </si>
  <si>
    <t>Adjustment to DMC BTUs ---&gt;</t>
  </si>
  <si>
    <t>Figure 1 above and equations from "How to Estimate Recoverable Heat Energy in Wood or Bark Fuels", US Dept of Agric., General Tech Report FPL 29, 1979</t>
  </si>
  <si>
    <t>&lt;--- From 2013 Tag Survey, on volumetric basis</t>
  </si>
  <si>
    <t>&lt;--- Calculated from 2013 Tag splits on mass basis using "Purchasing Firewood in Alaska" specie densities</t>
  </si>
  <si>
    <t>Calculation of Baseline Fairbanks Wood-Burning Device Moisture Content</t>
  </si>
  <si>
    <t>&lt;--- Compiled from FNSB timber sales provided by Alaska Deparment of Natural Resource, Division of Forestry</t>
  </si>
  <si>
    <t>Birch</t>
  </si>
  <si>
    <t>Spruce</t>
  </si>
  <si>
    <t>Composite</t>
  </si>
  <si>
    <t>Split Log %</t>
  </si>
  <si>
    <t>Whole Log %</t>
  </si>
  <si>
    <t>Usage:</t>
  </si>
  <si>
    <t>WB HH</t>
  </si>
  <si>
    <t>Moisture %</t>
  </si>
  <si>
    <t>&lt;--- Usage %</t>
  </si>
  <si>
    <t>HHV (BTU/lb OD):</t>
  </si>
  <si>
    <t>BTU/lb OD</t>
  </si>
  <si>
    <t>mmBTU/ton OD</t>
  </si>
  <si>
    <t>Wood-Burning Group</t>
  </si>
  <si>
    <t>Fraction</t>
  </si>
  <si>
    <t>Birch-split</t>
  </si>
  <si>
    <t>Birch-whole</t>
  </si>
  <si>
    <t>Spruce-split</t>
  </si>
  <si>
    <t>Spruce-whole</t>
  </si>
  <si>
    <t>Aspen-split</t>
  </si>
  <si>
    <t>Aspen-whole</t>
  </si>
  <si>
    <t>Buy Wood - Jan/Feb Burn</t>
  </si>
  <si>
    <t>Harvest Splits</t>
  </si>
  <si>
    <t>Buy Wood - Nov Burn</t>
  </si>
  <si>
    <t>Spring</t>
  </si>
  <si>
    <t>Fall</t>
  </si>
  <si>
    <t>Cut Own</t>
  </si>
  <si>
    <t>&lt;--- Average of 2011 CCHRC Wood Moisture Measurements from Instrumented Device Study</t>
  </si>
  <si>
    <t>Both (Buy &amp; Cut)</t>
  </si>
  <si>
    <t>All Wood-Burning Households - Jan/Feb</t>
  </si>
  <si>
    <t>All Wood-Burning Households - Nov</t>
  </si>
  <si>
    <t>Day-Weighted Average of E1 &amp; E2:</t>
  </si>
  <si>
    <t>BTU Factor Relative to Dry (20%) Wood:</t>
  </si>
  <si>
    <t>HH Survey</t>
  </si>
  <si>
    <t>Tag Survey</t>
  </si>
  <si>
    <t>Purch Survey</t>
  </si>
  <si>
    <t>Fractions</t>
  </si>
  <si>
    <t>Buy Wood</t>
  </si>
  <si>
    <t>Renormalized Buy/Cut</t>
  </si>
  <si>
    <t>Resulting Moisture Levels:</t>
  </si>
  <si>
    <t>Day-Wtd E1 &amp; E2 Avg</t>
  </si>
  <si>
    <t>BTU Factor Relative to Dry (20% MC):</t>
  </si>
  <si>
    <t xml:space="preserve">Measure:  </t>
  </si>
  <si>
    <t>Fairbanks Space Heating Oil Characteristics - Baseline</t>
  </si>
  <si>
    <t>Methodology Summary:</t>
  </si>
  <si>
    <t>- Local heating oil used for space heating reflects a blend of #1 and #2 distillate.</t>
  </si>
  <si>
    <r>
      <t xml:space="preserve">- </t>
    </r>
    <r>
      <rPr>
        <i/>
        <u/>
        <sz val="11"/>
        <color theme="1"/>
        <rFont val="Calibri"/>
        <family val="2"/>
        <scheme val="minor"/>
      </rPr>
      <t>Residential</t>
    </r>
    <r>
      <rPr>
        <i/>
        <sz val="11"/>
        <color theme="1"/>
        <rFont val="Calibri"/>
        <family val="2"/>
        <scheme val="minor"/>
      </rPr>
      <t xml:space="preserve"> #1 and #2 split based on responses from 2011-2015 Fairbanks Home Heating (HH) Survey.</t>
    </r>
  </si>
  <si>
    <r>
      <t xml:space="preserve">- </t>
    </r>
    <r>
      <rPr>
        <i/>
        <u/>
        <sz val="11"/>
        <color theme="1"/>
        <rFont val="Calibri"/>
        <family val="2"/>
        <scheme val="minor"/>
      </rPr>
      <t>Commercial</t>
    </r>
    <r>
      <rPr>
        <i/>
        <sz val="11"/>
        <color theme="1"/>
        <rFont val="Calibri"/>
        <family val="2"/>
        <scheme val="minor"/>
      </rPr>
      <t xml:space="preserve"> use assumed to be #1 distillate.</t>
    </r>
  </si>
  <si>
    <t>- Local #1 and #2 fuel sulfur content based on 2012 samples measured by SwRI.</t>
  </si>
  <si>
    <t>- Winter heating fuel use fraction (relative to annual) calculated from 2011-2015 HH Survey.</t>
  </si>
  <si>
    <t>Distillate Blend (%)</t>
  </si>
  <si>
    <t>Sulfur</t>
  </si>
  <si>
    <t>Sector</t>
  </si>
  <si>
    <t>(ppm)</t>
  </si>
  <si>
    <t>Residential</t>
  </si>
  <si>
    <t>Commercial</t>
  </si>
  <si>
    <t>Fuel Sulfur (ppm)</t>
  </si>
  <si>
    <t>Fuel/Sector</t>
  </si>
  <si>
    <t>Baseline Resid. Oil Blend</t>
  </si>
  <si>
    <t>Baseline Comm. Oil Blend</t>
  </si>
  <si>
    <t>All Wood Devices</t>
  </si>
  <si>
    <t>Tested Heating Oil Device PM2.5 Emission Factors (lb/mmBTU) vs. Fuel Sulfur (ppm)</t>
  </si>
  <si>
    <t>x S      +</t>
  </si>
  <si>
    <t>Predicted</t>
  </si>
  <si>
    <t>Without Implementation of this Measure</t>
  </si>
  <si>
    <t>- Set baseline nonattainment area heating energy use using average winter modeling episode day.</t>
  </si>
  <si>
    <t>- Scaled average winter day to annual day heating energy use based on 2011-2015 HH Survey data.</t>
  </si>
  <si>
    <t>- Calculate baseline annual emissions by affected fuel/sector using lb/mmBTU emission factors.</t>
  </si>
  <si>
    <t xml:space="preserve">  (Wood heating devices included to later account for price-based demand shift.)</t>
  </si>
  <si>
    <t>Affected Fuel/Sector (mmBTU/day)</t>
  </si>
  <si>
    <t>Annual</t>
  </si>
  <si>
    <t>Use (%)</t>
  </si>
  <si>
    <t>(12 mths)</t>
  </si>
  <si>
    <t>Residential Heating Oil</t>
  </si>
  <si>
    <t>Commercial Heating Oil</t>
  </si>
  <si>
    <t>All Wood Heating Devices</t>
  </si>
  <si>
    <t>Space Heating Emission Factors (lb/mmBTU)</t>
  </si>
  <si>
    <t>Residential Oil, Baseline</t>
  </si>
  <si>
    <t>Commercial Oil, Baseline</t>
  </si>
  <si>
    <t>With Implementation of this Measure</t>
  </si>
  <si>
    <t>Devices</t>
  </si>
  <si>
    <t>Factor</t>
  </si>
  <si>
    <t>Fireplace</t>
  </si>
  <si>
    <t>Parameter</t>
  </si>
  <si>
    <t>Energy Content (BTU/gal)</t>
  </si>
  <si>
    <t>PM2.5 (lb/1000 gal)</t>
  </si>
  <si>
    <t>PM2.5 (lb/mmBTU)</t>
  </si>
  <si>
    <t>Std Dev PM2.5 (mg/kg)</t>
  </si>
  <si>
    <t>PM2.5 (mg/kg)</t>
  </si>
  <si>
    <t>PM2.5 (mg/MJ)</t>
  </si>
  <si>
    <t>Table 40, N=3</t>
  </si>
  <si>
    <t>Cast Iron Boiler, Combustion Gas Recirculation (blue flame) Burner, Steady-State Operation</t>
  </si>
  <si>
    <t>Table 37, N=2</t>
  </si>
  <si>
    <t>Table 35, N=2</t>
  </si>
  <si>
    <t>Table 33, N=3</t>
  </si>
  <si>
    <t>Condensing Warm Air Furnace, Flame Retention Head Burner, Steady-State Operation (95% AFUE)</t>
  </si>
  <si>
    <t>Tested Heating Oil Device PM2.5 Emission Factors (lb/100 gal) vs. Fuel Sulfur (ppm)</t>
  </si>
  <si>
    <t>Table 27, N=3</t>
  </si>
  <si>
    <t>Table 26, N=3</t>
  </si>
  <si>
    <t>PM2.5 =</t>
  </si>
  <si>
    <t>Condensing Steel Boiler, Flame Retention Head Burner, Steady-State Operation</t>
  </si>
  <si>
    <t>Linear Eqn - PM2.5 (lb/mmBTU) vs. S (ppm):</t>
  </si>
  <si>
    <t>No Intercept</t>
  </si>
  <si>
    <t>With Intercept</t>
  </si>
  <si>
    <t>Table 15, N=2</t>
  </si>
  <si>
    <t>Table 13, N=3</t>
  </si>
  <si>
    <t>Table 11, N=3</t>
  </si>
  <si>
    <t>Warm Air Furnace, Flame Retention Head Burner, Steady-State Operation</t>
  </si>
  <si>
    <t>Table 2, N=3</t>
  </si>
  <si>
    <t>Table 10, N=3</t>
  </si>
  <si>
    <t>Cast Iron Boiler, Flame Retention Head Burner, Cyclic Operation</t>
  </si>
  <si>
    <t>Table 6, N=2</t>
  </si>
  <si>
    <t>Table 4, N=2</t>
  </si>
  <si>
    <t>Table 1, N=4</t>
  </si>
  <si>
    <t>Table 8, N=3</t>
  </si>
  <si>
    <t>Cast Iron Boiler, Flame Retention Head Burner, Steady-State Operation</t>
  </si>
  <si>
    <t>No. 2</t>
  </si>
  <si>
    <t>Device &amp; Data</t>
  </si>
  <si>
    <t>Tested Heating Oil Energy Content (BTU/gal) vs. Fuel Sulfur (ppm)</t>
  </si>
  <si>
    <t>ULS</t>
  </si>
  <si>
    <t>LS</t>
  </si>
  <si>
    <t>ASTM</t>
  </si>
  <si>
    <t>Average PM2.5 Emission Factors for Different Oil Devices and Sulfur Contents (extracted from report tables):</t>
  </si>
  <si>
    <t>Cast Iron Boiler, CGR Burner, Steady-State</t>
  </si>
  <si>
    <t>Condensing Warm Air Furnace, Steady-State</t>
  </si>
  <si>
    <t>Condensing Boiler</t>
  </si>
  <si>
    <t>Boiler</t>
  </si>
  <si>
    <t>Condensing Steel Boiler, Steady-State</t>
  </si>
  <si>
    <t>Furnace</t>
  </si>
  <si>
    <t>mg/kg</t>
  </si>
  <si>
    <t>Natural Gas-Fired Appliances</t>
  </si>
  <si>
    <t>Warm Air Furnace, Steady-State</t>
  </si>
  <si>
    <t>PM2.5 EFs</t>
  </si>
  <si>
    <t>S</t>
  </si>
  <si>
    <t>Condensing Furnace</t>
  </si>
  <si>
    <t>Cast Iron Boiler, Cyclic</t>
  </si>
  <si>
    <t>Conventional Furnace</t>
  </si>
  <si>
    <t>Cast Iron Boiler, Steady-State</t>
  </si>
  <si>
    <t>Conventional Boiler</t>
  </si>
  <si>
    <t>Conventional &amp; Condensing Oil-Fired Appliances</t>
  </si>
  <si>
    <t>Cast Iron Boiler, Flame Retention Head Burner</t>
  </si>
  <si>
    <t>R2</t>
  </si>
  <si>
    <t>Oil Device</t>
  </si>
  <si>
    <t>(BTU/gal)</t>
  </si>
  <si>
    <t xml:space="preserve"> (lb/1000 gal)</t>
  </si>
  <si>
    <t xml:space="preserve"> (lb/mmBTU)</t>
  </si>
  <si>
    <t>(mg/kg)</t>
  </si>
  <si>
    <t>(mg/MJ)</t>
  </si>
  <si>
    <t>Size</t>
  </si>
  <si>
    <t>Device/Operation</t>
  </si>
  <si>
    <t>PM (mg/kg) vs. S (ppm)</t>
  </si>
  <si>
    <t>Content</t>
  </si>
  <si>
    <t>Std Dev</t>
  </si>
  <si>
    <t>Sample</t>
  </si>
  <si>
    <t>Executive Summary Figures &amp; Tables:</t>
  </si>
  <si>
    <t>Energy</t>
  </si>
  <si>
    <t>From 2009 Brookhaven National Laboratory Report (BNL-91286-2009-IR)</t>
  </si>
  <si>
    <t>ULS:</t>
  </si>
  <si>
    <t>Total: All Combustor Types</t>
  </si>
  <si>
    <t>LEVEL4:</t>
  </si>
  <si>
    <t>No. 2:</t>
  </si>
  <si>
    <t>Distillate Oil</t>
  </si>
  <si>
    <t>LEVEL3:</t>
  </si>
  <si>
    <t>LEVEL2:</t>
  </si>
  <si>
    <t>Energy Content (BTU/gal):</t>
  </si>
  <si>
    <t>142 x S</t>
  </si>
  <si>
    <t>Stationary Source Fuel Combustion</t>
  </si>
  <si>
    <t>LEVEL1:</t>
  </si>
  <si>
    <t>Sulfur Content (ppm):</t>
  </si>
  <si>
    <t>PM-FIL</t>
  </si>
  <si>
    <t>SCC:</t>
  </si>
  <si>
    <t>Comm</t>
  </si>
  <si>
    <t>Resid</t>
  </si>
  <si>
    <t>Emission Factors (lb/1000 gal, except SO2 in lb/ton)</t>
  </si>
  <si>
    <t>Baseline Fairbanks Heating Oil Properties</t>
  </si>
  <si>
    <t>From EPA (WebFIRE, AP-42)</t>
  </si>
  <si>
    <t>EMISSION FACTORS FOR HEATING OIL (including ULS oil)</t>
  </si>
  <si>
    <t>Phase II Wood Heaters (Cert cordwood insert or stove):</t>
  </si>
  <si>
    <t>Residential Oil Devices (central, DV, portable):</t>
  </si>
  <si>
    <t>Other Residential Fuels:</t>
  </si>
  <si>
    <t>Commercial Oil:</t>
  </si>
  <si>
    <t>All Wood Devices:</t>
  </si>
  <si>
    <t>All Other Devices/Fuels:</t>
  </si>
  <si>
    <t>CheckSum:</t>
  </si>
  <si>
    <t>PM Non-Attainment Area Emission Factors (lb/mmBTU), Baseline MC</t>
  </si>
  <si>
    <t>Heating Efficiency Factors</t>
  </si>
  <si>
    <t>2011-2015</t>
  </si>
  <si>
    <t>Needed Aggregations for Measure Benefit Calcs</t>
  </si>
  <si>
    <t>Calendar Year</t>
  </si>
  <si>
    <t>Starting Calendar Year:</t>
  </si>
  <si>
    <r>
      <t>- PM</t>
    </r>
    <r>
      <rPr>
        <i/>
        <vertAlign val="subscript"/>
        <sz val="11"/>
        <color theme="1"/>
        <rFont val="Calibri"/>
        <family val="2"/>
        <scheme val="minor"/>
      </rPr>
      <t>2.5</t>
    </r>
    <r>
      <rPr>
        <i/>
        <sz val="11"/>
        <color theme="1"/>
        <rFont val="Calibri"/>
        <family val="2"/>
        <scheme val="minor"/>
      </rPr>
      <t xml:space="preserve"> (and PM</t>
    </r>
    <r>
      <rPr>
        <i/>
        <vertAlign val="subscript"/>
        <sz val="11"/>
        <color theme="1"/>
        <rFont val="Calibri"/>
        <family val="2"/>
        <scheme val="minor"/>
      </rPr>
      <t>10</t>
    </r>
    <r>
      <rPr>
        <i/>
        <sz val="11"/>
        <color theme="1"/>
        <rFont val="Calibri"/>
        <family val="2"/>
        <scheme val="minor"/>
      </rPr>
      <t>) factors based on relative differences in emission factors from 2009 Brookhaven Lab study</t>
    </r>
  </si>
  <si>
    <t>Episodic</t>
  </si>
  <si>
    <t>Emission Benefits by Calendar Year</t>
  </si>
  <si>
    <t>Implmnt.</t>
  </si>
  <si>
    <t>Oil/Uncert Ins:</t>
  </si>
  <si>
    <t>Oil/Uncert WS:</t>
  </si>
  <si>
    <t>Oil/Unq OHH:</t>
  </si>
  <si>
    <t>Oil/Fireplace:</t>
  </si>
  <si>
    <t>Oil/Uncert SFBA</t>
  </si>
  <si>
    <t>Oil/Coal:</t>
  </si>
  <si>
    <t>Sold Wood MC:</t>
  </si>
  <si>
    <t>Sold Wood BTU Factor Relative to Dry (20%) Wood:</t>
  </si>
  <si>
    <t>Commercially Sold ---&gt;</t>
  </si>
  <si>
    <t>Fully dry, Measure 31 ---&gt;</t>
  </si>
  <si>
    <t>Fully dry, Stakeholder Measure 13 ---&gt;</t>
  </si>
  <si>
    <t>mmBTU/episode day</t>
  </si>
  <si>
    <t>BTU/HH/episode day</t>
  </si>
  <si>
    <t>Relative Benefit of Condensing vs. Conventional Warm Air Furnace:</t>
  </si>
  <si>
    <t>Heating</t>
  </si>
  <si>
    <t>Relative Benefit of Condensing vs. Conventional Warm Air Furnace (with Efficiency Improvement):</t>
  </si>
  <si>
    <t>Eff Inc:</t>
  </si>
  <si>
    <t>One-time measure, so no accumulation of benefits over time</t>
  </si>
  <si>
    <t>Placeholder</t>
  </si>
  <si>
    <t>Wood stove</t>
  </si>
  <si>
    <t>Outdoor hydronic heater</t>
  </si>
  <si>
    <t>Pellet stove</t>
  </si>
  <si>
    <t>Cost Analysis:</t>
  </si>
  <si>
    <t>Cost</t>
  </si>
  <si>
    <t>Fireplace insert, cordwood uncertified</t>
  </si>
  <si>
    <t>Fireplace insert, cordwood certified</t>
  </si>
  <si>
    <t>Fireplace insert, pellet exempt</t>
  </si>
  <si>
    <t>Fireplace insert, pellet certified</t>
  </si>
  <si>
    <t>Non-heating Device Costs</t>
  </si>
  <si>
    <t>Moisture meter</t>
  </si>
  <si>
    <t>Wet firewood testing labor</t>
  </si>
  <si>
    <t>/hr Placeholder</t>
  </si>
  <si>
    <t>PM2.5 Emission Reduction =</t>
  </si>
  <si>
    <t>/ton PM2.5</t>
  </si>
  <si>
    <t>Oil heater</t>
  </si>
  <si>
    <t>Common Parametric Data</t>
  </si>
  <si>
    <t>Installation Cost</t>
  </si>
  <si>
    <t>Annual Operation &amp; Maintenance Cost</t>
  </si>
  <si>
    <t>Useful Life</t>
  </si>
  <si>
    <t>Moisture Meter</t>
  </si>
  <si>
    <t>yrs Placeholder</t>
  </si>
  <si>
    <t>Wood, Cordwood Wtd. Avg., 20% MC</t>
  </si>
  <si>
    <t>Wood, Cordwood Wtd. Avg., 64.3% MC</t>
  </si>
  <si>
    <t>Labor</t>
  </si>
  <si>
    <t>Fuel Prices</t>
  </si>
  <si>
    <t>(November/December)</t>
  </si>
  <si>
    <t>Wood, Cordwood Wtd. Avg., 36.5% MC</t>
  </si>
  <si>
    <t>MC</t>
  </si>
  <si>
    <t>Fireplace capping cost</t>
  </si>
  <si>
    <t>R. Dulla email 9/12/18</t>
  </si>
  <si>
    <t>Pellet stove and boiler removal</t>
  </si>
  <si>
    <t>OHH and boiler removal and disposal</t>
  </si>
  <si>
    <t>Coal stove removal</t>
  </si>
  <si>
    <t>years</t>
  </si>
  <si>
    <t>/yr</t>
  </si>
  <si>
    <t>Cost With Implementation =</t>
  </si>
  <si>
    <t>Cost Without Implementation =</t>
  </si>
  <si>
    <t>Cost Increase =</t>
  </si>
  <si>
    <t>Implementation Cost-Effectiveness =</t>
  </si>
  <si>
    <t>Borough Support Staff</t>
  </si>
  <si>
    <t>/hr salary and benefits</t>
  </si>
  <si>
    <t>Number of Winter Days =</t>
  </si>
  <si>
    <t>winter days/yr</t>
  </si>
  <si>
    <t>Energy Content</t>
  </si>
  <si>
    <t>/year</t>
  </si>
  <si>
    <t>Total Fuel Costs</t>
  </si>
  <si>
    <t>Annual Remodel Rate</t>
  </si>
  <si>
    <t>Fraction of 2019 New Residences on Parcels &gt; 0.5 acres =</t>
  </si>
  <si>
    <t>Fraction of 2019 New Residences on Parcels &lt; 0.5 acres =</t>
  </si>
  <si>
    <t>Fraction of 2019 Residences that are Rentals =</t>
  </si>
  <si>
    <t>Enforecement Staff FTE Cost =</t>
  </si>
  <si>
    <t>(R. Dulla telecon, 10/29/2018)</t>
  </si>
  <si>
    <t>Number of Part-Time Inspectors Needed =</t>
  </si>
  <si>
    <t>Enforcement Staff Employment Schedule =</t>
  </si>
  <si>
    <t>months/yr (R. Dulla telecon, 10/29/2018)</t>
  </si>
  <si>
    <t>Inspection Vehicle Useful Life =</t>
  </si>
  <si>
    <t>yr (estimated)</t>
  </si>
  <si>
    <t>per vehicle (estimated)</t>
  </si>
  <si>
    <t>Inspection Vehicle Capital Cost  Minus Salvage Earnings =</t>
  </si>
  <si>
    <t>Inspection Vehicle Annual Capital Cost =</t>
  </si>
  <si>
    <t>Inspection Vehicle Annual Capital Recovery Factor =</t>
  </si>
  <si>
    <t>Inspection Vehicle Annual O&amp;M Cost =</t>
  </si>
  <si>
    <t>Inspection Vehicle Total Annual Cost =</t>
  </si>
  <si>
    <t>Inspection Vehicle Total Winter Season Cost =</t>
  </si>
  <si>
    <t>/winter season</t>
  </si>
  <si>
    <t>Number of Inspection Vehicles =</t>
  </si>
  <si>
    <t>Total Inspection Vehicle Cost =</t>
  </si>
  <si>
    <t>Fuel Oil (#2/#1 blend)</t>
  </si>
  <si>
    <t>Measure 47 - Inspection Warrants</t>
  </si>
  <si>
    <t>Waste Oil</t>
  </si>
  <si>
    <t>Pot Burner</t>
  </si>
  <si>
    <t>BTU/gal (JACPA, Vol. 33, No. 7, July 1983)</t>
  </si>
  <si>
    <t>R. Dulla email, 11/21/18</t>
  </si>
  <si>
    <t>R. Dulla email 11/14/18</t>
  </si>
  <si>
    <t>Measure Name</t>
  </si>
  <si>
    <t>Cost Effectiveness ($/ton)</t>
  </si>
  <si>
    <t>Calculation of Ultra Low Sulfur Heating Oil Emission Factors</t>
  </si>
  <si>
    <t xml:space="preserve">  (see figure below).</t>
  </si>
  <si>
    <t>- NOx factors estimated as 25% reduction from average of NOx factors for baseline residential and</t>
  </si>
  <si>
    <t xml:space="preserve">  commercial heating oil based on 2002 V. Turk "Factors Affecting Oil Burner NOx Emissions" paper.</t>
  </si>
  <si>
    <t>- Factors for all other pollutants assumed equal to those for baseline residential heating oil.</t>
  </si>
  <si>
    <t>Linear Eqn:  PM2.5 (lb/mmBTU) vs. S (ppm)</t>
  </si>
  <si>
    <t>PM2.5    =</t>
  </si>
  <si>
    <t>Heating Oil Grade</t>
  </si>
  <si>
    <t>Baseline Residential Oil</t>
  </si>
  <si>
    <t>ULS Heating Oil</t>
  </si>
  <si>
    <t>- Adjust for decreased oil use from ULS due to eliminated boiler fouling/deposits.</t>
  </si>
  <si>
    <t>- Account for reduced oil demand from increased ULS price (using demand elasticity).</t>
  </si>
  <si>
    <t>- Assume energy from price-reduced oil demand replaced with "same-BTU" wood energy.</t>
  </si>
  <si>
    <t>- Translate "same-BTU" energy to equivalent wood BTUs, accounting for wood/oil efficiency difference.</t>
  </si>
  <si>
    <t>Heating Efficiency Improvement Using ULS Oil</t>
  </si>
  <si>
    <t>Baseline Oil Device Efficiency:</t>
  </si>
  <si>
    <t>Fuel Use Increase from Fouling:</t>
  </si>
  <si>
    <t>Fouling Eliminated Fuel Use Decrease:</t>
  </si>
  <si>
    <t>Heating Oil Price Elasticity Impacts on Wood Demand</t>
  </si>
  <si>
    <t>Estimated Oil Demand Price Elasticity:</t>
  </si>
  <si>
    <t>Decrease in Oil Use:</t>
  </si>
  <si>
    <t>Wood-Oil Cross-Price Elasticity:</t>
  </si>
  <si>
    <t>Increase in Wood Use:</t>
  </si>
  <si>
    <t>Relative Heating Efficiency Between Oil and All Wood Devices</t>
  </si>
  <si>
    <t>(Wood efficiency is usage weighted composite)</t>
  </si>
  <si>
    <t>Efficiency (%)</t>
  </si>
  <si>
    <t>Relative</t>
  </si>
  <si>
    <t>Wood/Oil</t>
  </si>
  <si>
    <t>ULS-</t>
  </si>
  <si>
    <t>After</t>
  </si>
  <si>
    <t>Price</t>
  </si>
  <si>
    <t>Reduced</t>
  </si>
  <si>
    <t>Demand</t>
  </si>
  <si>
    <t>Fouling</t>
  </si>
  <si>
    <t>Impact</t>
  </si>
  <si>
    <t>Adj.</t>
  </si>
  <si>
    <t>After ULS</t>
  </si>
  <si>
    <t>Residential Oil, ULS</t>
  </si>
  <si>
    <t>Commercial Oil, ULS</t>
  </si>
  <si>
    <r>
      <t>- SO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emission factors scaled from baseline heating oil emission factors based on sulfur content.</t>
    </r>
  </si>
  <si>
    <r>
      <rPr>
        <i/>
        <u/>
        <sz val="11"/>
        <color theme="1"/>
        <rFont val="Calibri"/>
        <family val="2"/>
        <scheme val="minor"/>
      </rPr>
      <t>Source</t>
    </r>
    <r>
      <rPr>
        <i/>
        <sz val="11"/>
        <color theme="1"/>
        <rFont val="Calibri"/>
        <family val="2"/>
        <scheme val="minor"/>
      </rPr>
      <t>:  2009 Brookhaven National Laboratory Report (BNL-91286-2009-IR)</t>
    </r>
  </si>
  <si>
    <r>
      <t>- Use ULS emission factors from 2009 Brookhaven report for PM</t>
    </r>
    <r>
      <rPr>
        <i/>
        <vertAlign val="subscript"/>
        <sz val="11"/>
        <color theme="1"/>
        <rFont val="Calibri"/>
        <family val="2"/>
        <scheme val="minor"/>
      </rPr>
      <t>2.5</t>
    </r>
    <r>
      <rPr>
        <i/>
        <sz val="11"/>
        <color theme="1"/>
        <rFont val="Calibri"/>
        <family val="2"/>
        <scheme val="minor"/>
      </rPr>
      <t xml:space="preserve"> (and scaled SO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).</t>
    </r>
  </si>
  <si>
    <t>tons/day</t>
  </si>
  <si>
    <t>cords/episode day</t>
  </si>
  <si>
    <t>HDD-Based Episode Day/Avg Annual Day Use:</t>
  </si>
  <si>
    <t>cords/year</t>
  </si>
  <si>
    <t>Energy Content Differences</t>
  </si>
  <si>
    <t>Energy Content #2:</t>
  </si>
  <si>
    <t>Energy Content #1:</t>
  </si>
  <si>
    <t>% Difference (#1 vs. #2):</t>
  </si>
  <si>
    <t>#1 Heating Oil</t>
  </si>
  <si>
    <t>Base Price:</t>
  </si>
  <si>
    <t>per gallon</t>
  </si>
  <si>
    <t>Relative Price Increase:</t>
  </si>
  <si>
    <t>Costs - Without Implementation of this Measure</t>
  </si>
  <si>
    <t xml:space="preserve">  - Assume that baseline costs are limited to fuel costs for oil and wood and maintenance costs for existing heating oil units used in residential and commercial space heating</t>
  </si>
  <si>
    <t xml:space="preserve">  - 2011-2015 Fairbanks Home Heating Survey data household percentages:</t>
  </si>
  <si>
    <t>Residential Oil:</t>
  </si>
  <si>
    <t>Residential Wood:</t>
  </si>
  <si>
    <t>Back-Calculated</t>
  </si>
  <si>
    <t>Oil Device Repair/Maintenance Costs</t>
  </si>
  <si>
    <t>Total Operating Cost</t>
  </si>
  <si>
    <t>Affected Devices</t>
  </si>
  <si>
    <t>Fuel Price</t>
  </si>
  <si>
    <t>Interval</t>
  </si>
  <si>
    <t>Avg Cost/</t>
  </si>
  <si>
    <t>Counts</t>
  </si>
  <si>
    <t>Per Unit</t>
  </si>
  <si>
    <t>(years)</t>
  </si>
  <si>
    <t>Service</t>
  </si>
  <si>
    <t>Residential Oil Devices</t>
  </si>
  <si>
    <t>res. units w/oil</t>
  </si>
  <si>
    <t>gallons</t>
  </si>
  <si>
    <t>Resid. Oil Blend</t>
  </si>
  <si>
    <t>/gallon</t>
  </si>
  <si>
    <t>Commercial Oil Devices</t>
  </si>
  <si>
    <t>comm. units w/oil</t>
  </si>
  <si>
    <t>Comm. Oil Blend</t>
  </si>
  <si>
    <t>res. units w/wood</t>
  </si>
  <si>
    <t>Costs - With Implementation of this Measure</t>
  </si>
  <si>
    <t xml:space="preserve">  - Adjust fuel usage to reflect decrease from elimination of fouling using ULSHO</t>
  </si>
  <si>
    <t xml:space="preserve">  - Also adjust oil usage to reflect own-price and cross-price elasticity assumptions above</t>
  </si>
  <si>
    <t xml:space="preserve">  - Account for price change of ULSHO</t>
  </si>
  <si>
    <t xml:space="preserve">  - Adjust maintenance/repair cost to reflect longer interval between services per Brookhaven/NYSERDA report</t>
  </si>
  <si>
    <t>Unchanged</t>
  </si>
  <si>
    <t>Cost Effectiveness:</t>
  </si>
  <si>
    <t>SO2 Emission Reduction =</t>
  </si>
  <si>
    <t>/ton SO2</t>
  </si>
  <si>
    <t>2010 Census &amp; 2012 Assessor Parcel FNSB Population/Household and Parcel Tabulations</t>
  </si>
  <si>
    <t>Backcasted 2008 Housing Units/Buildings</t>
  </si>
  <si>
    <t>Historically Backcasted 2006-2010 Units/Buildings</t>
  </si>
  <si>
    <t>2011 &amp; Later Forecasted Housing Units/Buildings, Less Those Units on District Heat (DH)</t>
  </si>
  <si>
    <t>Total Residential (incl. DH):</t>
  </si>
  <si>
    <t>SumCheck:</t>
  </si>
  <si>
    <t>Census Block-Level Data</t>
  </si>
  <si>
    <t>Assessor Parcel Data</t>
  </si>
  <si>
    <t>Average Building Size (sq ft)</t>
  </si>
  <si>
    <t>Buildings, Res. Counts Adjusted to 2010 Census HUs</t>
  </si>
  <si>
    <t>Occupied 2010 Housing Units</t>
  </si>
  <si>
    <t>Total Housing Units</t>
  </si>
  <si>
    <t>Occupied Housing Units</t>
  </si>
  <si>
    <t>Non-Residential</t>
  </si>
  <si>
    <t>Total Housing Units (excluding DH)</t>
  </si>
  <si>
    <t>Occupied Housing Units (excluding DH)</t>
  </si>
  <si>
    <t>Non-Residential (Commercial, excluding DH)</t>
  </si>
  <si>
    <t>Residential District Heat (DH)</t>
  </si>
  <si>
    <t>Non-Residential District Heat (DH)</t>
  </si>
  <si>
    <t>XIndex</t>
  </si>
  <si>
    <t>YIndex</t>
  </si>
  <si>
    <t>G3Cell</t>
  </si>
  <si>
    <t>Zip10</t>
  </si>
  <si>
    <t>NA Area?</t>
  </si>
  <si>
    <t>Popn</t>
  </si>
  <si>
    <t>Hus</t>
  </si>
  <si>
    <t>Occ HUs</t>
  </si>
  <si>
    <t>Vac HUs</t>
  </si>
  <si>
    <t>ResMF</t>
  </si>
  <si>
    <t>ResElse</t>
  </si>
  <si>
    <t>ResTotal</t>
  </si>
  <si>
    <t>NR</t>
  </si>
  <si>
    <t>DH-Res</t>
  </si>
  <si>
    <t>DH-NR</t>
  </si>
  <si>
    <t>ResTot</t>
  </si>
  <si>
    <t>R-2006</t>
  </si>
  <si>
    <t>R-2007</t>
  </si>
  <si>
    <t>R-2008</t>
  </si>
  <si>
    <t>R-2009</t>
  </si>
  <si>
    <t>R-2010</t>
  </si>
  <si>
    <t>O-2006</t>
  </si>
  <si>
    <t>O-2007</t>
  </si>
  <si>
    <t>O-2008</t>
  </si>
  <si>
    <t>O-2009</t>
  </si>
  <si>
    <t>O-2010</t>
  </si>
  <si>
    <t>NR-2006</t>
  </si>
  <si>
    <t>NR-2007</t>
  </si>
  <si>
    <t>NR-2008</t>
  </si>
  <si>
    <t>NR-2009</t>
  </si>
  <si>
    <t>NR-2010</t>
  </si>
  <si>
    <t>R-2011</t>
  </si>
  <si>
    <t>R-2012</t>
  </si>
  <si>
    <t>R-2013</t>
  </si>
  <si>
    <t>R-2014</t>
  </si>
  <si>
    <t>R-2015</t>
  </si>
  <si>
    <t>R-2016</t>
  </si>
  <si>
    <t>R-2017</t>
  </si>
  <si>
    <t>R-2018</t>
  </si>
  <si>
    <t>R-2019</t>
  </si>
  <si>
    <t>R-2020</t>
  </si>
  <si>
    <t>R-2021</t>
  </si>
  <si>
    <t>R-2022</t>
  </si>
  <si>
    <t>R-2023</t>
  </si>
  <si>
    <t>R-2024</t>
  </si>
  <si>
    <t>R-2025</t>
  </si>
  <si>
    <t>O-2011</t>
  </si>
  <si>
    <t>O-2012</t>
  </si>
  <si>
    <t>O-2013</t>
  </si>
  <si>
    <t>O-2014</t>
  </si>
  <si>
    <t>O-2015</t>
  </si>
  <si>
    <t>O-2016</t>
  </si>
  <si>
    <t>O-2017</t>
  </si>
  <si>
    <t>O-2018</t>
  </si>
  <si>
    <t>O-2019</t>
  </si>
  <si>
    <t>O-2020</t>
  </si>
  <si>
    <t>O-2021</t>
  </si>
  <si>
    <t>O-2022</t>
  </si>
  <si>
    <t>O-2023</t>
  </si>
  <si>
    <t>O-2024</t>
  </si>
  <si>
    <t>O-2025</t>
  </si>
  <si>
    <t>NR-2011</t>
  </si>
  <si>
    <t>NR-2012</t>
  </si>
  <si>
    <t>NR-2013</t>
  </si>
  <si>
    <t>NR-2014</t>
  </si>
  <si>
    <t>NR-2015</t>
  </si>
  <si>
    <t>NR-2016</t>
  </si>
  <si>
    <t>NR-2017</t>
  </si>
  <si>
    <t>NR-2018</t>
  </si>
  <si>
    <t>NR-2019</t>
  </si>
  <si>
    <t>NR-2020</t>
  </si>
  <si>
    <t>NR-2021</t>
  </si>
  <si>
    <t>NR-2022</t>
  </si>
  <si>
    <t>NR-2023</t>
  </si>
  <si>
    <t>NR-2024</t>
  </si>
  <si>
    <t>NR-2025</t>
  </si>
  <si>
    <t>RDH-2011</t>
  </si>
  <si>
    <t>RDH-2012</t>
  </si>
  <si>
    <t>RDH-2013</t>
  </si>
  <si>
    <t>RDH-2014</t>
  </si>
  <si>
    <t>RDH-2015</t>
  </si>
  <si>
    <t>RDH-2016</t>
  </si>
  <si>
    <t>RDH-2017</t>
  </si>
  <si>
    <t>RDH-2018</t>
  </si>
  <si>
    <t>RDH-2019</t>
  </si>
  <si>
    <t>RDH-2020</t>
  </si>
  <si>
    <t>RDH-2021</t>
  </si>
  <si>
    <t>RDH-2022</t>
  </si>
  <si>
    <t>RDH-2023</t>
  </si>
  <si>
    <t>RDH-2024</t>
  </si>
  <si>
    <t>RDH-2025</t>
  </si>
  <si>
    <t>NRDH-2011</t>
  </si>
  <si>
    <t>NRDH-2012</t>
  </si>
  <si>
    <t>NRDH-2013</t>
  </si>
  <si>
    <t>NRDH-2014</t>
  </si>
  <si>
    <t>NRDH-2015</t>
  </si>
  <si>
    <t>NRDH-2016</t>
  </si>
  <si>
    <t>NRDH-2017</t>
  </si>
  <si>
    <t>NRDH-2018</t>
  </si>
  <si>
    <t>NRDH-2019</t>
  </si>
  <si>
    <t>NRDH-2020</t>
  </si>
  <si>
    <t>NRDH-2021</t>
  </si>
  <si>
    <t>NRDH-2022</t>
  </si>
  <si>
    <t>NRDH-2023</t>
  </si>
  <si>
    <t>NRDH-2024</t>
  </si>
  <si>
    <t>NRDH-2025</t>
  </si>
  <si>
    <t>108,49</t>
  </si>
  <si>
    <t>N</t>
  </si>
  <si>
    <t>133,49</t>
  </si>
  <si>
    <t>156,49</t>
  </si>
  <si>
    <t>158,49</t>
  </si>
  <si>
    <t>148,50</t>
  </si>
  <si>
    <t>143,52</t>
  </si>
  <si>
    <t>138,54</t>
  </si>
  <si>
    <t>139,56</t>
  </si>
  <si>
    <t>137,57</t>
  </si>
  <si>
    <t>151,57</t>
  </si>
  <si>
    <t>139,58</t>
  </si>
  <si>
    <t>141,58</t>
  </si>
  <si>
    <t>137,59</t>
  </si>
  <si>
    <t>139,59</t>
  </si>
  <si>
    <t>141,59</t>
  </si>
  <si>
    <t>142,59</t>
  </si>
  <si>
    <t>136,61</t>
  </si>
  <si>
    <t>135,62</t>
  </si>
  <si>
    <t>137,62</t>
  </si>
  <si>
    <t>138,62</t>
  </si>
  <si>
    <t>137,63</t>
  </si>
  <si>
    <t>138,63</t>
  </si>
  <si>
    <t>136,64</t>
  </si>
  <si>
    <t>137,64</t>
  </si>
  <si>
    <t>143,64</t>
  </si>
  <si>
    <t>136,65</t>
  </si>
  <si>
    <t>141,66</t>
  </si>
  <si>
    <t>152,66</t>
  </si>
  <si>
    <t>100,68</t>
  </si>
  <si>
    <t>135,68</t>
  </si>
  <si>
    <t>158,68</t>
  </si>
  <si>
    <t>138,69</t>
  </si>
  <si>
    <t>152,69</t>
  </si>
  <si>
    <t>134,70</t>
  </si>
  <si>
    <t>133,71</t>
  </si>
  <si>
    <t>133,72</t>
  </si>
  <si>
    <t>137,72</t>
  </si>
  <si>
    <t>132,73</t>
  </si>
  <si>
    <t>133,73</t>
  </si>
  <si>
    <t>131,74</t>
  </si>
  <si>
    <t>132,74</t>
  </si>
  <si>
    <t>133,74</t>
  </si>
  <si>
    <t>131,75</t>
  </si>
  <si>
    <t>130,76</t>
  </si>
  <si>
    <t>131,76</t>
  </si>
  <si>
    <t>134,76</t>
  </si>
  <si>
    <t>168,76</t>
  </si>
  <si>
    <t>130,77</t>
  </si>
  <si>
    <t>129,78</t>
  </si>
  <si>
    <t>130,78</t>
  </si>
  <si>
    <t>200,78</t>
  </si>
  <si>
    <t>128,79</t>
  </si>
  <si>
    <t>129,79</t>
  </si>
  <si>
    <t>128,80</t>
  </si>
  <si>
    <t>129,80</t>
  </si>
  <si>
    <t>132,80</t>
  </si>
  <si>
    <t>81,81</t>
  </si>
  <si>
    <t>126,81</t>
  </si>
  <si>
    <t>128,81</t>
  </si>
  <si>
    <t>131,81</t>
  </si>
  <si>
    <t>132,81</t>
  </si>
  <si>
    <t>133,81</t>
  </si>
  <si>
    <t>126,82</t>
  </si>
  <si>
    <t>127,82</t>
  </si>
  <si>
    <t>132,82</t>
  </si>
  <si>
    <t>178,82</t>
  </si>
  <si>
    <t>88,83</t>
  </si>
  <si>
    <t>129,83</t>
  </si>
  <si>
    <t>130,83</t>
  </si>
  <si>
    <t>124,84</t>
  </si>
  <si>
    <t>Y</t>
  </si>
  <si>
    <t>125,84</t>
  </si>
  <si>
    <t>128,84</t>
  </si>
  <si>
    <t>129,84</t>
  </si>
  <si>
    <t>122,85</t>
  </si>
  <si>
    <t>123,85</t>
  </si>
  <si>
    <t>124,85</t>
  </si>
  <si>
    <t>125,85</t>
  </si>
  <si>
    <t>126,85</t>
  </si>
  <si>
    <t>96,86</t>
  </si>
  <si>
    <t>122,86</t>
  </si>
  <si>
    <t>123,86</t>
  </si>
  <si>
    <t>124,86</t>
  </si>
  <si>
    <t>125,86</t>
  </si>
  <si>
    <t>126,86</t>
  </si>
  <si>
    <t>83,87</t>
  </si>
  <si>
    <t>96,87</t>
  </si>
  <si>
    <t>98,87</t>
  </si>
  <si>
    <t>120,87</t>
  </si>
  <si>
    <t>121,87</t>
  </si>
  <si>
    <t>122,87</t>
  </si>
  <si>
    <t>123,87</t>
  </si>
  <si>
    <t>124,87</t>
  </si>
  <si>
    <t>125,87</t>
  </si>
  <si>
    <t>126,87</t>
  </si>
  <si>
    <t>95,88</t>
  </si>
  <si>
    <t>97,88</t>
  </si>
  <si>
    <t>98,88</t>
  </si>
  <si>
    <t>119,88</t>
  </si>
  <si>
    <t>120,88</t>
  </si>
  <si>
    <t>121,88</t>
  </si>
  <si>
    <t>122,88</t>
  </si>
  <si>
    <t>123,88</t>
  </si>
  <si>
    <t>124,88</t>
  </si>
  <si>
    <t>125,88</t>
  </si>
  <si>
    <t>126,88</t>
  </si>
  <si>
    <t>129,88</t>
  </si>
  <si>
    <t>98,89</t>
  </si>
  <si>
    <t>99,89</t>
  </si>
  <si>
    <t>100,89</t>
  </si>
  <si>
    <t>116,89</t>
  </si>
  <si>
    <t>117,89</t>
  </si>
  <si>
    <t>118,89</t>
  </si>
  <si>
    <t>120,89</t>
  </si>
  <si>
    <t>121,89</t>
  </si>
  <si>
    <t>122,89</t>
  </si>
  <si>
    <t>123,89</t>
  </si>
  <si>
    <t>124,89</t>
  </si>
  <si>
    <t>125,89</t>
  </si>
  <si>
    <t>126,89</t>
  </si>
  <si>
    <t>97,90</t>
  </si>
  <si>
    <t>98,90</t>
  </si>
  <si>
    <t>99,90</t>
  </si>
  <si>
    <t>100,90</t>
  </si>
  <si>
    <t>101,90</t>
  </si>
  <si>
    <t>115,90</t>
  </si>
  <si>
    <t>116,90</t>
  </si>
  <si>
    <t>118,90</t>
  </si>
  <si>
    <t>120,90</t>
  </si>
  <si>
    <t>121,90</t>
  </si>
  <si>
    <t>122,90</t>
  </si>
  <si>
    <t>123,90</t>
  </si>
  <si>
    <t>95,91</t>
  </si>
  <si>
    <t>96,91</t>
  </si>
  <si>
    <t>97,91</t>
  </si>
  <si>
    <t>100,91</t>
  </si>
  <si>
    <t>101,91</t>
  </si>
  <si>
    <t>102,91</t>
  </si>
  <si>
    <t>103,91</t>
  </si>
  <si>
    <t>104,91</t>
  </si>
  <si>
    <t>106,91</t>
  </si>
  <si>
    <t>107,91</t>
  </si>
  <si>
    <t>108,91</t>
  </si>
  <si>
    <t>109,91</t>
  </si>
  <si>
    <t>110,91</t>
  </si>
  <si>
    <t>111,91</t>
  </si>
  <si>
    <t>115,91</t>
  </si>
  <si>
    <t>116,91</t>
  </si>
  <si>
    <t>119,91</t>
  </si>
  <si>
    <t>120,91</t>
  </si>
  <si>
    <t>121,91</t>
  </si>
  <si>
    <t>90,92</t>
  </si>
  <si>
    <t>95,92</t>
  </si>
  <si>
    <t>97,92</t>
  </si>
  <si>
    <t>98,92</t>
  </si>
  <si>
    <t>101,92</t>
  </si>
  <si>
    <t>102,92</t>
  </si>
  <si>
    <t>103,92</t>
  </si>
  <si>
    <t>104,92</t>
  </si>
  <si>
    <t>105,92</t>
  </si>
  <si>
    <t>106,92</t>
  </si>
  <si>
    <t>107,92</t>
  </si>
  <si>
    <t>108,92</t>
  </si>
  <si>
    <t>109,92</t>
  </si>
  <si>
    <t>110,92</t>
  </si>
  <si>
    <t>111,92</t>
  </si>
  <si>
    <t>113,92</t>
  </si>
  <si>
    <t>115,92</t>
  </si>
  <si>
    <t>116,92</t>
  </si>
  <si>
    <t>117,92</t>
  </si>
  <si>
    <t>118,92</t>
  </si>
  <si>
    <t>119,92</t>
  </si>
  <si>
    <t>120,92</t>
  </si>
  <si>
    <t>121,92</t>
  </si>
  <si>
    <t>122,92</t>
  </si>
  <si>
    <t>124,92</t>
  </si>
  <si>
    <t>85,93</t>
  </si>
  <si>
    <t>93,93</t>
  </si>
  <si>
    <t>98,93</t>
  </si>
  <si>
    <t>99,93</t>
  </si>
  <si>
    <t>100,93</t>
  </si>
  <si>
    <t>101,93</t>
  </si>
  <si>
    <t>102,93</t>
  </si>
  <si>
    <t>103,93</t>
  </si>
  <si>
    <t>104,93</t>
  </si>
  <si>
    <t>105,93</t>
  </si>
  <si>
    <t>106,93</t>
  </si>
  <si>
    <t>107,93</t>
  </si>
  <si>
    <t>108,93</t>
  </si>
  <si>
    <t>109,93</t>
  </si>
  <si>
    <t>110,93</t>
  </si>
  <si>
    <t>111,93</t>
  </si>
  <si>
    <t>112,93</t>
  </si>
  <si>
    <t>113,93</t>
  </si>
  <si>
    <t>115,93</t>
  </si>
  <si>
    <t>116,93</t>
  </si>
  <si>
    <t>117,93</t>
  </si>
  <si>
    <t>118,93</t>
  </si>
  <si>
    <t>119,93</t>
  </si>
  <si>
    <t>120,93</t>
  </si>
  <si>
    <t>121,93</t>
  </si>
  <si>
    <t>98,94</t>
  </si>
  <si>
    <t>99,94</t>
  </si>
  <si>
    <t>100,94</t>
  </si>
  <si>
    <t>101,94</t>
  </si>
  <si>
    <t>102,94</t>
  </si>
  <si>
    <t>103,94</t>
  </si>
  <si>
    <t>104,94</t>
  </si>
  <si>
    <t>105,94</t>
  </si>
  <si>
    <t>106,94</t>
  </si>
  <si>
    <t>107,94</t>
  </si>
  <si>
    <t>108,94</t>
  </si>
  <si>
    <t>109,94</t>
  </si>
  <si>
    <t>110,94</t>
  </si>
  <si>
    <t>111,94</t>
  </si>
  <si>
    <t>112,94</t>
  </si>
  <si>
    <t>113,94</t>
  </si>
  <si>
    <t>114,94</t>
  </si>
  <si>
    <t>115,94</t>
  </si>
  <si>
    <t>116,94</t>
  </si>
  <si>
    <t>117,94</t>
  </si>
  <si>
    <t>118,94</t>
  </si>
  <si>
    <t>119,94</t>
  </si>
  <si>
    <t>120,94</t>
  </si>
  <si>
    <t>121,94</t>
  </si>
  <si>
    <t>122,94</t>
  </si>
  <si>
    <t>123,94</t>
  </si>
  <si>
    <t>125,94</t>
  </si>
  <si>
    <t>99,95</t>
  </si>
  <si>
    <t>100,95</t>
  </si>
  <si>
    <t>101,95</t>
  </si>
  <si>
    <t>102,95</t>
  </si>
  <si>
    <t>103,95</t>
  </si>
  <si>
    <t>105,95</t>
  </si>
  <si>
    <t>106,95</t>
  </si>
  <si>
    <t>107,95</t>
  </si>
  <si>
    <t>108,95</t>
  </si>
  <si>
    <t>109,95</t>
  </si>
  <si>
    <t>110,95</t>
  </si>
  <si>
    <t>111,95</t>
  </si>
  <si>
    <t>117,95</t>
  </si>
  <si>
    <t>118,95</t>
  </si>
  <si>
    <t>120,95</t>
  </si>
  <si>
    <t>94,96</t>
  </si>
  <si>
    <t>98,96</t>
  </si>
  <si>
    <t>101,96</t>
  </si>
  <si>
    <t>103,96</t>
  </si>
  <si>
    <t>105,96</t>
  </si>
  <si>
    <t>106,96</t>
  </si>
  <si>
    <t>107,96</t>
  </si>
  <si>
    <t>108,96</t>
  </si>
  <si>
    <t>109,96</t>
  </si>
  <si>
    <t>111,96</t>
  </si>
  <si>
    <t>112,96</t>
  </si>
  <si>
    <t>115,96</t>
  </si>
  <si>
    <t>128,96</t>
  </si>
  <si>
    <t>131,96</t>
  </si>
  <si>
    <t>132,96</t>
  </si>
  <si>
    <t>138,96</t>
  </si>
  <si>
    <t>100,97</t>
  </si>
  <si>
    <t>101,97</t>
  </si>
  <si>
    <t>102,97</t>
  </si>
  <si>
    <t>103,97</t>
  </si>
  <si>
    <t>104,97</t>
  </si>
  <si>
    <t>105,97</t>
  </si>
  <si>
    <t>106,97</t>
  </si>
  <si>
    <t>107,97</t>
  </si>
  <si>
    <t>108,97</t>
  </si>
  <si>
    <t>109,97</t>
  </si>
  <si>
    <t>110,97</t>
  </si>
  <si>
    <t>111,97</t>
  </si>
  <si>
    <t>112,97</t>
  </si>
  <si>
    <t>113,97</t>
  </si>
  <si>
    <t>114,97</t>
  </si>
  <si>
    <t>115,97</t>
  </si>
  <si>
    <t>116,97</t>
  </si>
  <si>
    <t>119,97</t>
  </si>
  <si>
    <t>120,97</t>
  </si>
  <si>
    <t>122,97</t>
  </si>
  <si>
    <t>125,97</t>
  </si>
  <si>
    <t>129,97</t>
  </si>
  <si>
    <t>132,97</t>
  </si>
  <si>
    <t>133,97</t>
  </si>
  <si>
    <t>134,97</t>
  </si>
  <si>
    <t>135,97</t>
  </si>
  <si>
    <t>136,97</t>
  </si>
  <si>
    <t>137,97</t>
  </si>
  <si>
    <t>138,97</t>
  </si>
  <si>
    <t>139,97</t>
  </si>
  <si>
    <t>141,97</t>
  </si>
  <si>
    <t>89,98</t>
  </si>
  <si>
    <t>90,98</t>
  </si>
  <si>
    <t>101,98</t>
  </si>
  <si>
    <t>102,98</t>
  </si>
  <si>
    <t>105,98</t>
  </si>
  <si>
    <t>106,98</t>
  </si>
  <si>
    <t>107,98</t>
  </si>
  <si>
    <t>108,98</t>
  </si>
  <si>
    <t>109,98</t>
  </si>
  <si>
    <t>110,98</t>
  </si>
  <si>
    <t>111,98</t>
  </si>
  <si>
    <t>112,98</t>
  </si>
  <si>
    <t>113,98</t>
  </si>
  <si>
    <t>114,98</t>
  </si>
  <si>
    <t>115,98</t>
  </si>
  <si>
    <t>117,98</t>
  </si>
  <si>
    <t>118,98</t>
  </si>
  <si>
    <t>119,98</t>
  </si>
  <si>
    <t>120,98</t>
  </si>
  <si>
    <t>122,98</t>
  </si>
  <si>
    <t>124,98</t>
  </si>
  <si>
    <t>125,98</t>
  </si>
  <si>
    <t>128,98</t>
  </si>
  <si>
    <t>131,98</t>
  </si>
  <si>
    <t>141,98</t>
  </si>
  <si>
    <t>90,99</t>
  </si>
  <si>
    <t>92,99</t>
  </si>
  <si>
    <t>101,99</t>
  </si>
  <si>
    <t>102,99</t>
  </si>
  <si>
    <t>103,99</t>
  </si>
  <si>
    <t>104,99</t>
  </si>
  <si>
    <t>105,99</t>
  </si>
  <si>
    <t>106,99</t>
  </si>
  <si>
    <t>107,99</t>
  </si>
  <si>
    <t>108,99</t>
  </si>
  <si>
    <t>109,99</t>
  </si>
  <si>
    <t>110,99</t>
  </si>
  <si>
    <t>111,99</t>
  </si>
  <si>
    <t>112,99</t>
  </si>
  <si>
    <t>113,99</t>
  </si>
  <si>
    <t>114,99</t>
  </si>
  <si>
    <t>115,99</t>
  </si>
  <si>
    <t>116,99</t>
  </si>
  <si>
    <t>117,99</t>
  </si>
  <si>
    <t>121,99</t>
  </si>
  <si>
    <t>134,99</t>
  </si>
  <si>
    <t>138,99</t>
  </si>
  <si>
    <t>194,99</t>
  </si>
  <si>
    <t>90,100</t>
  </si>
  <si>
    <t>91,100</t>
  </si>
  <si>
    <t>93,100</t>
  </si>
  <si>
    <t>94,100</t>
  </si>
  <si>
    <t>101,100</t>
  </si>
  <si>
    <t>102,100</t>
  </si>
  <si>
    <t>103,100</t>
  </si>
  <si>
    <t>104,100</t>
  </si>
  <si>
    <t>109,100</t>
  </si>
  <si>
    <t>110,100</t>
  </si>
  <si>
    <t>111,100</t>
  </si>
  <si>
    <t>112,100</t>
  </si>
  <si>
    <t>113,100</t>
  </si>
  <si>
    <t>114,100</t>
  </si>
  <si>
    <t>115,100</t>
  </si>
  <si>
    <t>116,100</t>
  </si>
  <si>
    <t>122,100</t>
  </si>
  <si>
    <t>153,100</t>
  </si>
  <si>
    <t>98,101</t>
  </si>
  <si>
    <t>100,101</t>
  </si>
  <si>
    <t>101,101</t>
  </si>
  <si>
    <t>104,101</t>
  </si>
  <si>
    <t>106,101</t>
  </si>
  <si>
    <t>109,101</t>
  </si>
  <si>
    <t>112,101</t>
  </si>
  <si>
    <t>113,101</t>
  </si>
  <si>
    <t>114,101</t>
  </si>
  <si>
    <t>115,101</t>
  </si>
  <si>
    <t>117,101</t>
  </si>
  <si>
    <t>119,101</t>
  </si>
  <si>
    <t>135,101</t>
  </si>
  <si>
    <t>136,101</t>
  </si>
  <si>
    <t>92,102</t>
  </si>
  <si>
    <t>95,102</t>
  </si>
  <si>
    <t>103,102</t>
  </si>
  <si>
    <t>107,102</t>
  </si>
  <si>
    <t>111,102</t>
  </si>
  <si>
    <t>112,102</t>
  </si>
  <si>
    <t>114,102</t>
  </si>
  <si>
    <t>115,102</t>
  </si>
  <si>
    <t>116,102</t>
  </si>
  <si>
    <t>91,103</t>
  </si>
  <si>
    <t>92,103</t>
  </si>
  <si>
    <t>101,103</t>
  </si>
  <si>
    <t>108,103</t>
  </si>
  <si>
    <t>111,103</t>
  </si>
  <si>
    <t>112,103</t>
  </si>
  <si>
    <t>113,103</t>
  </si>
  <si>
    <t>114,103</t>
  </si>
  <si>
    <t>107,104</t>
  </si>
  <si>
    <t>108,104</t>
  </si>
  <si>
    <t>112,104</t>
  </si>
  <si>
    <t>113,104</t>
  </si>
  <si>
    <t>114,104</t>
  </si>
  <si>
    <t>115,104</t>
  </si>
  <si>
    <t>104,105</t>
  </si>
  <si>
    <t>112,105</t>
  </si>
  <si>
    <t>114,105</t>
  </si>
  <si>
    <t>115,105</t>
  </si>
  <si>
    <t>148,105</t>
  </si>
  <si>
    <t>91,106</t>
  </si>
  <si>
    <t>114,106</t>
  </si>
  <si>
    <t>116,106</t>
  </si>
  <si>
    <t>116,107</t>
  </si>
  <si>
    <t>111,108</t>
  </si>
  <si>
    <t>117,108</t>
  </si>
  <si>
    <t>118,108</t>
  </si>
  <si>
    <t>112,109</t>
  </si>
  <si>
    <t>114,109</t>
  </si>
  <si>
    <t>118,109</t>
  </si>
  <si>
    <t>118,110</t>
  </si>
  <si>
    <t>142,110</t>
  </si>
  <si>
    <t>161,110</t>
  </si>
  <si>
    <t>111,111</t>
  </si>
  <si>
    <t>112,111</t>
  </si>
  <si>
    <t>118,111</t>
  </si>
  <si>
    <t>119,111</t>
  </si>
  <si>
    <t>120,111</t>
  </si>
  <si>
    <t>89,112</t>
  </si>
  <si>
    <t>110,112</t>
  </si>
  <si>
    <t>120,112</t>
  </si>
  <si>
    <t>111,113</t>
  </si>
  <si>
    <t>112,113</t>
  </si>
  <si>
    <t>163,113</t>
  </si>
  <si>
    <t>167,113</t>
  </si>
  <si>
    <t>172,113</t>
  </si>
  <si>
    <t>106,114</t>
  </si>
  <si>
    <t>165,114</t>
  </si>
  <si>
    <t>116,115</t>
  </si>
  <si>
    <t>119,115</t>
  </si>
  <si>
    <t>99,116</t>
  </si>
  <si>
    <t>106,116</t>
  </si>
  <si>
    <t>107,116</t>
  </si>
  <si>
    <t>109,116</t>
  </si>
  <si>
    <t>110,116</t>
  </si>
  <si>
    <t>118,116</t>
  </si>
  <si>
    <t>119,116</t>
  </si>
  <si>
    <t>104,117</t>
  </si>
  <si>
    <t>106,117</t>
  </si>
  <si>
    <t>111,117</t>
  </si>
  <si>
    <t>112,117</t>
  </si>
  <si>
    <t>117,117</t>
  </si>
  <si>
    <t>111,118</t>
  </si>
  <si>
    <t>119,119</t>
  </si>
  <si>
    <t>112,120</t>
  </si>
  <si>
    <t>122,120</t>
  </si>
  <si>
    <t>138,121</t>
  </si>
  <si>
    <t>160,121</t>
  </si>
  <si>
    <t>103,122</t>
  </si>
  <si>
    <t>99,123</t>
  </si>
  <si>
    <t>126,124</t>
  </si>
  <si>
    <t>127,124</t>
  </si>
  <si>
    <t>122,125</t>
  </si>
  <si>
    <t>128,125</t>
  </si>
  <si>
    <t>130,125</t>
  </si>
  <si>
    <t>135,129</t>
  </si>
  <si>
    <t>157,134</t>
  </si>
  <si>
    <t>Nonattainment Area Only:</t>
  </si>
  <si>
    <t>Resid.</t>
  </si>
  <si>
    <t>Compliance Fractions</t>
  </si>
  <si>
    <t>2019 Estimated Compliance with</t>
  </si>
  <si>
    <t>Estimated Compliance with No Visible Emission</t>
  </si>
  <si>
    <t>Estimated Compliance with Enforcement Increase</t>
  </si>
  <si>
    <t xml:space="preserve">   Funded by Device Surcharge (M1)</t>
  </si>
  <si>
    <t xml:space="preserve">   Limit during Curtailment Periods (M18)</t>
  </si>
  <si>
    <t xml:space="preserve">   Curtailment Requirements (M1)</t>
  </si>
  <si>
    <t>(B. Dulla email, 2/4/19)</t>
  </si>
  <si>
    <t>ESP</t>
  </si>
  <si>
    <t>Sold/Cut</t>
  </si>
  <si>
    <t>Useful Life (yrs) --&gt;</t>
  </si>
  <si>
    <t>Bank Prime Loan</t>
  </si>
  <si>
    <t>Capital Recovery Rate (CRR):</t>
  </si>
  <si>
    <t>BTU/HH/day, from 2019 Baseline EI</t>
  </si>
  <si>
    <t>BTU/HH/day, from 2011-2015 HH Survey</t>
  </si>
  <si>
    <t>Residential Episodic Day Heating Energy Use:</t>
  </si>
  <si>
    <t>Residential Winter (Oct-Mar) Day Heating Energy Use:</t>
  </si>
  <si>
    <t>Residential Annual Average Day Heating Energy Use:</t>
  </si>
  <si>
    <t>Episodic to Annual Average Heating Factor:</t>
  </si>
  <si>
    <t>&lt;-- This factor is used to adjust episodic average daily emission reductions to annual average daily emission reductions.</t>
  </si>
  <si>
    <t>Capital Recovery Factor (CRR):</t>
  </si>
  <si>
    <t>Net Emission Benefits (tons/year)</t>
  </si>
  <si>
    <t>Winter to Annual Average Heating Factor:</t>
  </si>
  <si>
    <t>&lt;-- This factor is used to adjust winter average daily emission reductions to annual average daily emission reductions.</t>
  </si>
  <si>
    <t>Annual Costs</t>
  </si>
  <si>
    <t>Annual Daily Energy</t>
  </si>
  <si>
    <t>Use (mmBTU/day)</t>
  </si>
  <si>
    <t>Annual Daily Fuel Use</t>
  </si>
  <si>
    <t>Per Year</t>
  </si>
  <si>
    <t>&lt;&lt;- % of ComWood Price</t>
  </si>
  <si>
    <t>&lt;-- Estimated from 2016 ACS and 2010 Census by Block Group</t>
  </si>
  <si>
    <t>(3.130-3.180)</t>
  </si>
  <si>
    <t>(3.050-3.100)</t>
  </si>
  <si>
    <t>Tons/Cord</t>
  </si>
  <si>
    <t>$/ton</t>
  </si>
  <si>
    <t>Episodic to Winter Average Heating Factor:</t>
  </si>
  <si>
    <t>&lt;-- This factor is used to adjust episodic average daily emission reductions to winter season average daily emission reductions.</t>
  </si>
  <si>
    <t>Emission Reductions (tons/yr)</t>
  </si>
  <si>
    <t>Wood Pellets</t>
  </si>
  <si>
    <t>Emis Ratio</t>
  </si>
  <si>
    <t>Undr/Ovr</t>
  </si>
  <si>
    <t>Adjustment Factors</t>
  </si>
  <si>
    <t>Certified Device EF</t>
  </si>
  <si>
    <t>&lt;</t>
  </si>
  <si>
    <t>&gt;</t>
  </si>
  <si>
    <t>Relative Benefit of Condensing vs. Conventional Boiler: (with Efficiency Improvement):</t>
  </si>
  <si>
    <t>Relative Benefit of Condensing vs. Conventional Boiler (2000 ppm):</t>
  </si>
  <si>
    <t>Linearly-Fitted Boiler Test Data at Same User-Selected Sulfur Level</t>
  </si>
  <si>
    <t>Replace Current Space Heating Oil with Ultra Low Sulfur (ULS) Heating Oil</t>
  </si>
  <si>
    <t>ULS Heating Oil Sulfur Level (ppm):</t>
  </si>
  <si>
    <t>Measure 51ULSHO - Switch to Ultra Low Sulfur Heating Oil</t>
  </si>
  <si>
    <t xml:space="preserve">Ultra Low Sulfur Heating Oil Sulfur Content (ppm) = </t>
  </si>
  <si>
    <t>ppm</t>
  </si>
  <si>
    <t>Relative Reduction, #2/#1 to ULS:</t>
  </si>
  <si>
    <t>ULS Heating Oil Emission Factors (lb/mmBTU)</t>
  </si>
  <si>
    <t>Heating Oil Type</t>
  </si>
  <si>
    <t>ULS Heating Oil (15 ppm S)</t>
  </si>
  <si>
    <t>- Assume ULSHO energy content is same as #1 based on data reported from 2009 Brookhaven Labs study</t>
  </si>
  <si>
    <t>Energy Prices Residential Distillate Fuel Oil (Region Pacific)</t>
  </si>
  <si>
    <t>EIA Distillate EC:</t>
  </si>
  <si>
    <t>https://www.eia.gov/energyexplained/?page=about_energy_units</t>
  </si>
  <si>
    <t>mmBTU/bbl</t>
  </si>
  <si>
    <t>https://www.eia.gov/totalenergy/data/monthly/pdf/sec13_3.pdf</t>
  </si>
  <si>
    <t>gal/bbl</t>
  </si>
  <si>
    <t>Source: U.S. Energy Information Administration</t>
  </si>
  <si>
    <t>% change Ref case</t>
  </si>
  <si>
    <t>% change high oil price</t>
  </si>
  <si>
    <t>% change low oil price</t>
  </si>
  <si>
    <t>FAI Indexed Ref case $/Gal</t>
  </si>
  <si>
    <t>FAI Indexed high oil price $/Gal</t>
  </si>
  <si>
    <t>FAI Indexed low oil price $/Gal</t>
  </si>
  <si>
    <t>EIA-Based Forecasted Heating Oil Prices</t>
  </si>
  <si>
    <t>Effort</t>
  </si>
  <si>
    <t>Criteria</t>
  </si>
  <si>
    <t>Medium</t>
  </si>
  <si>
    <t>Requires minor modification to existing program</t>
  </si>
  <si>
    <t>Requires significant modification to existing program</t>
  </si>
  <si>
    <t>Requires development of new and/or complex program elements</t>
  </si>
  <si>
    <t>Labor Categories</t>
  </si>
  <si>
    <t>Effort (FTE)</t>
  </si>
  <si>
    <t>Program only addresses new construction, new devices, or limited set of devices</t>
  </si>
  <si>
    <t>Program addresses significant portion of device population</t>
  </si>
  <si>
    <t>Program address entire population of devices</t>
  </si>
  <si>
    <t>Labor Cost</t>
  </si>
  <si>
    <t>per FTE</t>
  </si>
  <si>
    <t xml:space="preserve">Labor cost derived from FNSB 2019 budget breadout. Includes management, supervisory, and technical staff. Averaged for department. Costs include: salary, benefits, office supplies, computer supplies, operating supplies, equipent, contractor support, communications, travel, training, advertising, janitoral, and utilities. </t>
  </si>
  <si>
    <t>Average cost of FTE</t>
  </si>
  <si>
    <t>Program Development Cost (one time capital cost)</t>
  </si>
  <si>
    <t>Life of program:</t>
  </si>
  <si>
    <t>CRR=</t>
  </si>
  <si>
    <t>Annualized Cost</t>
  </si>
  <si>
    <t>Effort:</t>
  </si>
  <si>
    <t>None</t>
  </si>
  <si>
    <t>For List</t>
  </si>
  <si>
    <t>Daily</t>
  </si>
  <si>
    <t xml:space="preserve">  - Assume 98% of commercial buildings use heating oil (remaining 2% use natural gas) -- consistent with SIP EI assumption</t>
  </si>
  <si>
    <t>Affected Fuel/Sector (mmBTU/avg annual day)</t>
  </si>
  <si>
    <t>% Change</t>
  </si>
  <si>
    <t>Petro Star, 7/11/19 email, LHV</t>
  </si>
  <si>
    <t>Wood, tons/year</t>
  </si>
  <si>
    <t>Commercial heating oil, gallons/year</t>
  </si>
  <si>
    <t>Residential heating oil, gallons/year</t>
  </si>
  <si>
    <t>Total Building</t>
  </si>
  <si>
    <t>Space (ft2)</t>
  </si>
  <si>
    <t>SubArea</t>
  </si>
  <si>
    <t>R-2026</t>
  </si>
  <si>
    <t>R-2027</t>
  </si>
  <si>
    <t>R-2028</t>
  </si>
  <si>
    <t>R-2029</t>
  </si>
  <si>
    <t>R-2030</t>
  </si>
  <si>
    <t>R-2031</t>
  </si>
  <si>
    <t>R-2032</t>
  </si>
  <si>
    <t>R-2033</t>
  </si>
  <si>
    <t>R-2034</t>
  </si>
  <si>
    <t>R-2035</t>
  </si>
  <si>
    <t>O-2026</t>
  </si>
  <si>
    <t>O-2027</t>
  </si>
  <si>
    <t>O-2028</t>
  </si>
  <si>
    <t>O-2029</t>
  </si>
  <si>
    <t>O-2030</t>
  </si>
  <si>
    <t>O-2031</t>
  </si>
  <si>
    <t>O-2032</t>
  </si>
  <si>
    <t>O-2033</t>
  </si>
  <si>
    <t>O-2034</t>
  </si>
  <si>
    <t>O-2035</t>
  </si>
  <si>
    <t>NR-2026</t>
  </si>
  <si>
    <t>NR-2027</t>
  </si>
  <si>
    <t>NR-2028</t>
  </si>
  <si>
    <t>NR-2029</t>
  </si>
  <si>
    <t>NR-2030</t>
  </si>
  <si>
    <t>NR-2031</t>
  </si>
  <si>
    <t>NR-2032</t>
  </si>
  <si>
    <t>NR-2033</t>
  </si>
  <si>
    <t>NR-2034</t>
  </si>
  <si>
    <t>NR-2035</t>
  </si>
  <si>
    <t>RDH-2026</t>
  </si>
  <si>
    <t>RDH-2027</t>
  </si>
  <si>
    <t>RDH-2028</t>
  </si>
  <si>
    <t>RDH-2029</t>
  </si>
  <si>
    <t>RDH-2030</t>
  </si>
  <si>
    <t>RDH-2031</t>
  </si>
  <si>
    <t>RDH-2032</t>
  </si>
  <si>
    <t>RDH-2033</t>
  </si>
  <si>
    <t>RDH-2034</t>
  </si>
  <si>
    <t>RDH-2035</t>
  </si>
  <si>
    <t>NRDH-2026</t>
  </si>
  <si>
    <t>NRDH-2027</t>
  </si>
  <si>
    <t>NRDH-2028</t>
  </si>
  <si>
    <t>NRDH-2029</t>
  </si>
  <si>
    <t>NRDH-2030</t>
  </si>
  <si>
    <t>NRDH-2031</t>
  </si>
  <si>
    <t>NRDH-2032</t>
  </si>
  <si>
    <t>NRDH-2033</t>
  </si>
  <si>
    <t>NRDH-2034</t>
  </si>
  <si>
    <t>NRDH-2035</t>
  </si>
  <si>
    <t>Fairbanks</t>
  </si>
  <si>
    <t>North Pole:</t>
  </si>
  <si>
    <t>Remainder of Noattainment Area:</t>
  </si>
  <si>
    <t xml:space="preserve"> Content ppm)</t>
  </si>
  <si>
    <t>&lt;500</t>
  </si>
  <si>
    <t>&lt;16</t>
  </si>
  <si>
    <t>AP-42, Table 1.10-1, Barnett, 1992, "Summary report of the In-Home Emissions and Efficiency Performance of Five Commercially Available Masonry Heaters"</t>
  </si>
  <si>
    <t>EPA, AP-42 Tables 1.4-1 &amp; 1.4-2 for all but PM and NH3 - BNL Report BNL-91286-2009-IR NG mean for PM, EPA/Pechan for NH3</t>
  </si>
  <si>
    <t>BSR, 2019</t>
  </si>
  <si>
    <t>Uncertified Residential Solid-Fuel Heaters (cordwood insert/stove, OWB, Coal Ht):</t>
  </si>
  <si>
    <t>BSR, 2020</t>
  </si>
  <si>
    <t>BSR, 2021</t>
  </si>
  <si>
    <t>BSR, 2022</t>
  </si>
  <si>
    <t>BSR, 2023</t>
  </si>
  <si>
    <t>BSR, 2024</t>
  </si>
  <si>
    <t>BSR, 2025</t>
  </si>
  <si>
    <t>BSR, 2026</t>
  </si>
  <si>
    <t>BSR, 2027</t>
  </si>
  <si>
    <t>BSR, 2028</t>
  </si>
  <si>
    <t>BSR, 2029</t>
  </si>
  <si>
    <t>&lt;-- Avg 2011-2015 (HH Survey period)</t>
  </si>
  <si>
    <t>(2.790-3.050)</t>
  </si>
  <si>
    <t>(2.840-3.050)</t>
  </si>
  <si>
    <r>
      <rPr>
        <u/>
        <sz val="11"/>
        <color indexed="8"/>
        <rFont val="Calibri"/>
        <family val="2"/>
        <scheme val="minor"/>
      </rPr>
      <t>Sources</t>
    </r>
    <r>
      <rPr>
        <sz val="11"/>
        <color indexed="8"/>
        <rFont val="Calibri"/>
        <family val="2"/>
        <scheme val="minor"/>
      </rPr>
      <t>:</t>
    </r>
  </si>
  <si>
    <t xml:space="preserve">Actual - </t>
  </si>
  <si>
    <t xml:space="preserve">Forecasted - </t>
  </si>
  <si>
    <t>Table 3.  Energy Prices by Sector and Source</t>
  </si>
  <si>
    <t>Relative Reduction, #1 to ULS:</t>
  </si>
  <si>
    <t>Price Premium for ULS Oil:</t>
  </si>
  <si>
    <t>per 2015 Brookhaven report (BNL-108353-2015-IR), showing 12% increase from 15 ppm S vs. 2000 ppm S</t>
  </si>
  <si>
    <t>&lt;-- WtFacs</t>
  </si>
  <si>
    <t>Epsd/Ann</t>
  </si>
  <si>
    <t>Episodic vs. Annual</t>
  </si>
  <si>
    <t>Heating Fuel Use:</t>
  </si>
  <si>
    <t>Replace Current (2020) Space Heating Oil with Ultra Low Sulfur (ULS) Heating Oil</t>
  </si>
  <si>
    <t>(from Oct 2022 Fairbanks Heating Oil Appliance Cleaning Survey)</t>
  </si>
  <si>
    <t>(interpolated from above)</t>
  </si>
  <si>
    <t xml:space="preserve">Fairbanks Base 68% #2 &amp; 32% #1 Heating Oil Sulfur Content (ppm) = </t>
  </si>
  <si>
    <t>(from 2015 Brookhaven report BNL-108353-2015-IR, page 38)</t>
  </si>
  <si>
    <t>Annual Fuel Use Decrease from Reduced Fouling (ULS vs. 2000 ppm) =</t>
  </si>
  <si>
    <t xml:space="preserve">Average Duration Between Boiler Cleanings (900 ppm #1 Fuel) = </t>
  </si>
  <si>
    <t>per 2015 Brookhaven report (BNL-108353-2015-IR), page 38</t>
  </si>
  <si>
    <t>Combined SO2 and PM2.5 Cost Effectiveness =</t>
  </si>
  <si>
    <t>SO2/Sulfate Weighting Factor:</t>
  </si>
  <si>
    <t>Direct PM2.5 Weighting Factor:</t>
  </si>
  <si>
    <t>/ton combined SO2 and PM2.5</t>
  </si>
  <si>
    <t>BNL Fouling Rate Improvement Factor (ULS Relative to #2) =</t>
  </si>
  <si>
    <t>(from local survey interval x BNL fouling improvement factor below)</t>
  </si>
  <si>
    <t>(2.330-2.580)</t>
  </si>
  <si>
    <t>(2.340-2.450)</t>
  </si>
  <si>
    <t>(3.210-3.420)</t>
  </si>
  <si>
    <t>(3.330-3.420)</t>
  </si>
  <si>
    <t>FNSB, Community Research Surveys, 2000-2021. (Prices based on automatic delivery of 500 gallons of heating oil, without early payment discount.)</t>
  </si>
  <si>
    <t>Energy Information Administration (EIA), Annual Energy Outlook (AEO) 2022, Tables 3.9</t>
  </si>
  <si>
    <t>https://www.eia.gov/outlooks/aeo/data/browser/#/?id=3-AEO2022&amp;region=1-9&amp;cases=ref2022~highprice~lowprice&amp;start=2020&amp;end=2050&amp;f=A&amp;sourcekey=0</t>
  </si>
  <si>
    <t>Tue Apr 19 2022 19:20:14 GMT-0600 (Mountain Daylight Time)</t>
  </si>
  <si>
    <t>Ref case $/MMBtu 2021</t>
  </si>
  <si>
    <t xml:space="preserve">High oil price $/MMBtu 2021 </t>
  </si>
  <si>
    <t>Low oil price $/MMBtu 2021</t>
  </si>
  <si>
    <t>Ref case $/Gallon 2021</t>
  </si>
  <si>
    <t xml:space="preserve">High oil price $/Gallon 2021 </t>
  </si>
  <si>
    <t>Low oil price $/Gallon 2021</t>
  </si>
  <si>
    <t>(4.920-4.490)</t>
  </si>
  <si>
    <t xml:space="preserve">Average Base Heating Oil Market Price Projected in 2021 (from SIP) = </t>
  </si>
  <si>
    <t>Scenario</t>
  </si>
  <si>
    <t>ULSRev1</t>
  </si>
  <si>
    <t>ULSRev2</t>
  </si>
  <si>
    <t>ULSRev3</t>
  </si>
  <si>
    <t>ULSRev5a</t>
  </si>
  <si>
    <t>ULSRev4</t>
  </si>
  <si>
    <t>ULSRev5b</t>
  </si>
  <si>
    <t>Combined</t>
  </si>
  <si>
    <t>July 2022 Peak #2 Heating Oil Market Price =</t>
  </si>
  <si>
    <t xml:space="preserve">Average Cost for Fairbanks Oil Boiler Cleaning/Maintenance = </t>
  </si>
  <si>
    <t>#2 to #1 Fuel Oil Additive Price Increase =</t>
  </si>
  <si>
    <t>#1 to ULS Oil Additive Price Increase =</t>
  </si>
  <si>
    <t>#2 to ULS Oil Additive Price Increase =</t>
  </si>
  <si>
    <t>#2 to #1 Fuel Oil Relative Price Increase =</t>
  </si>
  <si>
    <t>#1 to ULS Oil Relative Price Increase =</t>
  </si>
  <si>
    <t>#2 to ULS Oil Relative Price Increase =</t>
  </si>
  <si>
    <t>(reported by Fairbanks residents July 2022)</t>
  </si>
  <si>
    <t>(ADEC 2019 Residential Fuel Expenditure Report, from Table 3)</t>
  </si>
  <si>
    <t>(ADEC 2019 Residential Fuel Expenditure Report, from Tables 2 and 3)</t>
  </si>
  <si>
    <t>(ADEC 2019 Residential Fuel Expenditure Report, from Table 2)</t>
  </si>
  <si>
    <t>(ADEC 2019 Residential Fuel Expenditure Report, computed from Tables 2 and 3)</t>
  </si>
  <si>
    <t>(ADEC 2019 Residential Fuel Expenditure Report, computed from Table 2)</t>
  </si>
  <si>
    <t>(ADEC 2019 Residential Fuel Expenditure Report, computed from Table 3)</t>
  </si>
  <si>
    <t>Measure 51ULS - Revision 1 (Annual Energy Use)</t>
  </si>
  <si>
    <t>Measure 51ULS - Revision 5b (Local Oil Device Survey Data &amp; Adjusted ULSD Maint Interval)</t>
  </si>
  <si>
    <t>Measure 51ULS - Revision 5a (Local Oil Device Survey Data &amp; BNL ULSD Maint Interval)</t>
  </si>
  <si>
    <t>Measure 51ULS - Revision 4 (Correction of Fuel Use Impacts from Reduced Boiler Fouling)</t>
  </si>
  <si>
    <t>Measure 51ULS - Revision 3 (Combined and Weighted Cost Effectiveness)</t>
  </si>
  <si>
    <t>Measure 51ULS - Revision 2 (Wood/Oil Efficiency Adjustment)</t>
  </si>
  <si>
    <t>Measure 51ULS - Revision 6 (Revision 5a with High Base Fuel Price, Additive ULSD Price Increase)</t>
  </si>
  <si>
    <t>ULSRev6</t>
  </si>
  <si>
    <t>Measure 51ULS - Revision 7L (Low Base Fuel Price, Relative ULSD Price Increase)</t>
  </si>
  <si>
    <t>Measure 51ULS - Revision 7H (High Base Fuel Price, Relative ULSD Price Increase)</t>
  </si>
  <si>
    <t>ULSRev7L</t>
  </si>
  <si>
    <t>ULSRev7H</t>
  </si>
  <si>
    <t>scaled per 2015 Brookhaven report (BNL-108353-2015-IR), showing 1.5% increase from 15 ppm S vs. 2000 ppm S</t>
  </si>
  <si>
    <t>&lt;-- #1/#2 Blend Sulfur Level (ppm)</t>
  </si>
  <si>
    <t>Relative Reduction, #2 mix to #1:</t>
  </si>
  <si>
    <t>Measure 51ULS - Revision 8LR (#1 as Baseline Fuel, Low Fuel Price, Relative ULSD Price Increase)</t>
  </si>
  <si>
    <t>Measure 51ULS - Revision 8HR (#1 as Baseline Fuel, High Fuel Price, Relative ULSD Price Increase)</t>
  </si>
  <si>
    <t>Measure 51ULS - Revision 8HA (#1 as Baseline Fuel, High Fuel Price, Additive ULSD Price Increase)</t>
  </si>
  <si>
    <t>Measure 51ULS - Revision 8LA (#1 as Baseline Fuel, Low Fuel Price, Additive ULSD Price Increase)</t>
  </si>
  <si>
    <t>ULSRev8LA</t>
  </si>
  <si>
    <t>ULSRev8HA</t>
  </si>
  <si>
    <t>ULSRev8LR</t>
  </si>
  <si>
    <t>ULSRev8HR</t>
  </si>
  <si>
    <t>Summary of Revised ULSD Cost Effectiveness Analysis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</si>
</sst>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"/>
    <numFmt numFmtId="165" formatCode="0.000"/>
    <numFmt numFmtId="166" formatCode="#,##0.000"/>
    <numFmt numFmtId="167" formatCode="#,##0.0"/>
    <numFmt numFmtId="168" formatCode="&quot;$&quot;#,##0.000_);[Red]\(&quot;$&quot;#,##0.000\)"/>
    <numFmt numFmtId="169" formatCode="0.0000"/>
    <numFmt numFmtId="170" formatCode="0.0%"/>
    <numFmt numFmtId="171" formatCode="&quot;$&quot;#,##0.00"/>
    <numFmt numFmtId="172" formatCode="&quot;$&quot;#,##0.0000"/>
    <numFmt numFmtId="173" formatCode="&quot;$&quot;#,##0.000"/>
    <numFmt numFmtId="174" formatCode="&quot;$&quot;#,##0"/>
    <numFmt numFmtId="175" formatCode="0.000000"/>
    <numFmt numFmtId="176" formatCode="0.000;[Red]\-0.000"/>
    <numFmt numFmtId="177" formatCode="_(&quot;$&quot;* #,##0_);_(&quot;$&quot;* \(#,##0\);_(&quot;$&quot;* &quot;-&quot;??_);_(@_)"/>
    <numFmt numFmtId="178" formatCode="0.00000"/>
    <numFmt numFmtId="179" formatCode="\+#,##0;\-#,##0"/>
    <numFmt numFmtId="180" formatCode="0.00;[Red]\-0.00"/>
    <numFmt numFmtId="181" formatCode="\+0.0%;[Red]\-0.0%"/>
  </numFmts>
  <fonts count="5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7030A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u/>
      <sz val="11"/>
      <color indexed="12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name val="MS Sans Serif"/>
    </font>
    <font>
      <i/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1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</font>
    <font>
      <u/>
      <sz val="11"/>
      <name val="Calibri"/>
      <family val="2"/>
      <scheme val="minor"/>
    </font>
    <font>
      <sz val="11"/>
      <color theme="1"/>
      <name val="Calibri"/>
      <family val="2"/>
    </font>
    <font>
      <b/>
      <u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0"/>
      <color rgb="FF0000FF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2" fillId="0" borderId="0"/>
    <xf numFmtId="9" fontId="1" fillId="0" borderId="0" applyFont="0" applyFill="0" applyBorder="0" applyAlignment="0" applyProtection="0"/>
    <xf numFmtId="0" fontId="2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0" fontId="48" fillId="0" borderId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523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/>
    <xf numFmtId="165" fontId="0" fillId="0" borderId="0" xfId="0" applyNumberFormat="1"/>
    <xf numFmtId="0" fontId="0" fillId="0" borderId="1" xfId="0" applyBorder="1" applyAlignment="1">
      <alignment horizontal="center"/>
    </xf>
    <xf numFmtId="9" fontId="10" fillId="0" borderId="0" xfId="1" applyFont="1" applyAlignment="1">
      <alignment horizontal="center"/>
    </xf>
    <xf numFmtId="165" fontId="10" fillId="0" borderId="0" xfId="0" applyNumberFormat="1" applyFont="1"/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19" fillId="0" borderId="0" xfId="0" applyFont="1"/>
    <xf numFmtId="1" fontId="0" fillId="0" borderId="0" xfId="0" applyNumberFormat="1"/>
    <xf numFmtId="2" fontId="0" fillId="0" borderId="0" xfId="0" applyNumberFormat="1"/>
    <xf numFmtId="0" fontId="0" fillId="0" borderId="2" xfId="0" applyBorder="1" applyAlignment="1">
      <alignment horizontal="center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/>
    </xf>
    <xf numFmtId="0" fontId="6" fillId="0" borderId="0" xfId="0" applyFont="1"/>
    <xf numFmtId="167" fontId="8" fillId="6" borderId="0" xfId="0" applyNumberFormat="1" applyFont="1" applyFill="1"/>
    <xf numFmtId="0" fontId="23" fillId="0" borderId="0" xfId="0" applyFont="1" applyAlignment="1">
      <alignment horizontal="right"/>
    </xf>
    <xf numFmtId="0" fontId="23" fillId="6" borderId="0" xfId="0" applyFont="1" applyFill="1" applyAlignment="1">
      <alignment horizontal="right"/>
    </xf>
    <xf numFmtId="0" fontId="23" fillId="0" borderId="0" xfId="0" applyFont="1"/>
    <xf numFmtId="4" fontId="8" fillId="6" borderId="0" xfId="0" applyNumberFormat="1" applyFont="1" applyFill="1"/>
    <xf numFmtId="2" fontId="23" fillId="6" borderId="0" xfId="0" applyNumberFormat="1" applyFont="1" applyFill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/>
    <xf numFmtId="0" fontId="25" fillId="0" borderId="0" xfId="0" applyFont="1" applyAlignment="1">
      <alignment horizontal="center"/>
    </xf>
    <xf numFmtId="3" fontId="23" fillId="6" borderId="0" xfId="0" applyNumberFormat="1" applyFont="1" applyFill="1"/>
    <xf numFmtId="2" fontId="23" fillId="7" borderId="0" xfId="0" applyNumberFormat="1" applyFont="1" applyFill="1"/>
    <xf numFmtId="165" fontId="23" fillId="8" borderId="0" xfId="0" applyNumberFormat="1" applyFont="1" applyFill="1"/>
    <xf numFmtId="4" fontId="23" fillId="9" borderId="0" xfId="0" applyNumberFormat="1" applyFont="1" applyFill="1"/>
    <xf numFmtId="4" fontId="23" fillId="10" borderId="0" xfId="0" applyNumberFormat="1" applyFont="1" applyFill="1"/>
    <xf numFmtId="3" fontId="8" fillId="6" borderId="0" xfId="0" applyNumberFormat="1" applyFont="1" applyFill="1"/>
    <xf numFmtId="4" fontId="23" fillId="0" borderId="0" xfId="0" applyNumberFormat="1" applyFont="1"/>
    <xf numFmtId="0" fontId="26" fillId="0" borderId="0" xfId="6" applyFont="1" applyAlignment="1" applyProtection="1"/>
    <xf numFmtId="0" fontId="7" fillId="0" borderId="0" xfId="0" applyFont="1"/>
    <xf numFmtId="0" fontId="24" fillId="9" borderId="0" xfId="0" applyFont="1" applyFill="1" applyAlignment="1">
      <alignment horizontal="center"/>
    </xf>
    <xf numFmtId="0" fontId="24" fillId="10" borderId="0" xfId="0" applyFont="1" applyFill="1" applyAlignment="1">
      <alignment horizontal="center"/>
    </xf>
    <xf numFmtId="0" fontId="7" fillId="0" borderId="0" xfId="0" applyFont="1" applyAlignment="1">
      <alignment horizontal="right"/>
    </xf>
    <xf numFmtId="164" fontId="24" fillId="9" borderId="0" xfId="0" applyNumberFormat="1" applyFont="1" applyFill="1"/>
    <xf numFmtId="164" fontId="24" fillId="10" borderId="0" xfId="0" applyNumberFormat="1" applyFont="1" applyFill="1"/>
    <xf numFmtId="164" fontId="0" fillId="0" borderId="0" xfId="0" applyNumberFormat="1"/>
    <xf numFmtId="0" fontId="12" fillId="0" borderId="0" xfId="2" applyFont="1"/>
    <xf numFmtId="0" fontId="24" fillId="0" borderId="0" xfId="0" applyFont="1" applyAlignment="1">
      <alignment horizontal="right"/>
    </xf>
    <xf numFmtId="0" fontId="24" fillId="9" borderId="0" xfId="0" applyFont="1" applyFill="1"/>
    <xf numFmtId="0" fontId="24" fillId="10" borderId="0" xfId="0" applyFont="1" applyFill="1"/>
    <xf numFmtId="0" fontId="10" fillId="0" borderId="0" xfId="2" applyFont="1"/>
    <xf numFmtId="0" fontId="3" fillId="0" borderId="0" xfId="0" applyFont="1"/>
    <xf numFmtId="3" fontId="0" fillId="0" borderId="0" xfId="0" applyNumberFormat="1"/>
    <xf numFmtId="2" fontId="24" fillId="0" borderId="0" xfId="0" applyNumberFormat="1" applyFont="1"/>
    <xf numFmtId="166" fontId="4" fillId="4" borderId="0" xfId="0" applyNumberFormat="1" applyFont="1" applyFill="1"/>
    <xf numFmtId="0" fontId="12" fillId="0" borderId="0" xfId="7" applyFont="1"/>
    <xf numFmtId="0" fontId="0" fillId="0" borderId="1" xfId="0" applyBorder="1"/>
    <xf numFmtId="0" fontId="8" fillId="0" borderId="1" xfId="0" applyFont="1" applyBorder="1" applyAlignment="1">
      <alignment horizontal="center"/>
    </xf>
    <xf numFmtId="6" fontId="8" fillId="6" borderId="0" xfId="0" applyNumberFormat="1" applyFont="1" applyFill="1"/>
    <xf numFmtId="9" fontId="4" fillId="2" borderId="0" xfId="1" applyFont="1" applyFill="1"/>
    <xf numFmtId="8" fontId="8" fillId="6" borderId="0" xfId="0" applyNumberFormat="1" applyFont="1" applyFill="1"/>
    <xf numFmtId="168" fontId="8" fillId="6" borderId="0" xfId="0" applyNumberFormat="1" applyFont="1" applyFill="1"/>
    <xf numFmtId="0" fontId="0" fillId="4" borderId="0" xfId="0" applyFill="1"/>
    <xf numFmtId="9" fontId="8" fillId="3" borderId="0" xfId="1" applyFont="1" applyFill="1" applyAlignment="1">
      <alignment horizontal="center"/>
    </xf>
    <xf numFmtId="165" fontId="27" fillId="0" borderId="0" xfId="0" applyNumberFormat="1" applyFont="1"/>
    <xf numFmtId="11" fontId="0" fillId="0" borderId="0" xfId="0" applyNumberFormat="1"/>
    <xf numFmtId="0" fontId="0" fillId="11" borderId="1" xfId="0" applyFill="1" applyBorder="1" applyAlignment="1">
      <alignment horizontal="center"/>
    </xf>
    <xf numFmtId="9" fontId="0" fillId="0" borderId="0" xfId="0" applyNumberFormat="1" applyAlignment="1">
      <alignment horizontal="center"/>
    </xf>
    <xf numFmtId="165" fontId="0" fillId="11" borderId="0" xfId="0" applyNumberFormat="1" applyFill="1"/>
    <xf numFmtId="9" fontId="0" fillId="0" borderId="0" xfId="1" applyFont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0" xfId="0" applyFont="1" applyAlignment="1">
      <alignment horizontal="right"/>
    </xf>
    <xf numFmtId="9" fontId="30" fillId="4" borderId="0" xfId="0" applyNumberFormat="1" applyFont="1" applyFill="1" applyAlignment="1">
      <alignment horizontal="center"/>
    </xf>
    <xf numFmtId="2" fontId="30" fillId="4" borderId="0" xfId="0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5" fontId="0" fillId="12" borderId="0" xfId="0" applyNumberFormat="1" applyFill="1" applyAlignment="1">
      <alignment horizontal="center"/>
    </xf>
    <xf numFmtId="2" fontId="0" fillId="11" borderId="0" xfId="0" applyNumberFormat="1" applyFill="1" applyAlignment="1">
      <alignment horizontal="center"/>
    </xf>
    <xf numFmtId="164" fontId="31" fillId="2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4" fontId="31" fillId="2" borderId="2" xfId="0" applyNumberFormat="1" applyFont="1" applyFill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2" fontId="0" fillId="11" borderId="2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2" fontId="0" fillId="11" borderId="4" xfId="0" applyNumberFormat="1" applyFill="1" applyBorder="1" applyAlignment="1">
      <alignment horizontal="center"/>
    </xf>
    <xf numFmtId="0" fontId="0" fillId="0" borderId="4" xfId="0" applyBorder="1"/>
    <xf numFmtId="164" fontId="0" fillId="11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164" fontId="0" fillId="11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165" fontId="0" fillId="0" borderId="2" xfId="0" applyNumberFormat="1" applyBorder="1" applyAlignment="1">
      <alignment horizontal="center"/>
    </xf>
    <xf numFmtId="0" fontId="31" fillId="0" borderId="0" xfId="0" applyFont="1"/>
    <xf numFmtId="0" fontId="4" fillId="0" borderId="0" xfId="0" applyFont="1"/>
    <xf numFmtId="0" fontId="4" fillId="0" borderId="1" xfId="0" applyFont="1" applyBorder="1" applyAlignment="1">
      <alignment horizontal="center"/>
    </xf>
    <xf numFmtId="3" fontId="4" fillId="0" borderId="0" xfId="0" applyNumberFormat="1" applyFont="1"/>
    <xf numFmtId="3" fontId="0" fillId="0" borderId="2" xfId="0" applyNumberFormat="1" applyBorder="1"/>
    <xf numFmtId="170" fontId="0" fillId="0" borderId="0" xfId="0" applyNumberFormat="1"/>
    <xf numFmtId="9" fontId="0" fillId="2" borderId="0" xfId="0" applyNumberFormat="1" applyFill="1" applyAlignment="1">
      <alignment horizontal="center"/>
    </xf>
    <xf numFmtId="0" fontId="10" fillId="0" borderId="0" xfId="10" applyFont="1" applyAlignment="1">
      <alignment horizontal="left" indent="1"/>
    </xf>
    <xf numFmtId="3" fontId="9" fillId="0" borderId="0" xfId="0" applyNumberFormat="1" applyFont="1"/>
    <xf numFmtId="169" fontId="0" fillId="0" borderId="0" xfId="0" applyNumberFormat="1"/>
    <xf numFmtId="167" fontId="0" fillId="0" borderId="0" xfId="0" applyNumberFormat="1"/>
    <xf numFmtId="169" fontId="0" fillId="0" borderId="2" xfId="0" applyNumberFormat="1" applyBorder="1"/>
    <xf numFmtId="167" fontId="0" fillId="0" borderId="2" xfId="0" applyNumberFormat="1" applyBorder="1"/>
    <xf numFmtId="169" fontId="4" fillId="0" borderId="0" xfId="0" applyNumberFormat="1" applyFont="1"/>
    <xf numFmtId="0" fontId="12" fillId="0" borderId="1" xfId="7" applyFont="1" applyBorder="1" applyAlignment="1">
      <alignment horizontal="center"/>
    </xf>
    <xf numFmtId="0" fontId="12" fillId="0" borderId="0" xfId="7" applyFont="1" applyAlignment="1">
      <alignment horizontal="center"/>
    </xf>
    <xf numFmtId="9" fontId="17" fillId="0" borderId="0" xfId="1" applyFont="1" applyAlignment="1">
      <alignment horizontal="center"/>
    </xf>
    <xf numFmtId="0" fontId="17" fillId="0" borderId="0" xfId="7" applyFont="1" applyAlignment="1">
      <alignment horizontal="center"/>
    </xf>
    <xf numFmtId="0" fontId="17" fillId="0" borderId="0" xfId="7" applyFont="1"/>
    <xf numFmtId="0" fontId="17" fillId="0" borderId="2" xfId="7" applyFont="1" applyBorder="1"/>
    <xf numFmtId="0" fontId="17" fillId="0" borderId="2" xfId="7" applyFont="1" applyBorder="1" applyAlignment="1">
      <alignment horizontal="center"/>
    </xf>
    <xf numFmtId="0" fontId="12" fillId="0" borderId="2" xfId="7" applyFont="1" applyBorder="1" applyAlignment="1">
      <alignment horizontal="center"/>
    </xf>
    <xf numFmtId="3" fontId="12" fillId="0" borderId="0" xfId="7" applyNumberFormat="1" applyFont="1"/>
    <xf numFmtId="9" fontId="12" fillId="0" borderId="0" xfId="7" applyNumberFormat="1" applyFont="1" applyAlignment="1">
      <alignment horizontal="center"/>
    </xf>
    <xf numFmtId="171" fontId="12" fillId="0" borderId="0" xfId="7" applyNumberFormat="1" applyFont="1"/>
    <xf numFmtId="172" fontId="12" fillId="0" borderId="0" xfId="7" applyNumberFormat="1" applyFont="1"/>
    <xf numFmtId="173" fontId="12" fillId="0" borderId="0" xfId="7" applyNumberFormat="1" applyFont="1" applyAlignment="1">
      <alignment horizontal="center"/>
    </xf>
    <xf numFmtId="3" fontId="12" fillId="0" borderId="0" xfId="7" applyNumberFormat="1" applyFont="1" applyAlignment="1">
      <alignment horizontal="center"/>
    </xf>
    <xf numFmtId="8" fontId="12" fillId="0" borderId="0" xfId="7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0" fontId="12" fillId="0" borderId="0" xfId="7" quotePrefix="1" applyFont="1"/>
    <xf numFmtId="3" fontId="17" fillId="0" borderId="0" xfId="7" applyNumberFormat="1" applyFont="1"/>
    <xf numFmtId="9" fontId="17" fillId="0" borderId="0" xfId="7" applyNumberFormat="1" applyFont="1" applyAlignment="1">
      <alignment horizontal="center"/>
    </xf>
    <xf numFmtId="171" fontId="17" fillId="0" borderId="0" xfId="7" applyNumberFormat="1" applyFont="1"/>
    <xf numFmtId="0" fontId="17" fillId="0" borderId="0" xfId="7" quotePrefix="1" applyFont="1"/>
    <xf numFmtId="0" fontId="35" fillId="0" borderId="0" xfId="7" applyFont="1"/>
    <xf numFmtId="8" fontId="12" fillId="0" borderId="0" xfId="7" applyNumberFormat="1" applyFont="1"/>
    <xf numFmtId="171" fontId="36" fillId="4" borderId="0" xfId="0" applyNumberFormat="1" applyFont="1" applyFill="1" applyAlignment="1">
      <alignment horizontal="center"/>
    </xf>
    <xf numFmtId="171" fontId="12" fillId="0" borderId="0" xfId="7" applyNumberFormat="1" applyFont="1" applyAlignment="1">
      <alignment horizontal="center"/>
    </xf>
    <xf numFmtId="0" fontId="37" fillId="0" borderId="0" xfId="7" applyFont="1"/>
    <xf numFmtId="170" fontId="17" fillId="0" borderId="0" xfId="1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170" fontId="17" fillId="0" borderId="2" xfId="1" applyNumberFormat="1" applyFont="1" applyBorder="1" applyAlignment="1">
      <alignment horizontal="center"/>
    </xf>
    <xf numFmtId="170" fontId="4" fillId="0" borderId="2" xfId="0" applyNumberFormat="1" applyFont="1" applyBorder="1" applyAlignment="1">
      <alignment horizontal="center"/>
    </xf>
    <xf numFmtId="170" fontId="17" fillId="0" borderId="0" xfId="7" applyNumberFormat="1" applyFont="1" applyAlignment="1">
      <alignment horizontal="center"/>
    </xf>
    <xf numFmtId="0" fontId="10" fillId="0" borderId="0" xfId="11" applyFont="1"/>
    <xf numFmtId="0" fontId="39" fillId="0" borderId="0" xfId="0" applyFont="1"/>
    <xf numFmtId="0" fontId="10" fillId="0" borderId="0" xfId="11" applyFont="1" applyAlignment="1">
      <alignment horizontal="left"/>
    </xf>
    <xf numFmtId="0" fontId="40" fillId="0" borderId="0" xfId="11" applyFont="1"/>
    <xf numFmtId="0" fontId="10" fillId="0" borderId="0" xfId="11" applyFont="1" applyAlignment="1">
      <alignment horizontal="right"/>
    </xf>
    <xf numFmtId="0" fontId="4" fillId="2" borderId="0" xfId="0" applyFont="1" applyFill="1"/>
    <xf numFmtId="0" fontId="41" fillId="0" borderId="0" xfId="11" applyFont="1"/>
    <xf numFmtId="0" fontId="42" fillId="0" borderId="0" xfId="11" applyFont="1" applyAlignment="1">
      <alignment horizontal="center"/>
    </xf>
    <xf numFmtId="9" fontId="4" fillId="2" borderId="0" xfId="0" applyNumberFormat="1" applyFont="1" applyFill="1"/>
    <xf numFmtId="170" fontId="4" fillId="2" borderId="0" xfId="0" applyNumberFormat="1" applyFont="1" applyFill="1"/>
    <xf numFmtId="170" fontId="2" fillId="0" borderId="0" xfId="0" applyNumberFormat="1" applyFont="1" applyAlignment="1">
      <alignment horizontal="center"/>
    </xf>
    <xf numFmtId="0" fontId="10" fillId="0" borderId="0" xfId="11" applyFont="1" applyAlignment="1">
      <alignment horizontal="center"/>
    </xf>
    <xf numFmtId="0" fontId="10" fillId="0" borderId="2" xfId="11" applyFont="1" applyBorder="1" applyAlignment="1">
      <alignment horizontal="center"/>
    </xf>
    <xf numFmtId="170" fontId="10" fillId="0" borderId="0" xfId="1" applyNumberFormat="1" applyFont="1"/>
    <xf numFmtId="165" fontId="10" fillId="0" borderId="0" xfId="1" applyNumberFormat="1" applyFont="1" applyAlignment="1">
      <alignment horizontal="center"/>
    </xf>
    <xf numFmtId="170" fontId="10" fillId="0" borderId="0" xfId="11" applyNumberFormat="1" applyFont="1"/>
    <xf numFmtId="3" fontId="10" fillId="14" borderId="0" xfId="11" applyNumberFormat="1" applyFont="1" applyFill="1"/>
    <xf numFmtId="3" fontId="10" fillId="0" borderId="0" xfId="11" applyNumberFormat="1" applyFont="1"/>
    <xf numFmtId="3" fontId="2" fillId="0" borderId="0" xfId="0" applyNumberFormat="1" applyFont="1"/>
    <xf numFmtId="4" fontId="10" fillId="0" borderId="0" xfId="11" applyNumberFormat="1" applyFont="1"/>
    <xf numFmtId="170" fontId="0" fillId="0" borderId="0" xfId="12" applyNumberFormat="1" applyFont="1"/>
    <xf numFmtId="170" fontId="10" fillId="4" borderId="0" xfId="11" applyNumberFormat="1" applyFont="1" applyFill="1"/>
    <xf numFmtId="165" fontId="10" fillId="4" borderId="0" xfId="1" applyNumberFormat="1" applyFont="1" applyFill="1" applyAlignment="1">
      <alignment horizontal="center"/>
    </xf>
    <xf numFmtId="3" fontId="10" fillId="4" borderId="0" xfId="11" applyNumberFormat="1" applyFont="1" applyFill="1"/>
    <xf numFmtId="3" fontId="2" fillId="4" borderId="0" xfId="0" applyNumberFormat="1" applyFont="1" applyFill="1"/>
    <xf numFmtId="4" fontId="10" fillId="4" borderId="0" xfId="11" applyNumberFormat="1" applyFont="1" applyFill="1"/>
    <xf numFmtId="170" fontId="10" fillId="11" borderId="0" xfId="11" applyNumberFormat="1" applyFont="1" applyFill="1"/>
    <xf numFmtId="165" fontId="10" fillId="11" borderId="0" xfId="1" applyNumberFormat="1" applyFont="1" applyFill="1" applyAlignment="1">
      <alignment horizontal="center"/>
    </xf>
    <xf numFmtId="3" fontId="10" fillId="11" borderId="0" xfId="11" applyNumberFormat="1" applyFont="1" applyFill="1"/>
    <xf numFmtId="3" fontId="2" fillId="11" borderId="0" xfId="0" applyNumberFormat="1" applyFont="1" applyFill="1"/>
    <xf numFmtId="4" fontId="10" fillId="11" borderId="0" xfId="11" applyNumberFormat="1" applyFont="1" applyFill="1"/>
    <xf numFmtId="170" fontId="10" fillId="15" borderId="0" xfId="1" applyNumberFormat="1" applyFont="1" applyFill="1"/>
    <xf numFmtId="165" fontId="10" fillId="15" borderId="0" xfId="1" applyNumberFormat="1" applyFont="1" applyFill="1" applyAlignment="1">
      <alignment horizontal="center"/>
    </xf>
    <xf numFmtId="3" fontId="10" fillId="15" borderId="0" xfId="11" applyNumberFormat="1" applyFont="1" applyFill="1"/>
    <xf numFmtId="3" fontId="2" fillId="15" borderId="0" xfId="0" applyNumberFormat="1" applyFont="1" applyFill="1"/>
    <xf numFmtId="4" fontId="10" fillId="15" borderId="0" xfId="11" applyNumberFormat="1" applyFont="1" applyFill="1"/>
    <xf numFmtId="9" fontId="10" fillId="13" borderId="0" xfId="11" applyNumberFormat="1" applyFont="1" applyFill="1"/>
    <xf numFmtId="165" fontId="10" fillId="13" borderId="0" xfId="1" applyNumberFormat="1" applyFont="1" applyFill="1" applyAlignment="1">
      <alignment horizontal="center"/>
    </xf>
    <xf numFmtId="170" fontId="10" fillId="13" borderId="0" xfId="1" applyNumberFormat="1" applyFont="1" applyFill="1"/>
    <xf numFmtId="3" fontId="10" fillId="13" borderId="0" xfId="11" applyNumberFormat="1" applyFont="1" applyFill="1"/>
    <xf numFmtId="3" fontId="2" fillId="13" borderId="0" xfId="0" applyNumberFormat="1" applyFont="1" applyFill="1"/>
    <xf numFmtId="4" fontId="10" fillId="13" borderId="0" xfId="11" applyNumberFormat="1" applyFont="1" applyFill="1"/>
    <xf numFmtId="170" fontId="10" fillId="16" borderId="0" xfId="11" applyNumberFormat="1" applyFont="1" applyFill="1"/>
    <xf numFmtId="165" fontId="10" fillId="16" borderId="0" xfId="1" applyNumberFormat="1" applyFont="1" applyFill="1" applyAlignment="1">
      <alignment horizontal="center"/>
    </xf>
    <xf numFmtId="170" fontId="10" fillId="16" borderId="0" xfId="1" applyNumberFormat="1" applyFont="1" applyFill="1"/>
    <xf numFmtId="3" fontId="10" fillId="16" borderId="0" xfId="11" applyNumberFormat="1" applyFont="1" applyFill="1"/>
    <xf numFmtId="3" fontId="2" fillId="16" borderId="0" xfId="0" applyNumberFormat="1" applyFont="1" applyFill="1"/>
    <xf numFmtId="4" fontId="10" fillId="16" borderId="0" xfId="11" applyNumberFormat="1" applyFont="1" applyFill="1"/>
    <xf numFmtId="169" fontId="10" fillId="17" borderId="0" xfId="11" applyNumberFormat="1" applyFont="1" applyFill="1"/>
    <xf numFmtId="0" fontId="9" fillId="0" borderId="0" xfId="0" applyFont="1" applyAlignment="1">
      <alignment horizontal="left"/>
    </xf>
    <xf numFmtId="165" fontId="10" fillId="0" borderId="0" xfId="11" applyNumberFormat="1" applyFont="1"/>
    <xf numFmtId="170" fontId="4" fillId="4" borderId="0" xfId="1" applyNumberFormat="1" applyFont="1" applyFill="1" applyAlignment="1">
      <alignment horizontal="center"/>
    </xf>
    <xf numFmtId="0" fontId="44" fillId="0" borderId="0" xfId="11" applyFont="1"/>
    <xf numFmtId="9" fontId="4" fillId="4" borderId="0" xfId="1" applyFont="1" applyFill="1" applyAlignment="1">
      <alignment horizontal="center"/>
    </xf>
    <xf numFmtId="9" fontId="4" fillId="2" borderId="0" xfId="1" applyFont="1" applyFill="1" applyAlignment="1">
      <alignment horizontal="center"/>
    </xf>
    <xf numFmtId="9" fontId="10" fillId="2" borderId="0" xfId="11" applyNumberFormat="1" applyFont="1" applyFill="1" applyAlignment="1">
      <alignment horizontal="center"/>
    </xf>
    <xf numFmtId="3" fontId="10" fillId="0" borderId="0" xfId="11" applyNumberFormat="1" applyFont="1" applyAlignment="1">
      <alignment horizontal="center"/>
    </xf>
    <xf numFmtId="3" fontId="8" fillId="0" borderId="0" xfId="11" applyNumberFormat="1" applyFont="1" applyAlignment="1">
      <alignment horizontal="center"/>
    </xf>
    <xf numFmtId="0" fontId="10" fillId="0" borderId="1" xfId="11" applyFont="1" applyBorder="1"/>
    <xf numFmtId="0" fontId="10" fillId="0" borderId="1" xfId="11" applyFont="1" applyBorder="1" applyAlignment="1">
      <alignment horizontal="center"/>
    </xf>
    <xf numFmtId="0" fontId="10" fillId="0" borderId="0" xfId="13" applyFont="1" applyAlignment="1">
      <alignment horizontal="right"/>
    </xf>
    <xf numFmtId="3" fontId="8" fillId="4" borderId="0" xfId="11" applyNumberFormat="1" applyFont="1" applyFill="1" applyAlignment="1">
      <alignment horizontal="center"/>
    </xf>
    <xf numFmtId="3" fontId="8" fillId="14" borderId="0" xfId="11" applyNumberFormat="1" applyFont="1" applyFill="1" applyAlignment="1">
      <alignment horizontal="center"/>
    </xf>
    <xf numFmtId="0" fontId="10" fillId="0" borderId="0" xfId="11" applyFont="1" applyAlignment="1">
      <alignment horizontal="left" indent="1"/>
    </xf>
    <xf numFmtId="170" fontId="10" fillId="0" borderId="7" xfId="1" applyNumberFormat="1" applyFont="1" applyBorder="1" applyAlignment="1">
      <alignment horizontal="center" vertical="center"/>
    </xf>
    <xf numFmtId="170" fontId="10" fillId="0" borderId="0" xfId="1" applyNumberFormat="1" applyFont="1" applyAlignment="1">
      <alignment horizontal="center"/>
    </xf>
    <xf numFmtId="9" fontId="10" fillId="0" borderId="0" xfId="11" applyNumberFormat="1" applyFont="1" applyAlignment="1">
      <alignment horizontal="center"/>
    </xf>
    <xf numFmtId="170" fontId="10" fillId="2" borderId="0" xfId="1" applyNumberFormat="1" applyFont="1" applyFill="1" applyAlignment="1">
      <alignment horizontal="center" vertical="center"/>
    </xf>
    <xf numFmtId="170" fontId="10" fillId="2" borderId="0" xfId="1" applyNumberFormat="1" applyFont="1" applyFill="1" applyAlignment="1">
      <alignment horizontal="center"/>
    </xf>
    <xf numFmtId="170" fontId="10" fillId="0" borderId="0" xfId="11" applyNumberFormat="1" applyFont="1" applyAlignment="1">
      <alignment horizontal="center"/>
    </xf>
    <xf numFmtId="0" fontId="10" fillId="0" borderId="1" xfId="11" applyFont="1" applyBorder="1" applyAlignment="1">
      <alignment horizontal="left" indent="1"/>
    </xf>
    <xf numFmtId="170" fontId="10" fillId="2" borderId="1" xfId="1" applyNumberFormat="1" applyFont="1" applyFill="1" applyBorder="1" applyAlignment="1">
      <alignment horizontal="center"/>
    </xf>
    <xf numFmtId="170" fontId="10" fillId="0" borderId="1" xfId="1" applyNumberFormat="1" applyFont="1" applyBorder="1" applyAlignment="1">
      <alignment horizontal="center"/>
    </xf>
    <xf numFmtId="0" fontId="8" fillId="0" borderId="0" xfId="11" applyFont="1"/>
    <xf numFmtId="170" fontId="8" fillId="11" borderId="0" xfId="1" applyNumberFormat="1" applyFont="1" applyFill="1" applyAlignment="1">
      <alignment horizontal="center"/>
    </xf>
    <xf numFmtId="170" fontId="8" fillId="15" borderId="0" xfId="11" applyNumberFormat="1" applyFont="1" applyFill="1" applyAlignment="1">
      <alignment horizontal="center"/>
    </xf>
    <xf numFmtId="170" fontId="8" fillId="4" borderId="0" xfId="11" applyNumberFormat="1" applyFont="1" applyFill="1" applyAlignment="1">
      <alignment horizontal="center"/>
    </xf>
    <xf numFmtId="2" fontId="8" fillId="14" borderId="0" xfId="11" applyNumberFormat="1" applyFont="1" applyFill="1" applyAlignment="1">
      <alignment horizontal="center"/>
    </xf>
    <xf numFmtId="170" fontId="10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right"/>
    </xf>
    <xf numFmtId="0" fontId="46" fillId="0" borderId="0" xfId="0" applyFont="1"/>
    <xf numFmtId="0" fontId="33" fillId="0" borderId="0" xfId="0" quotePrefix="1" applyFont="1" applyAlignment="1">
      <alignment horizontal="left" indent="1"/>
    </xf>
    <xf numFmtId="170" fontId="4" fillId="2" borderId="0" xfId="1" applyNumberFormat="1" applyFont="1" applyFill="1"/>
    <xf numFmtId="1" fontId="4" fillId="4" borderId="0" xfId="0" applyNumberFormat="1" applyFont="1" applyFill="1"/>
    <xf numFmtId="0" fontId="0" fillId="2" borderId="0" xfId="0" applyFill="1"/>
    <xf numFmtId="0" fontId="0" fillId="0" borderId="0" xfId="0" quotePrefix="1"/>
    <xf numFmtId="170" fontId="0" fillId="0" borderId="0" xfId="1" applyNumberFormat="1" applyFont="1"/>
    <xf numFmtId="0" fontId="33" fillId="0" borderId="0" xfId="0" applyFont="1"/>
    <xf numFmtId="0" fontId="33" fillId="4" borderId="0" xfId="0" applyFont="1" applyFill="1"/>
    <xf numFmtId="11" fontId="33" fillId="4" borderId="0" xfId="0" applyNumberFormat="1" applyFont="1" applyFill="1"/>
    <xf numFmtId="0" fontId="33" fillId="4" borderId="0" xfId="0" quotePrefix="1" applyFont="1" applyFill="1"/>
    <xf numFmtId="170" fontId="0" fillId="0" borderId="2" xfId="0" applyNumberFormat="1" applyBorder="1" applyAlignment="1">
      <alignment horizontal="center"/>
    </xf>
    <xf numFmtId="164" fontId="4" fillId="0" borderId="0" xfId="0" applyNumberFormat="1" applyFont="1"/>
    <xf numFmtId="2" fontId="0" fillId="0" borderId="0" xfId="0" applyNumberFormat="1" applyAlignment="1">
      <alignment horizontal="center"/>
    </xf>
    <xf numFmtId="9" fontId="0" fillId="0" borderId="0" xfId="0" applyNumberFormat="1"/>
    <xf numFmtId="0" fontId="15" fillId="0" borderId="8" xfId="0" applyFont="1" applyBorder="1"/>
    <xf numFmtId="0" fontId="0" fillId="0" borderId="9" xfId="0" applyBorder="1"/>
    <xf numFmtId="0" fontId="0" fillId="0" borderId="10" xfId="0" applyBorder="1"/>
    <xf numFmtId="0" fontId="15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50" fillId="0" borderId="0" xfId="0" applyFont="1"/>
    <xf numFmtId="175" fontId="0" fillId="0" borderId="0" xfId="0" applyNumberForma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51" fillId="0" borderId="0" xfId="0" applyFont="1"/>
    <xf numFmtId="3" fontId="0" fillId="2" borderId="0" xfId="0" applyNumberFormat="1" applyFill="1"/>
    <xf numFmtId="3" fontId="10" fillId="2" borderId="0" xfId="0" applyNumberFormat="1" applyFont="1" applyFill="1"/>
    <xf numFmtId="0" fontId="0" fillId="4" borderId="0" xfId="0" applyFill="1" applyAlignment="1">
      <alignment horizontal="center"/>
    </xf>
    <xf numFmtId="0" fontId="0" fillId="18" borderId="0" xfId="0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4" borderId="0" xfId="0" applyNumberFormat="1" applyFont="1" applyFill="1"/>
    <xf numFmtId="165" fontId="4" fillId="11" borderId="0" xfId="0" applyNumberFormat="1" applyFont="1" applyFill="1"/>
    <xf numFmtId="2" fontId="0" fillId="0" borderId="2" xfId="0" applyNumberFormat="1" applyBorder="1"/>
    <xf numFmtId="165" fontId="0" fillId="0" borderId="2" xfId="0" applyNumberFormat="1" applyBorder="1"/>
    <xf numFmtId="165" fontId="4" fillId="4" borderId="2" xfId="0" applyNumberFormat="1" applyFont="1" applyFill="1" applyBorder="1"/>
    <xf numFmtId="165" fontId="4" fillId="11" borderId="2" xfId="0" applyNumberFormat="1" applyFont="1" applyFill="1" applyBorder="1"/>
    <xf numFmtId="0" fontId="4" fillId="4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3" fontId="30" fillId="0" borderId="0" xfId="0" applyNumberFormat="1" applyFont="1"/>
    <xf numFmtId="0" fontId="12" fillId="0" borderId="2" xfId="7" applyFont="1" applyBorder="1"/>
    <xf numFmtId="170" fontId="0" fillId="11" borderId="0" xfId="0" applyNumberFormat="1" applyFill="1"/>
    <xf numFmtId="165" fontId="4" fillId="0" borderId="0" xfId="0" applyNumberFormat="1" applyFont="1"/>
    <xf numFmtId="0" fontId="0" fillId="19" borderId="2" xfId="0" applyFill="1" applyBorder="1" applyAlignment="1">
      <alignment horizontal="center"/>
    </xf>
    <xf numFmtId="0" fontId="4" fillId="19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2" fontId="0" fillId="4" borderId="0" xfId="0" applyNumberFormat="1" applyFill="1"/>
    <xf numFmtId="2" fontId="8" fillId="20" borderId="0" xfId="11" applyNumberFormat="1" applyFont="1" applyFill="1" applyAlignment="1">
      <alignment horizontal="center"/>
    </xf>
    <xf numFmtId="0" fontId="0" fillId="20" borderId="0" xfId="0" applyFill="1" applyAlignment="1">
      <alignment horizontal="center"/>
    </xf>
    <xf numFmtId="170" fontId="8" fillId="20" borderId="0" xfId="1" applyNumberFormat="1" applyFont="1" applyFill="1" applyAlignment="1">
      <alignment horizontal="center"/>
    </xf>
    <xf numFmtId="170" fontId="10" fillId="5" borderId="0" xfId="11" applyNumberFormat="1" applyFont="1" applyFill="1"/>
    <xf numFmtId="165" fontId="10" fillId="5" borderId="0" xfId="1" applyNumberFormat="1" applyFont="1" applyFill="1" applyAlignment="1">
      <alignment horizontal="center"/>
    </xf>
    <xf numFmtId="170" fontId="10" fillId="5" borderId="0" xfId="1" applyNumberFormat="1" applyFont="1" applyFill="1"/>
    <xf numFmtId="3" fontId="10" fillId="5" borderId="0" xfId="11" applyNumberFormat="1" applyFont="1" applyFill="1"/>
    <xf numFmtId="3" fontId="2" fillId="5" borderId="0" xfId="0" applyNumberFormat="1" applyFont="1" applyFill="1"/>
    <xf numFmtId="4" fontId="10" fillId="5" borderId="0" xfId="11" applyNumberFormat="1" applyFont="1" applyFill="1"/>
    <xf numFmtId="170" fontId="0" fillId="4" borderId="0" xfId="1" applyNumberFormat="1" applyFont="1" applyFill="1"/>
    <xf numFmtId="164" fontId="0" fillId="4" borderId="0" xfId="0" applyNumberFormat="1" applyFill="1"/>
    <xf numFmtId="0" fontId="0" fillId="11" borderId="0" xfId="0" applyFill="1"/>
    <xf numFmtId="0" fontId="0" fillId="11" borderId="0" xfId="0" applyFill="1" applyAlignment="1">
      <alignment horizontal="right"/>
    </xf>
    <xf numFmtId="164" fontId="0" fillId="11" borderId="0" xfId="0" applyNumberFormat="1" applyFill="1"/>
    <xf numFmtId="3" fontId="0" fillId="11" borderId="0" xfId="0" applyNumberFormat="1" applyFill="1"/>
    <xf numFmtId="2" fontId="0" fillId="11" borderId="0" xfId="0" applyNumberFormat="1" applyFill="1"/>
    <xf numFmtId="165" fontId="0" fillId="4" borderId="0" xfId="0" applyNumberFormat="1" applyFill="1"/>
    <xf numFmtId="0" fontId="0" fillId="3" borderId="2" xfId="0" applyFill="1" applyBorder="1"/>
    <xf numFmtId="3" fontId="0" fillId="3" borderId="0" xfId="0" applyNumberFormat="1" applyFill="1"/>
    <xf numFmtId="169" fontId="0" fillId="4" borderId="0" xfId="0" applyNumberFormat="1" applyFill="1"/>
    <xf numFmtId="3" fontId="0" fillId="4" borderId="0" xfId="0" applyNumberFormat="1" applyFill="1"/>
    <xf numFmtId="44" fontId="0" fillId="0" borderId="0" xfId="17" applyFont="1"/>
    <xf numFmtId="177" fontId="0" fillId="0" borderId="0" xfId="17" applyNumberFormat="1" applyFont="1"/>
    <xf numFmtId="0" fontId="10" fillId="0" borderId="0" xfId="10" applyFont="1" applyAlignment="1">
      <alignment horizontal="left" indent="2"/>
    </xf>
    <xf numFmtId="10" fontId="0" fillId="0" borderId="0" xfId="0" applyNumberFormat="1"/>
    <xf numFmtId="42" fontId="0" fillId="0" borderId="0" xfId="0" applyNumberFormat="1"/>
    <xf numFmtId="0" fontId="19" fillId="0" borderId="0" xfId="0" applyFont="1" applyAlignment="1">
      <alignment horizontal="right"/>
    </xf>
    <xf numFmtId="174" fontId="0" fillId="0" borderId="0" xfId="0" applyNumberFormat="1"/>
    <xf numFmtId="174" fontId="4" fillId="0" borderId="0" xfId="0" applyNumberFormat="1" applyFont="1"/>
    <xf numFmtId="0" fontId="52" fillId="0" borderId="0" xfId="0" quotePrefix="1" applyFont="1" applyAlignment="1">
      <alignment horizontal="left" indent="1"/>
    </xf>
    <xf numFmtId="44" fontId="0" fillId="0" borderId="0" xfId="0" applyNumberFormat="1"/>
    <xf numFmtId="10" fontId="0" fillId="0" borderId="0" xfId="1" applyNumberFormat="1" applyFont="1"/>
    <xf numFmtId="177" fontId="0" fillId="0" borderId="0" xfId="0" applyNumberFormat="1"/>
    <xf numFmtId="0" fontId="0" fillId="21" borderId="0" xfId="0" applyFill="1"/>
    <xf numFmtId="0" fontId="33" fillId="21" borderId="0" xfId="0" applyFont="1" applyFill="1"/>
    <xf numFmtId="171" fontId="0" fillId="0" borderId="0" xfId="0" applyNumberFormat="1"/>
    <xf numFmtId="171" fontId="4" fillId="0" borderId="0" xfId="0" applyNumberFormat="1" applyFont="1"/>
    <xf numFmtId="0" fontId="53" fillId="0" borderId="0" xfId="0" quotePrefix="1" applyFont="1" applyAlignment="1">
      <alignment horizontal="left" indent="1"/>
    </xf>
    <xf numFmtId="0" fontId="19" fillId="0" borderId="0" xfId="0" quotePrefix="1" applyFont="1" applyAlignment="1">
      <alignment horizontal="right"/>
    </xf>
    <xf numFmtId="177" fontId="4" fillId="0" borderId="0" xfId="0" applyNumberFormat="1" applyFont="1"/>
    <xf numFmtId="0" fontId="0" fillId="21" borderId="0" xfId="0" quotePrefix="1" applyFill="1"/>
    <xf numFmtId="37" fontId="0" fillId="0" borderId="0" xfId="17" applyNumberFormat="1" applyFont="1"/>
    <xf numFmtId="166" fontId="0" fillId="0" borderId="0" xfId="0" applyNumberFormat="1"/>
    <xf numFmtId="42" fontId="4" fillId="0" borderId="0" xfId="0" applyNumberFormat="1" applyFont="1"/>
    <xf numFmtId="3" fontId="0" fillId="0" borderId="4" xfId="0" applyNumberFormat="1" applyBorder="1"/>
    <xf numFmtId="174" fontId="0" fillId="0" borderId="2" xfId="0" applyNumberFormat="1" applyBorder="1"/>
    <xf numFmtId="44" fontId="0" fillId="0" borderId="2" xfId="0" applyNumberFormat="1" applyBorder="1"/>
    <xf numFmtId="6" fontId="0" fillId="0" borderId="0" xfId="0" applyNumberFormat="1" applyAlignment="1">
      <alignment horizontal="right"/>
    </xf>
    <xf numFmtId="0" fontId="33" fillId="0" borderId="0" xfId="0" quotePrefix="1" applyFont="1"/>
    <xf numFmtId="174" fontId="0" fillId="0" borderId="0" xfId="0" applyNumberFormat="1" applyAlignment="1">
      <alignment horizontal="center"/>
    </xf>
    <xf numFmtId="167" fontId="8" fillId="0" borderId="0" xfId="0" applyNumberFormat="1" applyFont="1"/>
    <xf numFmtId="4" fontId="8" fillId="0" borderId="0" xfId="0" applyNumberFormat="1" applyFont="1"/>
    <xf numFmtId="3" fontId="8" fillId="0" borderId="0" xfId="0" applyNumberFormat="1" applyFont="1"/>
    <xf numFmtId="6" fontId="0" fillId="0" borderId="0" xfId="0" applyNumberForma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78" fontId="0" fillId="0" borderId="0" xfId="0" applyNumberFormat="1"/>
    <xf numFmtId="178" fontId="0" fillId="0" borderId="2" xfId="0" applyNumberFormat="1" applyBorder="1"/>
    <xf numFmtId="170" fontId="4" fillId="0" borderId="0" xfId="0" applyNumberFormat="1" applyFont="1"/>
    <xf numFmtId="9" fontId="0" fillId="0" borderId="0" xfId="0" applyNumberFormat="1" applyAlignment="1">
      <alignment horizontal="right"/>
    </xf>
    <xf numFmtId="171" fontId="4" fillId="2" borderId="0" xfId="0" applyNumberFormat="1" applyFont="1" applyFill="1" applyAlignment="1">
      <alignment horizontal="center"/>
    </xf>
    <xf numFmtId="170" fontId="0" fillId="4" borderId="0" xfId="0" applyNumberFormat="1" applyFill="1" applyAlignment="1">
      <alignment horizontal="center"/>
    </xf>
    <xf numFmtId="179" fontId="0" fillId="0" borderId="0" xfId="0" applyNumberFormat="1"/>
    <xf numFmtId="0" fontId="0" fillId="3" borderId="0" xfId="0" applyFill="1"/>
    <xf numFmtId="3" fontId="0" fillId="3" borderId="2" xfId="0" applyNumberFormat="1" applyFill="1" applyBorder="1" applyAlignment="1">
      <alignment horizontal="right"/>
    </xf>
    <xf numFmtId="179" fontId="0" fillId="0" borderId="2" xfId="0" applyNumberFormat="1" applyBorder="1"/>
    <xf numFmtId="0" fontId="0" fillId="2" borderId="2" xfId="0" applyFill="1" applyBorder="1"/>
    <xf numFmtId="170" fontId="4" fillId="2" borderId="0" xfId="0" applyNumberFormat="1" applyFont="1" applyFill="1" applyAlignment="1">
      <alignment horizontal="center"/>
    </xf>
    <xf numFmtId="0" fontId="0" fillId="0" borderId="2" xfId="0" quotePrefix="1" applyBorder="1" applyAlignment="1">
      <alignment horizontal="right"/>
    </xf>
    <xf numFmtId="0" fontId="0" fillId="0" borderId="2" xfId="0" quotePrefix="1" applyBorder="1" applyAlignment="1">
      <alignment horizontal="left"/>
    </xf>
    <xf numFmtId="8" fontId="0" fillId="0" borderId="0" xfId="0" applyNumberFormat="1"/>
    <xf numFmtId="171" fontId="0" fillId="0" borderId="2" xfId="0" applyNumberFormat="1" applyBorder="1"/>
    <xf numFmtId="166" fontId="0" fillId="0" borderId="2" xfId="0" applyNumberFormat="1" applyBorder="1"/>
    <xf numFmtId="6" fontId="0" fillId="3" borderId="2" xfId="0" applyNumberFormat="1" applyFill="1" applyBorder="1"/>
    <xf numFmtId="8" fontId="0" fillId="3" borderId="2" xfId="0" applyNumberFormat="1" applyFill="1" applyBorder="1"/>
    <xf numFmtId="4" fontId="4" fillId="0" borderId="0" xfId="0" applyNumberFormat="1" applyFont="1"/>
    <xf numFmtId="174" fontId="4" fillId="4" borderId="0" xfId="0" applyNumberFormat="1" applyFont="1" applyFill="1"/>
    <xf numFmtId="176" fontId="8" fillId="0" borderId="0" xfId="0" applyNumberFormat="1" applyFont="1"/>
    <xf numFmtId="0" fontId="4" fillId="0" borderId="0" xfId="0" quotePrefix="1" applyFont="1"/>
    <xf numFmtId="0" fontId="7" fillId="0" borderId="0" xfId="11" applyFont="1"/>
    <xf numFmtId="0" fontId="7" fillId="0" borderId="0" xfId="11" applyFont="1" applyAlignment="1">
      <alignment horizontal="center"/>
    </xf>
    <xf numFmtId="0" fontId="55" fillId="0" borderId="0" xfId="11" applyFont="1" applyAlignment="1">
      <alignment horizontal="center"/>
    </xf>
    <xf numFmtId="3" fontId="4" fillId="4" borderId="0" xfId="0" applyNumberFormat="1" applyFont="1" applyFill="1"/>
    <xf numFmtId="3" fontId="30" fillId="4" borderId="0" xfId="0" applyNumberFormat="1" applyFont="1" applyFill="1"/>
    <xf numFmtId="0" fontId="4" fillId="5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0" xfId="11" applyFont="1" applyFill="1" applyAlignment="1">
      <alignment horizontal="center"/>
    </xf>
    <xf numFmtId="3" fontId="0" fillId="22" borderId="0" xfId="0" applyNumberFormat="1" applyFill="1"/>
    <xf numFmtId="1" fontId="10" fillId="0" borderId="0" xfId="0" applyNumberFormat="1" applyFont="1"/>
    <xf numFmtId="1" fontId="10" fillId="13" borderId="0" xfId="0" applyNumberFormat="1" applyFont="1" applyFill="1"/>
    <xf numFmtId="164" fontId="10" fillId="11" borderId="0" xfId="0" applyNumberFormat="1" applyFont="1" applyFill="1"/>
    <xf numFmtId="164" fontId="31" fillId="11" borderId="0" xfId="0" applyNumberFormat="1" applyFont="1" applyFill="1"/>
    <xf numFmtId="164" fontId="10" fillId="3" borderId="0" xfId="0" applyNumberFormat="1" applyFont="1" applyFill="1"/>
    <xf numFmtId="164" fontId="31" fillId="3" borderId="0" xfId="0" applyNumberFormat="1" applyFont="1" applyFill="1"/>
    <xf numFmtId="3" fontId="3" fillId="19" borderId="0" xfId="0" applyNumberFormat="1" applyFont="1" applyFill="1"/>
    <xf numFmtId="1" fontId="0" fillId="0" borderId="2" xfId="0" applyNumberFormat="1" applyBorder="1" applyAlignment="1">
      <alignment horizontal="center"/>
    </xf>
    <xf numFmtId="0" fontId="10" fillId="5" borderId="2" xfId="11" applyFont="1" applyFill="1" applyBorder="1" applyAlignment="1">
      <alignment horizontal="center"/>
    </xf>
    <xf numFmtId="3" fontId="0" fillId="3" borderId="2" xfId="0" applyNumberFormat="1" applyFill="1" applyBorder="1"/>
    <xf numFmtId="3" fontId="0" fillId="22" borderId="2" xfId="0" applyNumberFormat="1" applyFill="1" applyBorder="1"/>
    <xf numFmtId="1" fontId="10" fillId="0" borderId="2" xfId="0" applyNumberFormat="1" applyFont="1" applyBorder="1"/>
    <xf numFmtId="1" fontId="10" fillId="13" borderId="2" xfId="0" applyNumberFormat="1" applyFont="1" applyFill="1" applyBorder="1"/>
    <xf numFmtId="164" fontId="10" fillId="11" borderId="2" xfId="0" applyNumberFormat="1" applyFont="1" applyFill="1" applyBorder="1"/>
    <xf numFmtId="164" fontId="31" fillId="11" borderId="2" xfId="0" applyNumberFormat="1" applyFont="1" applyFill="1" applyBorder="1"/>
    <xf numFmtId="164" fontId="10" fillId="3" borderId="2" xfId="0" applyNumberFormat="1" applyFont="1" applyFill="1" applyBorder="1"/>
    <xf numFmtId="164" fontId="31" fillId="3" borderId="2" xfId="0" applyNumberFormat="1" applyFont="1" applyFill="1" applyBorder="1"/>
    <xf numFmtId="3" fontId="4" fillId="3" borderId="0" xfId="0" applyNumberFormat="1" applyFont="1" applyFill="1"/>
    <xf numFmtId="3" fontId="4" fillId="22" borderId="0" xfId="0" applyNumberFormat="1" applyFont="1" applyFill="1"/>
    <xf numFmtId="3" fontId="4" fillId="13" borderId="0" xfId="0" applyNumberFormat="1" applyFont="1" applyFill="1"/>
    <xf numFmtId="1" fontId="10" fillId="0" borderId="0" xfId="11" applyNumberFormat="1" applyFont="1"/>
    <xf numFmtId="165" fontId="49" fillId="0" borderId="0" xfId="11" applyNumberFormat="1" applyFont="1"/>
    <xf numFmtId="0" fontId="23" fillId="0" borderId="0" xfId="11" applyFont="1" applyAlignment="1">
      <alignment horizontal="right"/>
    </xf>
    <xf numFmtId="3" fontId="4" fillId="14" borderId="0" xfId="0" applyNumberFormat="1" applyFont="1" applyFill="1"/>
    <xf numFmtId="0" fontId="39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9" fontId="0" fillId="2" borderId="0" xfId="0" applyNumberFormat="1" applyFill="1"/>
    <xf numFmtId="170" fontId="0" fillId="4" borderId="0" xfId="0" applyNumberFormat="1" applyFill="1"/>
    <xf numFmtId="0" fontId="4" fillId="0" borderId="11" xfId="0" applyFont="1" applyBorder="1" applyAlignment="1">
      <alignment horizontal="center"/>
    </xf>
    <xf numFmtId="0" fontId="54" fillId="0" borderId="11" xfId="0" applyFont="1" applyBorder="1"/>
    <xf numFmtId="0" fontId="10" fillId="0" borderId="11" xfId="0" applyFont="1" applyBorder="1" applyAlignment="1">
      <alignment horizontal="center"/>
    </xf>
    <xf numFmtId="0" fontId="10" fillId="0" borderId="11" xfId="0" applyFont="1" applyBorder="1"/>
    <xf numFmtId="174" fontId="10" fillId="0" borderId="11" xfId="0" applyNumberFormat="1" applyFont="1" applyBorder="1" applyAlignment="1">
      <alignment horizontal="center"/>
    </xf>
    <xf numFmtId="9" fontId="8" fillId="0" borderId="0" xfId="1" applyFont="1" applyAlignment="1">
      <alignment horizontal="center"/>
    </xf>
    <xf numFmtId="169" fontId="0" fillId="3" borderId="0" xfId="0" applyNumberFormat="1" applyFill="1"/>
    <xf numFmtId="2" fontId="0" fillId="4" borderId="2" xfId="0" applyNumberFormat="1" applyFill="1" applyBorder="1"/>
    <xf numFmtId="180" fontId="0" fillId="0" borderId="0" xfId="0" applyNumberFormat="1"/>
    <xf numFmtId="2" fontId="4" fillId="0" borderId="0" xfId="0" applyNumberFormat="1" applyFont="1"/>
    <xf numFmtId="165" fontId="4" fillId="0" borderId="0" xfId="0" applyNumberFormat="1" applyFont="1" applyAlignment="1">
      <alignment horizontal="center"/>
    </xf>
    <xf numFmtId="165" fontId="4" fillId="11" borderId="0" xfId="0" applyNumberFormat="1" applyFont="1" applyFill="1" applyAlignment="1">
      <alignment horizontal="center"/>
    </xf>
    <xf numFmtId="1" fontId="0" fillId="11" borderId="0" xfId="0" applyNumberFormat="1" applyFill="1"/>
    <xf numFmtId="170" fontId="0" fillId="11" borderId="0" xfId="1" applyNumberFormat="1" applyFont="1" applyFill="1"/>
    <xf numFmtId="0" fontId="0" fillId="4" borderId="0" xfId="0" applyFill="1" applyAlignment="1">
      <alignment horizontal="right"/>
    </xf>
    <xf numFmtId="9" fontId="0" fillId="4" borderId="0" xfId="0" applyNumberFormat="1" applyFill="1"/>
    <xf numFmtId="175" fontId="0" fillId="4" borderId="0" xfId="0" applyNumberFormat="1" applyFill="1"/>
    <xf numFmtId="0" fontId="0" fillId="0" borderId="0" xfId="0" applyAlignment="1">
      <alignment wrapText="1"/>
    </xf>
    <xf numFmtId="169" fontId="4" fillId="11" borderId="0" xfId="0" applyNumberFormat="1" applyFont="1" applyFill="1"/>
    <xf numFmtId="178" fontId="4" fillId="11" borderId="0" xfId="0" applyNumberFormat="1" applyFont="1" applyFill="1"/>
    <xf numFmtId="9" fontId="0" fillId="4" borderId="0" xfId="0" applyNumberForma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71" fontId="0" fillId="4" borderId="0" xfId="0" applyNumberFormat="1" applyFill="1" applyAlignment="1">
      <alignment horizontal="center"/>
    </xf>
    <xf numFmtId="0" fontId="4" fillId="0" borderId="0" xfId="0" applyFont="1" applyAlignment="1">
      <alignment horizontal="center" wrapText="1"/>
    </xf>
    <xf numFmtId="0" fontId="31" fillId="0" borderId="0" xfId="0" applyFont="1" applyAlignment="1">
      <alignment horizontal="center" vertical="top" wrapText="1"/>
    </xf>
    <xf numFmtId="171" fontId="31" fillId="0" borderId="0" xfId="0" applyNumberFormat="1" applyFont="1" applyAlignment="1">
      <alignment horizontal="center"/>
    </xf>
    <xf numFmtId="171" fontId="30" fillId="4" borderId="0" xfId="0" applyNumberFormat="1" applyFont="1" applyFill="1" applyAlignment="1">
      <alignment horizontal="center"/>
    </xf>
    <xf numFmtId="171" fontId="4" fillId="0" borderId="0" xfId="0" applyNumberFormat="1" applyFont="1" applyAlignment="1">
      <alignment horizontal="center"/>
    </xf>
    <xf numFmtId="0" fontId="57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1" fillId="0" borderId="1" xfId="0" applyFont="1" applyBorder="1" applyAlignment="1">
      <alignment wrapText="1"/>
    </xf>
    <xf numFmtId="180" fontId="4" fillId="4" borderId="0" xfId="0" applyNumberFormat="1" applyFont="1" applyFill="1"/>
    <xf numFmtId="180" fontId="4" fillId="19" borderId="0" xfId="0" applyNumberFormat="1" applyFont="1" applyFill="1"/>
    <xf numFmtId="2" fontId="0" fillId="0" borderId="4" xfId="0" applyNumberFormat="1" applyBorder="1"/>
    <xf numFmtId="2" fontId="0" fillId="4" borderId="4" xfId="0" applyNumberFormat="1" applyFill="1" applyBorder="1"/>
    <xf numFmtId="2" fontId="0" fillId="19" borderId="4" xfId="0" applyNumberFormat="1" applyFill="1" applyBorder="1"/>
    <xf numFmtId="2" fontId="0" fillId="19" borderId="0" xfId="0" applyNumberFormat="1" applyFill="1"/>
    <xf numFmtId="2" fontId="0" fillId="19" borderId="2" xfId="0" applyNumberFormat="1" applyFill="1" applyBorder="1"/>
    <xf numFmtId="2" fontId="4" fillId="4" borderId="0" xfId="0" applyNumberFormat="1" applyFont="1" applyFill="1"/>
    <xf numFmtId="2" fontId="4" fillId="19" borderId="0" xfId="0" applyNumberFormat="1" applyFont="1" applyFill="1"/>
    <xf numFmtId="181" fontId="0" fillId="0" borderId="0" xfId="1" applyNumberFormat="1" applyFont="1"/>
    <xf numFmtId="181" fontId="0" fillId="0" borderId="2" xfId="1" applyNumberFormat="1" applyFont="1" applyBorder="1"/>
    <xf numFmtId="181" fontId="4" fillId="0" borderId="0" xfId="1" applyNumberFormat="1" applyFont="1"/>
    <xf numFmtId="0" fontId="8" fillId="0" borderId="0" xfId="11" applyFont="1" applyAlignment="1">
      <alignment horizontal="center"/>
    </xf>
    <xf numFmtId="0" fontId="0" fillId="20" borderId="1" xfId="0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3" fontId="18" fillId="0" borderId="0" xfId="11" applyNumberFormat="1" applyFont="1"/>
    <xf numFmtId="164" fontId="3" fillId="11" borderId="0" xfId="0" applyNumberFormat="1" applyFont="1" applyFill="1"/>
    <xf numFmtId="164" fontId="3" fillId="3" borderId="0" xfId="0" applyNumberFormat="1" applyFont="1" applyFill="1"/>
    <xf numFmtId="0" fontId="0" fillId="20" borderId="2" xfId="0" applyFill="1" applyBorder="1" applyAlignment="1">
      <alignment horizontal="center"/>
    </xf>
    <xf numFmtId="3" fontId="18" fillId="0" borderId="2" xfId="11" applyNumberFormat="1" applyFont="1" applyBorder="1"/>
    <xf numFmtId="164" fontId="3" fillId="11" borderId="2" xfId="0" applyNumberFormat="1" applyFont="1" applyFill="1" applyBorder="1"/>
    <xf numFmtId="164" fontId="3" fillId="3" borderId="2" xfId="0" applyNumberFormat="1" applyFont="1" applyFill="1" applyBorder="1"/>
    <xf numFmtId="3" fontId="58" fillId="0" borderId="0" xfId="0" applyNumberFormat="1" applyFont="1"/>
    <xf numFmtId="170" fontId="7" fillId="0" borderId="0" xfId="1" applyNumberFormat="1" applyFont="1"/>
    <xf numFmtId="3" fontId="4" fillId="23" borderId="0" xfId="0" applyNumberFormat="1" applyFont="1" applyFill="1"/>
    <xf numFmtId="3" fontId="0" fillId="0" borderId="0" xfId="1" applyNumberFormat="1" applyFont="1" applyAlignment="1">
      <alignment horizontal="center"/>
    </xf>
    <xf numFmtId="165" fontId="0" fillId="19" borderId="0" xfId="0" applyNumberFormat="1" applyFill="1"/>
    <xf numFmtId="165" fontId="3" fillId="19" borderId="0" xfId="0" applyNumberFormat="1" applyFont="1" applyFill="1"/>
    <xf numFmtId="165" fontId="10" fillId="19" borderId="0" xfId="0" applyNumberFormat="1" applyFont="1" applyFill="1"/>
    <xf numFmtId="0" fontId="0" fillId="19" borderId="0" xfId="0" applyFill="1"/>
    <xf numFmtId="165" fontId="0" fillId="19" borderId="0" xfId="0" applyNumberFormat="1" applyFill="1" applyAlignment="1">
      <alignment horizontal="right"/>
    </xf>
    <xf numFmtId="165" fontId="27" fillId="19" borderId="0" xfId="0" applyNumberFormat="1" applyFont="1" applyFill="1"/>
    <xf numFmtId="11" fontId="0" fillId="19" borderId="0" xfId="0" applyNumberFormat="1" applyFill="1"/>
    <xf numFmtId="11" fontId="56" fillId="4" borderId="0" xfId="0" applyNumberFormat="1" applyFont="1" applyFill="1"/>
    <xf numFmtId="0" fontId="56" fillId="4" borderId="0" xfId="0" applyFont="1" applyFill="1"/>
    <xf numFmtId="0" fontId="4" fillId="0" borderId="0" xfId="0" applyFont="1" applyAlignment="1">
      <alignment horizontal="center" vertical="top" wrapText="1"/>
    </xf>
    <xf numFmtId="171" fontId="12" fillId="0" borderId="2" xfId="7" applyNumberFormat="1" applyFont="1" applyBorder="1" applyAlignment="1">
      <alignment horizontal="center"/>
    </xf>
    <xf numFmtId="0" fontId="12" fillId="0" borderId="0" xfId="7" applyFont="1" applyAlignment="1">
      <alignment horizontal="right"/>
    </xf>
    <xf numFmtId="171" fontId="0" fillId="0" borderId="2" xfId="0" applyNumberFormat="1" applyBorder="1" applyAlignment="1">
      <alignment horizontal="center"/>
    </xf>
    <xf numFmtId="171" fontId="0" fillId="0" borderId="0" xfId="17" applyNumberFormat="1" applyFont="1"/>
    <xf numFmtId="170" fontId="30" fillId="4" borderId="0" xfId="0" applyNumberFormat="1" applyFont="1" applyFill="1"/>
    <xf numFmtId="0" fontId="4" fillId="0" borderId="12" xfId="0" applyFont="1" applyBorder="1" applyAlignment="1">
      <alignment horizontal="center"/>
    </xf>
    <xf numFmtId="9" fontId="4" fillId="2" borderId="12" xfId="1" applyFont="1" applyFill="1" applyBorder="1" applyAlignment="1">
      <alignment horizontal="center"/>
    </xf>
    <xf numFmtId="9" fontId="4" fillId="2" borderId="12" xfId="0" applyNumberFormat="1" applyFont="1" applyFill="1" applyBorder="1" applyAlignment="1">
      <alignment horizontal="center"/>
    </xf>
    <xf numFmtId="170" fontId="0" fillId="0" borderId="4" xfId="0" applyNumberForma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4" fontId="0" fillId="3" borderId="2" xfId="0" applyNumberFormat="1" applyFill="1" applyBorder="1"/>
    <xf numFmtId="7" fontId="0" fillId="0" borderId="2" xfId="0" applyNumberFormat="1" applyBorder="1"/>
    <xf numFmtId="170" fontId="0" fillId="4" borderId="0" xfId="1" applyNumberFormat="1" applyFont="1" applyFill="1" applyAlignment="1">
      <alignment horizontal="center"/>
    </xf>
    <xf numFmtId="0" fontId="20" fillId="0" borderId="0" xfId="18" applyAlignment="1" applyProtection="1"/>
    <xf numFmtId="174" fontId="8" fillId="0" borderId="11" xfId="0" applyNumberFormat="1" applyFont="1" applyBorder="1" applyAlignment="1">
      <alignment horizontal="center"/>
    </xf>
    <xf numFmtId="2" fontId="10" fillId="0" borderId="11" xfId="0" applyNumberFormat="1" applyFont="1" applyBorder="1" applyAlignment="1">
      <alignment horizontal="center"/>
    </xf>
    <xf numFmtId="171" fontId="31" fillId="0" borderId="0" xfId="0" applyNumberFormat="1" applyFont="1"/>
    <xf numFmtId="171" fontId="12" fillId="4" borderId="0" xfId="0" applyNumberFormat="1" applyFont="1" applyFill="1" applyAlignment="1">
      <alignment horizontal="center"/>
    </xf>
    <xf numFmtId="170" fontId="17" fillId="2" borderId="0" xfId="0" applyNumberFormat="1" applyFont="1" applyFill="1" applyAlignment="1">
      <alignment horizontal="center"/>
    </xf>
    <xf numFmtId="170" fontId="30" fillId="4" borderId="0" xfId="0" applyNumberFormat="1" applyFont="1" applyFill="1" applyAlignment="1">
      <alignment horizontal="center"/>
    </xf>
    <xf numFmtId="1" fontId="0" fillId="2" borderId="2" xfId="0" applyNumberFormat="1" applyFill="1" applyBorder="1"/>
    <xf numFmtId="0" fontId="10" fillId="4" borderId="11" xfId="0" applyFont="1" applyFill="1" applyBorder="1" applyAlignment="1">
      <alignment horizontal="center"/>
    </xf>
    <xf numFmtId="0" fontId="10" fillId="4" borderId="11" xfId="0" applyFont="1" applyFill="1" applyBorder="1"/>
    <xf numFmtId="174" fontId="10" fillId="4" borderId="11" xfId="0" applyNumberFormat="1" applyFont="1" applyFill="1" applyBorder="1" applyAlignment="1">
      <alignment horizontal="center"/>
    </xf>
    <xf numFmtId="2" fontId="10" fillId="4" borderId="11" xfId="0" applyNumberFormat="1" applyFont="1" applyFill="1" applyBorder="1" applyAlignment="1">
      <alignment horizontal="center"/>
    </xf>
    <xf numFmtId="174" fontId="8" fillId="4" borderId="11" xfId="0" applyNumberFormat="1" applyFont="1" applyFill="1" applyBorder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3" xfId="0" applyFont="1" applyFill="1" applyBorder="1"/>
    <xf numFmtId="174" fontId="10" fillId="4" borderId="13" xfId="0" applyNumberFormat="1" applyFont="1" applyFill="1" applyBorder="1" applyAlignment="1">
      <alignment horizontal="center"/>
    </xf>
    <xf numFmtId="2" fontId="10" fillId="4" borderId="13" xfId="0" applyNumberFormat="1" applyFont="1" applyFill="1" applyBorder="1" applyAlignment="1">
      <alignment horizontal="center"/>
    </xf>
    <xf numFmtId="174" fontId="8" fillId="4" borderId="13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5" fillId="0" borderId="5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21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17" fillId="0" borderId="0" xfId="7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7" applyFont="1" applyAlignment="1">
      <alignment horizontal="center" wrapText="1"/>
    </xf>
    <xf numFmtId="0" fontId="34" fillId="0" borderId="0" xfId="7" applyFont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0" xfId="7" applyFont="1" applyAlignment="1">
      <alignment horizontal="center"/>
    </xf>
    <xf numFmtId="0" fontId="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0" fillId="0" borderId="0" xfId="1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58" fillId="0" borderId="0" xfId="11" applyFont="1" applyAlignment="1">
      <alignment horizontal="center"/>
    </xf>
    <xf numFmtId="0" fontId="8" fillId="0" borderId="0" xfId="11" applyFont="1" applyAlignment="1">
      <alignment horizontal="center"/>
    </xf>
    <xf numFmtId="0" fontId="8" fillId="0" borderId="0" xfId="0" applyFont="1" applyAlignment="1">
      <alignment horizontal="center"/>
    </xf>
    <xf numFmtId="0" fontId="30" fillId="0" borderId="0" xfId="0" applyFont="1" applyAlignment="1">
      <alignment horizontal="center"/>
    </xf>
  </cellXfs>
  <cellStyles count="19">
    <cellStyle name="Currency" xfId="17" builtinId="4"/>
    <cellStyle name="Hyperlink" xfId="18" builtinId="8"/>
    <cellStyle name="Hyperlink 2" xfId="6" xr:uid="{00000000-0005-0000-0000-000003000000}"/>
    <cellStyle name="Hyperlink 3" xfId="5" xr:uid="{00000000-0005-0000-0000-000004000000}"/>
    <cellStyle name="Normal" xfId="0" builtinId="0"/>
    <cellStyle name="Normal 2" xfId="2" xr:uid="{00000000-0005-0000-0000-000006000000}"/>
    <cellStyle name="Normal 2 2" xfId="7" xr:uid="{00000000-0005-0000-0000-000007000000}"/>
    <cellStyle name="Normal 2 2 2" xfId="10" xr:uid="{00000000-0005-0000-0000-000008000000}"/>
    <cellStyle name="Normal 2 4" xfId="4" xr:uid="{00000000-0005-0000-0000-000009000000}"/>
    <cellStyle name="Normal 3" xfId="8" xr:uid="{00000000-0005-0000-0000-00000A000000}"/>
    <cellStyle name="Normal 3 2" xfId="14" xr:uid="{00000000-0005-0000-0000-00000B000000}"/>
    <cellStyle name="Normal 4" xfId="11" xr:uid="{00000000-0005-0000-0000-00000C000000}"/>
    <cellStyle name="Normal 4 3" xfId="13" xr:uid="{00000000-0005-0000-0000-00000D000000}"/>
    <cellStyle name="Normal 8 2" xfId="3" xr:uid="{00000000-0005-0000-0000-00000E000000}"/>
    <cellStyle name="Percent" xfId="1" builtinId="5"/>
    <cellStyle name="Percent 2" xfId="16" xr:uid="{00000000-0005-0000-0000-000010000000}"/>
    <cellStyle name="Percent 2 2" xfId="12" xr:uid="{00000000-0005-0000-0000-000011000000}"/>
    <cellStyle name="Percent 2 2 2" xfId="15" xr:uid="{00000000-0005-0000-0000-000012000000}"/>
    <cellStyle name="Percent 3" xfId="9" xr:uid="{00000000-0005-0000-0000-000013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CCFFCC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23-47E9-9D3D-DF54323E4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80-4114-944F-A2D8CF32D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2-46CA-8F5E-013FDC71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C5-4728-AEB3-995ED3D03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67-40B8-9700-5CE8445D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Lookup!$S$31</c:f>
              <c:strCache>
                <c:ptCount val="1"/>
                <c:pt idx="0">
                  <c:v>WtdComp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Lookup!$P$32:$P$54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xVal>
          <c:yVal>
            <c:numRef>
              <c:f>Lookup!$S$32:$S$54</c:f>
              <c:numCache>
                <c:formatCode>"$"#,##0.00_);[Red]\("$"#,##0.00\)</c:formatCode>
                <c:ptCount val="23"/>
                <c:pt idx="0">
                  <c:v>1.331063729025219</c:v>
                </c:pt>
                <c:pt idx="1">
                  <c:v>1.3020637290252188</c:v>
                </c:pt>
                <c:pt idx="2">
                  <c:v>1.1867559662322182</c:v>
                </c:pt>
                <c:pt idx="3">
                  <c:v>1.239568712037262</c:v>
                </c:pt>
                <c:pt idx="4">
                  <c:v>1.8137659322563047</c:v>
                </c:pt>
                <c:pt idx="5">
                  <c:v>2.5296723051588268</c:v>
                </c:pt>
                <c:pt idx="6">
                  <c:v>2.483765932256305</c:v>
                </c:pt>
                <c:pt idx="7">
                  <c:v>2.6250069494523931</c:v>
                </c:pt>
                <c:pt idx="8">
                  <c:v>3.67</c:v>
                </c:pt>
                <c:pt idx="9">
                  <c:v>2.7248595593537828</c:v>
                </c:pt>
                <c:pt idx="10">
                  <c:v>3.0063545763417396</c:v>
                </c:pt>
                <c:pt idx="11">
                  <c:v>3.8742410171960886</c:v>
                </c:pt>
                <c:pt idx="12">
                  <c:v>4.0017828477327839</c:v>
                </c:pt>
                <c:pt idx="13">
                  <c:v>3.8331005765498718</c:v>
                </c:pt>
                <c:pt idx="14">
                  <c:v>3.7705218984885231</c:v>
                </c:pt>
                <c:pt idx="15">
                  <c:v>2.3305418305366956</c:v>
                </c:pt>
                <c:pt idx="16">
                  <c:v>2.2862141356955226</c:v>
                </c:pt>
                <c:pt idx="17">
                  <c:v>2.638428271391045</c:v>
                </c:pt>
                <c:pt idx="18">
                  <c:v>3.0974651189156974</c:v>
                </c:pt>
                <c:pt idx="19">
                  <c:v>2.8962410171960888</c:v>
                </c:pt>
                <c:pt idx="20">
                  <c:v>2.4238396273056102</c:v>
                </c:pt>
                <c:pt idx="21">
                  <c:v>3.3537858643044776</c:v>
                </c:pt>
                <c:pt idx="22">
                  <c:v>4.726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9A-4327-824F-67B97FC8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237744"/>
        <c:axId val="972242320"/>
      </c:scatterChart>
      <c:valAx>
        <c:axId val="972237744"/>
        <c:scaling>
          <c:orientation val="minMax"/>
          <c:min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Calendar</a:t>
                </a:r>
                <a:r>
                  <a:rPr lang="en-US" sz="1050" b="1" baseline="0"/>
                  <a:t> Year</a:t>
                </a:r>
                <a:endParaRPr lang="en-US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42320"/>
        <c:crosses val="autoZero"/>
        <c:crossBetween val="midCat"/>
      </c:valAx>
      <c:valAx>
        <c:axId val="97224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Retail</a:t>
                </a:r>
                <a:r>
                  <a:rPr lang="en-US" sz="1050" b="1" baseline="0"/>
                  <a:t> Price ($/gallon)</a:t>
                </a:r>
                <a:endParaRPr lang="en-US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_);[Red]\(&quot;$&quot;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377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8009910899117"/>
          <c:y val="3.6248629953991696E-2"/>
          <c:w val="0.81215339705993284"/>
          <c:h val="0.460826848778934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B-4F65-ADC1-1AEF41273E0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1B-4F65-ADC1-1AEF41273E0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1B-4F65-ADC1-1AEF41273E0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B-4F65-ADC1-1AEF41273E0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71B-4F65-ADC1-1AEF41273E0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71B-4F65-ADC1-1AEF41273E0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71B-4F65-ADC1-1AEF41273E0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71B-4F65-ADC1-1AEF41273E07}"/>
              </c:ext>
            </c:extLst>
          </c:dPt>
          <c:dLbls>
            <c:dLbl>
              <c:idx val="14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C71B-4F65-ADC1-1AEF41273E07}"/>
                </c:ext>
              </c:extLst>
            </c:dLbl>
            <c:dLbl>
              <c:idx val="15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C71B-4F65-ADC1-1AEF41273E07}"/>
                </c:ext>
              </c:extLst>
            </c:dLbl>
            <c:dLbl>
              <c:idx val="16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C71B-4F65-ADC1-1AEF41273E07}"/>
                </c:ext>
              </c:extLst>
            </c:dLbl>
            <c:dLbl>
              <c:idx val="17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C71B-4F65-ADC1-1AEF41273E07}"/>
                </c:ext>
              </c:extLst>
            </c:dLbl>
            <c:dLbl>
              <c:idx val="18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C71B-4F65-ADC1-1AEF41273E07}"/>
                </c:ext>
              </c:extLst>
            </c:dLbl>
            <c:dLbl>
              <c:idx val="19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C71B-4F65-ADC1-1AEF41273E07}"/>
                </c:ext>
              </c:extLst>
            </c:dLbl>
            <c:dLbl>
              <c:idx val="20"/>
              <c:numFmt formatCode="0.0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C71B-4F65-ADC1-1AEF41273E07}"/>
                </c:ext>
              </c:extLst>
            </c:dLbl>
            <c:numFmt formatCode="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'EFs-BTU'!$E$125:$E$145</c:f>
              <c:strCache>
                <c:ptCount val="21"/>
                <c:pt idx="0">
                  <c:v>Fireplace, No Insert</c:v>
                </c:pt>
                <c:pt idx="1">
                  <c:v>Fireplace, With Insert - Non-EPA Certified</c:v>
                </c:pt>
                <c:pt idx="2">
                  <c:v>Fireplace, With Insert - EPA Certified Non-Catalytic</c:v>
                </c:pt>
                <c:pt idx="3">
                  <c:v>Fireplace, With Insert - EPA Certified Catalytic</c:v>
                </c:pt>
                <c:pt idx="4">
                  <c:v>Woodstove - Non-EPA Certified</c:v>
                </c:pt>
                <c:pt idx="5">
                  <c:v>Woodstove - EPA Certified Non-Catalytic</c:v>
                </c:pt>
                <c:pt idx="6">
                  <c:v>Woodstove - EPA Certified Catalytic</c:v>
                </c:pt>
                <c:pt idx="7">
                  <c:v>Pellet Stove (Exempt)</c:v>
                </c:pt>
                <c:pt idx="8">
                  <c:v>Pellet Stove (EPA Certified)</c:v>
                </c:pt>
                <c:pt idx="9">
                  <c:v>OWB (Hydronic Heater) - 80/20 Unqual/Phase 2 Wtd</c:v>
                </c:pt>
                <c:pt idx="10">
                  <c:v>OWB (Hydronic Heater) - Unqualified</c:v>
                </c:pt>
                <c:pt idx="11">
                  <c:v>OWB (Hydronic Heater) - Phase 1</c:v>
                </c:pt>
                <c:pt idx="12">
                  <c:v>OWB (Hydronic Heater) - Phase 2</c:v>
                </c:pt>
                <c:pt idx="13">
                  <c:v>Coal Boiler (bituminous/subbituminous, hand-fed)</c:v>
                </c:pt>
                <c:pt idx="14">
                  <c:v>Central Oil (Weighted # 1 &amp; #2), Residential</c:v>
                </c:pt>
                <c:pt idx="15">
                  <c:v>Central Oil (#1 distillate), Residential</c:v>
                </c:pt>
                <c:pt idx="16">
                  <c:v>Central Oil (#2 distillate), Residential</c:v>
                </c:pt>
                <c:pt idx="17">
                  <c:v>Portable: 43% Kerosene &amp; 57% Fuel Oil</c:v>
                </c:pt>
                <c:pt idx="18">
                  <c:v>Direct Vent</c:v>
                </c:pt>
                <c:pt idx="19">
                  <c:v>Natural Gas - Residential</c:v>
                </c:pt>
                <c:pt idx="20">
                  <c:v>Natural Gas - Commercial, small uncontrolled</c:v>
                </c:pt>
              </c:strCache>
            </c:strRef>
          </c:cat>
          <c:val>
            <c:numRef>
              <c:f>'EFs-BTU'!$N$125:$N$145</c:f>
              <c:numCache>
                <c:formatCode>0.000</c:formatCode>
                <c:ptCount val="21"/>
                <c:pt idx="0">
                  <c:v>38.993754256603495</c:v>
                </c:pt>
                <c:pt idx="1">
                  <c:v>6.0350160128355999</c:v>
                </c:pt>
                <c:pt idx="2">
                  <c:v>1.4343472401272961</c:v>
                </c:pt>
                <c:pt idx="3">
                  <c:v>1.4650832524157382</c:v>
                </c:pt>
                <c:pt idx="4">
                  <c:v>1.7738402752129308</c:v>
                </c:pt>
                <c:pt idx="5">
                  <c:v>0.9194205661868422</c:v>
                </c:pt>
                <c:pt idx="6">
                  <c:v>0.96350237415470508</c:v>
                </c:pt>
                <c:pt idx="7">
                  <c:v>0.43647519270480867</c:v>
                </c:pt>
                <c:pt idx="8">
                  <c:v>0.31336680501883707</c:v>
                </c:pt>
                <c:pt idx="9">
                  <c:v>1.8108078993079173</c:v>
                </c:pt>
                <c:pt idx="10">
                  <c:v>2.0265307979039182</c:v>
                </c:pt>
                <c:pt idx="11">
                  <c:v>1.7856097836938829</c:v>
                </c:pt>
                <c:pt idx="12">
                  <c:v>0.94791630492391299</c:v>
                </c:pt>
                <c:pt idx="13">
                  <c:v>1.2224602203182375</c:v>
                </c:pt>
                <c:pt idx="14">
                  <c:v>4.200114349453405E-3</c:v>
                </c:pt>
                <c:pt idx="15">
                  <c:v>4.5096009838951293E-3</c:v>
                </c:pt>
                <c:pt idx="16">
                  <c:v>4.0700369890750258E-3</c:v>
                </c:pt>
                <c:pt idx="17">
                  <c:v>3.6047093725597805E-3</c:v>
                </c:pt>
                <c:pt idx="18">
                  <c:v>4.5096009838951293E-3</c:v>
                </c:pt>
                <c:pt idx="19">
                  <c:v>6.0246913580246913E-5</c:v>
                </c:pt>
                <c:pt idx="20">
                  <c:v>9.2440552210667146E-3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71B-4F65-ADC1-1AEF41273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1756640"/>
        <c:axId val="491757200"/>
      </c:barChart>
      <c:catAx>
        <c:axId val="4917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7200"/>
        <c:crosses val="autoZero"/>
        <c:auto val="1"/>
        <c:lblAlgn val="ctr"/>
        <c:lblOffset val="100"/>
        <c:noMultiLvlLbl val="0"/>
      </c:catAx>
      <c:valAx>
        <c:axId val="49175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</a:t>
                </a:r>
                <a:r>
                  <a:rPr lang="en-US" baseline="0"/>
                  <a:t> (lb/heating mmBTU)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66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0106517935258089E-2"/>
                  <c:y val="0.13941601049868765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 formatCode="0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ULSEFs!$Z$17:$Z$31</c:f>
              <c:numCache>
                <c:formatCode>#,##0</c:formatCode>
                <c:ptCount val="15"/>
                <c:pt idx="0">
                  <c:v>137114.09395973154</c:v>
                </c:pt>
                <c:pt idx="1">
                  <c:v>138975.28</c:v>
                </c:pt>
                <c:pt idx="2">
                  <c:v>138424.28</c:v>
                </c:pt>
                <c:pt idx="3">
                  <c:v>136273.9</c:v>
                </c:pt>
                <c:pt idx="4">
                  <c:v>137114.09395973154</c:v>
                </c:pt>
                <c:pt idx="5">
                  <c:v>137972.93333333332</c:v>
                </c:pt>
                <c:pt idx="6">
                  <c:v>137552.23880597015</c:v>
                </c:pt>
                <c:pt idx="7">
                  <c:v>137641.79104477612</c:v>
                </c:pt>
                <c:pt idx="8">
                  <c:v>136548.38709677418</c:v>
                </c:pt>
                <c:pt idx="9">
                  <c:v>138000.00000000003</c:v>
                </c:pt>
                <c:pt idx="10">
                  <c:v>137400</c:v>
                </c:pt>
                <c:pt idx="11">
                  <c:v>139250</c:v>
                </c:pt>
                <c:pt idx="12">
                  <c:v>135000</c:v>
                </c:pt>
                <c:pt idx="13">
                  <c:v>135333.33333333334</c:v>
                </c:pt>
                <c:pt idx="14">
                  <c:v>137490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D5-4A08-A823-01780357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9440"/>
        <c:axId val="491760000"/>
      </c:scatterChart>
      <c:valAx>
        <c:axId val="4917594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60000"/>
        <c:crosses val="autoZero"/>
        <c:crossBetween val="midCat"/>
      </c:valAx>
      <c:valAx>
        <c:axId val="4917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Energy Content (BTU/gal)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94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 formatCode="0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 formatCode="0.000000">
                  <c:v>5.940095645607853E-5</c:v>
                </c:pt>
                <c:pt idx="4" formatCode="0.000">
                  <c:v>1.2E-2</c:v>
                </c:pt>
                <c:pt idx="5" formatCode="0.0000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5E-4A0D-9CC3-C5A6AFF9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62240"/>
        <c:axId val="491762800"/>
      </c:scatterChart>
      <c:valAx>
        <c:axId val="4917622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62800"/>
        <c:crosses val="autoZero"/>
        <c:crossBetween val="midCat"/>
      </c:valAx>
      <c:valAx>
        <c:axId val="49176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622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 formatCode="0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ULSEFs!$Y$17:$Y$31</c:f>
              <c:numCache>
                <c:formatCode>General</c:formatCode>
                <c:ptCount val="15"/>
                <c:pt idx="0">
                  <c:v>1.4</c:v>
                </c:pt>
                <c:pt idx="1">
                  <c:v>0.43</c:v>
                </c:pt>
                <c:pt idx="2">
                  <c:v>0.16</c:v>
                </c:pt>
                <c:pt idx="3" formatCode="0.0000">
                  <c:v>8.0000000000000002E-3</c:v>
                </c:pt>
                <c:pt idx="4" formatCode="0.0">
                  <c:v>1.6</c:v>
                </c:pt>
                <c:pt idx="5" formatCode="0.00">
                  <c:v>0.33267394474471806</c:v>
                </c:pt>
                <c:pt idx="6">
                  <c:v>0.69</c:v>
                </c:pt>
                <c:pt idx="7">
                  <c:v>0.18</c:v>
                </c:pt>
                <c:pt idx="8">
                  <c:v>1.7999999999999999E-2</c:v>
                </c:pt>
                <c:pt idx="9">
                  <c:v>0.79</c:v>
                </c:pt>
                <c:pt idx="10">
                  <c:v>0.01</c:v>
                </c:pt>
                <c:pt idx="11">
                  <c:v>0.56000000000000005</c:v>
                </c:pt>
                <c:pt idx="12">
                  <c:v>0.159</c:v>
                </c:pt>
                <c:pt idx="13">
                  <c:v>6.0000000000000001E-3</c:v>
                </c:pt>
                <c:pt idx="14">
                  <c:v>1.2999999999999999E-2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53-4B68-B87F-F01CD1B36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65040"/>
        <c:axId val="491765600"/>
      </c:scatterChart>
      <c:valAx>
        <c:axId val="4917650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65600"/>
        <c:crosses val="autoZero"/>
        <c:crossBetween val="midCat"/>
      </c:valAx>
      <c:valAx>
        <c:axId val="4917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(lb/1000 gal)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650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1C-4EDF-B087-CE65726A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95-4A0C-9EDD-6E2A6E67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19-4ABC-B810-EE9C8355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5A-4F78-8181-540F5B7F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EB-4080-83EF-B25FEBD6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6E-4F30-A8C3-CFFBE937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C1-4C05-B95B-5D4EB37F6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399737532808398"/>
                  <c:y val="3.6174154701250578E-2"/>
                </c:manualLayout>
              </c:layout>
              <c:numFmt formatCode="0.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[2]ULSEFs!$T$17:$T$31</c:f>
              <c:numCache>
                <c:formatCode>General</c:formatCode>
                <c:ptCount val="15"/>
                <c:pt idx="0">
                  <c:v>5780</c:v>
                </c:pt>
                <c:pt idx="1">
                  <c:v>1570</c:v>
                </c:pt>
                <c:pt idx="2">
                  <c:v>332</c:v>
                </c:pt>
                <c:pt idx="3">
                  <c:v>11</c:v>
                </c:pt>
                <c:pt idx="4">
                  <c:v>5780</c:v>
                </c:pt>
                <c:pt idx="5">
                  <c:v>1440</c:v>
                </c:pt>
                <c:pt idx="6">
                  <c:v>1440</c:v>
                </c:pt>
                <c:pt idx="7">
                  <c:v>450</c:v>
                </c:pt>
                <c:pt idx="8">
                  <c:v>11</c:v>
                </c:pt>
                <c:pt idx="9">
                  <c:v>1900</c:v>
                </c:pt>
                <c:pt idx="10">
                  <c:v>37</c:v>
                </c:pt>
                <c:pt idx="11">
                  <c:v>1440</c:v>
                </c:pt>
                <c:pt idx="12">
                  <c:v>332</c:v>
                </c:pt>
                <c:pt idx="13">
                  <c:v>11</c:v>
                </c:pt>
                <c:pt idx="14">
                  <c:v>37</c:v>
                </c:pt>
              </c:numCache>
            </c:numRef>
          </c:xVal>
          <c:yVal>
            <c:numRef>
              <c:f>[2]ULSEFs!$X$17:$X$31</c:f>
              <c:numCache>
                <c:formatCode>General</c:formatCode>
                <c:ptCount val="15"/>
                <c:pt idx="0">
                  <c:v>1.0999999999999999E-2</c:v>
                </c:pt>
                <c:pt idx="1">
                  <c:v>3.0999999999999999E-3</c:v>
                </c:pt>
                <c:pt idx="2">
                  <c:v>1.1999999999999999E-3</c:v>
                </c:pt>
                <c:pt idx="3">
                  <c:v>5.940095645607853E-5</c:v>
                </c:pt>
                <c:pt idx="4">
                  <c:v>1.2E-2</c:v>
                </c:pt>
                <c:pt idx="5">
                  <c:v>2.3730741391789888E-3</c:v>
                </c:pt>
                <c:pt idx="6">
                  <c:v>5.0000000000000001E-3</c:v>
                </c:pt>
                <c:pt idx="7">
                  <c:v>1.1999999999999999E-3</c:v>
                </c:pt>
                <c:pt idx="8">
                  <c:v>1.2999999999999999E-3</c:v>
                </c:pt>
                <c:pt idx="9">
                  <c:v>5.7000000000000002E-3</c:v>
                </c:pt>
                <c:pt idx="10">
                  <c:v>6.9999999999999994E-5</c:v>
                </c:pt>
                <c:pt idx="11">
                  <c:v>4.1999999999999997E-3</c:v>
                </c:pt>
                <c:pt idx="12">
                  <c:v>1.6000000000000001E-3</c:v>
                </c:pt>
                <c:pt idx="13">
                  <c:v>3.0000000000000001E-5</c:v>
                </c:pt>
                <c:pt idx="14">
                  <c:v>9.0000000000000006E-5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72-4E82-A1F9-E0BFCDBA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53840"/>
        <c:axId val="491754400"/>
      </c:scatterChart>
      <c:valAx>
        <c:axId val="491753840"/>
        <c:scaling>
          <c:orientation val="minMax"/>
          <c:max val="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Fuel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Sulfur (ppm)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4400"/>
        <c:crosses val="autoZero"/>
        <c:crossBetween val="midCat"/>
      </c:valAx>
      <c:valAx>
        <c:axId val="4917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PM2.5 (lb/mmBTU)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75384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79</xdr:row>
      <xdr:rowOff>15240</xdr:rowOff>
    </xdr:from>
    <xdr:to>
      <xdr:col>13</xdr:col>
      <xdr:colOff>2112151</xdr:colOff>
      <xdr:row>123</xdr:row>
      <xdr:rowOff>64042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4523720"/>
          <a:ext cx="10250311" cy="80955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8CDF09-6F57-4C0F-A40A-E16DC2223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363090-82DC-46BF-8347-99705D673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48419F-2661-4B32-89AE-6F3CCCDE3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D4C9D0-A296-4CF2-A36C-A65D428C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146966-86B6-49D1-B751-807893FF3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15240</xdr:colOff>
      <xdr:row>56</xdr:row>
      <xdr:rowOff>175260</xdr:rowOff>
    </xdr:from>
    <xdr:to>
      <xdr:col>21</xdr:col>
      <xdr:colOff>746760</xdr:colOff>
      <xdr:row>71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402E0D-AF6D-FD2D-7A40-C7AA7E0840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56931</xdr:colOff>
      <xdr:row>123</xdr:row>
      <xdr:rowOff>188686</xdr:rowOff>
    </xdr:from>
    <xdr:to>
      <xdr:col>16</xdr:col>
      <xdr:colOff>6393793</xdr:colOff>
      <xdr:row>144</xdr:row>
      <xdr:rowOff>135758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6CE2BD-DCCA-40F3-B05F-0ED7252A9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420872</xdr:colOff>
      <xdr:row>2</xdr:row>
      <xdr:rowOff>177209</xdr:rowOff>
    </xdr:from>
    <xdr:to>
      <xdr:col>5</xdr:col>
      <xdr:colOff>339799</xdr:colOff>
      <xdr:row>40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24F26-0A30-45F2-AF14-7A5837739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72" y="558209"/>
          <a:ext cx="6060647" cy="678175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281940</xdr:colOff>
      <xdr:row>42</xdr:row>
      <xdr:rowOff>7620</xdr:rowOff>
    </xdr:from>
    <xdr:to>
      <xdr:col>25</xdr:col>
      <xdr:colOff>419100</xdr:colOff>
      <xdr:row>54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05634D-58CC-4CC8-A138-F65F309A0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281940</xdr:colOff>
      <xdr:row>60</xdr:row>
      <xdr:rowOff>7620</xdr:rowOff>
    </xdr:from>
    <xdr:to>
      <xdr:col>25</xdr:col>
      <xdr:colOff>419100</xdr:colOff>
      <xdr:row>72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6C869F-D318-4053-AC25-9F307F700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281940</xdr:colOff>
      <xdr:row>78</xdr:row>
      <xdr:rowOff>7620</xdr:rowOff>
    </xdr:from>
    <xdr:to>
      <xdr:col>25</xdr:col>
      <xdr:colOff>419100</xdr:colOff>
      <xdr:row>90</xdr:row>
      <xdr:rowOff>167640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8BCFEB-4194-498B-85EE-32760852F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EDEB8C-6557-425E-A79A-9A11A99E4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D9F60B-0ED0-474A-B541-9DF106CB0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4D351C-2E0F-4485-97B6-CD04F773E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5965D-9908-4FE5-82A5-0B99D933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6AF24-ADC6-4AE2-9079-9DFFC3DBD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AFAF94-5157-4A97-85FF-C1F1BCD73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661030-43EF-44C7-942B-FB5D57686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38</xdr:row>
      <xdr:rowOff>17145</xdr:rowOff>
    </xdr:from>
    <xdr:to>
      <xdr:col>6</xdr:col>
      <xdr:colOff>361950</xdr:colOff>
      <xdr:row>50</xdr:row>
      <xdr:rowOff>177165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3D247-7ADF-43E4-B9C3-2D8D5546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HSurvey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dulla/AppData/Local/Microsoft/Windows/Temporary%20Internet%20Files/Content.Outlook/NG1V0LEF/Copy%20of%20STF_PriorityMeasureBenefits_20180815_Dft3%20EW%20190131%20BACM%20Summary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Surve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stData"/>
      <sheetName val="BACM Summary"/>
      <sheetName val="Measure1"/>
      <sheetName val="Measure3"/>
      <sheetName val="Measure8"/>
      <sheetName val="Measure9"/>
      <sheetName val="Measure10"/>
      <sheetName val="Measure16"/>
      <sheetName val="Measure22"/>
      <sheetName val="Measure24"/>
      <sheetName val="Measure29"/>
      <sheetName val="Measure47"/>
      <sheetName val="Measure48"/>
      <sheetName val="Measure51"/>
      <sheetName val="Measure52"/>
      <sheetName val="Measure53"/>
      <sheetName val="MeasureR5"/>
      <sheetName val="MeasureR15"/>
      <sheetName val="MeasureR17"/>
      <sheetName val="MeasureR29"/>
      <sheetName val="Stakeholder3a"/>
      <sheetName val="Stakeholder3b"/>
      <sheetName val="Stakeholder13"/>
      <sheetName val="Measure31"/>
      <sheetName val="Measure49"/>
      <sheetName val="EPA3"/>
      <sheetName val="Devices"/>
      <sheetName val="Lookup"/>
      <sheetName val="ULSEFs"/>
      <sheetName val="EFs-BTU"/>
      <sheetName val="Moisture"/>
      <sheetName val="TabsAll"/>
      <sheetName val="DevSumOut-2019PB"/>
      <sheetName val="DevSumOut-2020PB"/>
      <sheetName val="DevSumOut-2021PB"/>
      <sheetName val="DevSumOut-2022PB"/>
      <sheetName val="DevSumOut-2023PB"/>
      <sheetName val="DevSumOut-2024PB"/>
      <sheetName val="HHSurveyG2"/>
      <sheetName val="EPAStoves"/>
      <sheetName val="EPAOHHPh2"/>
      <sheetName val="EPAOHHPh1"/>
      <sheetName val="EPAFPPh2"/>
      <sheetName val="EFs-OMNI"/>
      <sheetName val="EFs-AP42"/>
      <sheetName val="EPACert_H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7">
          <cell r="T17">
            <v>5780</v>
          </cell>
          <cell r="X17">
            <v>1.0999999999999999E-2</v>
          </cell>
        </row>
        <row r="18">
          <cell r="T18">
            <v>1570</v>
          </cell>
          <cell r="X18">
            <v>3.0999999999999999E-3</v>
          </cell>
        </row>
        <row r="19">
          <cell r="T19">
            <v>332</v>
          </cell>
          <cell r="X19">
            <v>1.1999999999999999E-3</v>
          </cell>
        </row>
        <row r="20">
          <cell r="T20">
            <v>11</v>
          </cell>
          <cell r="X20">
            <v>5.940095645607853E-5</v>
          </cell>
        </row>
        <row r="21">
          <cell r="T21">
            <v>5780</v>
          </cell>
          <cell r="X21">
            <v>1.2E-2</v>
          </cell>
        </row>
        <row r="22">
          <cell r="T22">
            <v>1440</v>
          </cell>
          <cell r="X22">
            <v>2.3730741391789888E-3</v>
          </cell>
        </row>
        <row r="23">
          <cell r="T23">
            <v>1440</v>
          </cell>
          <cell r="X23">
            <v>5.0000000000000001E-3</v>
          </cell>
        </row>
        <row r="24">
          <cell r="T24">
            <v>450</v>
          </cell>
          <cell r="X24">
            <v>1.1999999999999999E-3</v>
          </cell>
        </row>
        <row r="25">
          <cell r="T25">
            <v>11</v>
          </cell>
          <cell r="X25">
            <v>1.2999999999999999E-3</v>
          </cell>
        </row>
        <row r="26">
          <cell r="T26">
            <v>1900</v>
          </cell>
          <cell r="X26">
            <v>5.7000000000000002E-3</v>
          </cell>
        </row>
        <row r="27">
          <cell r="T27">
            <v>37</v>
          </cell>
          <cell r="X27">
            <v>6.9999999999999994E-5</v>
          </cell>
        </row>
        <row r="28">
          <cell r="T28">
            <v>1440</v>
          </cell>
          <cell r="X28">
            <v>4.1999999999999997E-3</v>
          </cell>
        </row>
        <row r="29">
          <cell r="T29">
            <v>332</v>
          </cell>
          <cell r="X29">
            <v>1.6000000000000001E-3</v>
          </cell>
        </row>
        <row r="30">
          <cell r="T30">
            <v>11</v>
          </cell>
          <cell r="X30">
            <v>3.0000000000000001E-5</v>
          </cell>
        </row>
        <row r="31">
          <cell r="T31">
            <v>37</v>
          </cell>
          <cell r="X31">
            <v>9.0000000000000006E-5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ia.gov/energyexplained/?page=about_energy_units" TargetMode="External"/><Relationship Id="rId1" Type="http://schemas.openxmlformats.org/officeDocument/2006/relationships/hyperlink" Target="https://www.eia.gov/outlooks/aeo/data/browser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mments" Target="../comments16.xml"/><Relationship Id="rId3" Type="http://schemas.openxmlformats.org/officeDocument/2006/relationships/hyperlink" Target="http://www.fngas.com/calculate.html" TargetMode="External"/><Relationship Id="rId7" Type="http://schemas.openxmlformats.org/officeDocument/2006/relationships/vmlDrawing" Target="../drawings/vmlDrawing16.vml"/><Relationship Id="rId2" Type="http://schemas.openxmlformats.org/officeDocument/2006/relationships/hyperlink" Target="http://www.fngas.com/calculate.html" TargetMode="External"/><Relationship Id="rId1" Type="http://schemas.openxmlformats.org/officeDocument/2006/relationships/hyperlink" Target="http://www.generatorjoe.net/html/energy.html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://www.fngas.com/calculate.html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 tint="0.59999389629810485"/>
    <pageSetUpPr fitToPage="1"/>
  </sheetPr>
  <dimension ref="A1:H18"/>
  <sheetViews>
    <sheetView tabSelected="1" zoomScale="80" zoomScaleNormal="80" workbookViewId="0">
      <selection activeCell="I17" sqref="I17"/>
    </sheetView>
  </sheetViews>
  <sheetFormatPr defaultRowHeight="15" x14ac:dyDescent="0.25"/>
  <cols>
    <col min="1" max="1" width="20.85546875" customWidth="1"/>
    <col min="2" max="2" width="84.140625" customWidth="1"/>
    <col min="3" max="8" width="13.5703125" customWidth="1"/>
  </cols>
  <sheetData>
    <row r="1" spans="1:8" ht="18.75" x14ac:dyDescent="0.25">
      <c r="A1" s="489" t="s">
        <v>1637</v>
      </c>
      <c r="B1" s="490"/>
      <c r="C1" s="490"/>
      <c r="D1" s="490"/>
      <c r="E1" s="490"/>
      <c r="F1" s="490"/>
      <c r="G1" s="490"/>
      <c r="H1" s="490"/>
    </row>
    <row r="2" spans="1:8" ht="15" customHeight="1" x14ac:dyDescent="0.3">
      <c r="A2" s="388"/>
      <c r="B2" s="389"/>
      <c r="C2" s="388"/>
      <c r="F2" s="486" t="s">
        <v>700</v>
      </c>
      <c r="G2" s="487"/>
      <c r="H2" s="488"/>
    </row>
    <row r="3" spans="1:8" ht="15" customHeight="1" x14ac:dyDescent="0.3">
      <c r="A3" s="388" t="s">
        <v>530</v>
      </c>
      <c r="B3" s="389"/>
      <c r="C3" s="388" t="s">
        <v>481</v>
      </c>
      <c r="D3" s="491" t="s">
        <v>1409</v>
      </c>
      <c r="E3" s="491"/>
      <c r="F3" s="461">
        <f>1-G3</f>
        <v>0.85</v>
      </c>
      <c r="G3" s="462">
        <v>0.15</v>
      </c>
      <c r="H3" s="388" t="s">
        <v>1557</v>
      </c>
    </row>
    <row r="4" spans="1:8" x14ac:dyDescent="0.25">
      <c r="A4" s="388" t="s">
        <v>1591</v>
      </c>
      <c r="B4" s="388" t="s">
        <v>699</v>
      </c>
      <c r="C4" s="388" t="s">
        <v>628</v>
      </c>
      <c r="D4" s="388" t="s">
        <v>91</v>
      </c>
      <c r="E4" s="388" t="s">
        <v>101</v>
      </c>
      <c r="F4" s="460" t="s">
        <v>91</v>
      </c>
      <c r="G4" s="460" t="s">
        <v>101</v>
      </c>
      <c r="H4" s="388" t="s">
        <v>1598</v>
      </c>
    </row>
    <row r="5" spans="1:8" x14ac:dyDescent="0.25">
      <c r="A5" s="390" t="s">
        <v>1592</v>
      </c>
      <c r="B5" s="391" t="str" cm="1">
        <f t="array" aca="1" ref="B5" ca="1">INDIRECT("'"&amp;$A5&amp;"'!A1")</f>
        <v>Measure 51ULS - Revision 1 (Annual Energy Use)</v>
      </c>
      <c r="C5" s="392" cm="1">
        <f t="array" aca="1" ref="C5" ca="1">INDIRECT("'"&amp;$A5&amp;"'!C228")</f>
        <v>1609293.1249979436</v>
      </c>
      <c r="D5" s="470" cm="1">
        <f t="array" aca="1" ref="D5" ca="1">INDIRECT("'"&amp;$A5&amp;"'!C230")</f>
        <v>-34.368376926531994</v>
      </c>
      <c r="E5" s="470" cm="1">
        <f t="array" aca="1" ref="E5" ca="1">INDIRECT("'"&amp;$A5&amp;"'!C231")</f>
        <v>669.1866934632327</v>
      </c>
      <c r="F5" s="392" cm="1">
        <f t="array" aca="1" ref="F5" ca="1">INDIRECT("'"&amp;$A5&amp;"'!C233")</f>
        <v>-46824.821795863973</v>
      </c>
      <c r="G5" s="392" cm="1">
        <f t="array" aca="1" ref="G5" ca="1">INDIRECT("'"&amp;$A5&amp;"'!C234")</f>
        <v>2404.8492606291843</v>
      </c>
      <c r="H5" s="469">
        <f t="shared" ref="H5:H11" ca="1" si="0">C5/SUMPRODUCT(D5:E5,F$3:G$3)</f>
        <v>22613.584718570812</v>
      </c>
    </row>
    <row r="6" spans="1:8" x14ac:dyDescent="0.25">
      <c r="A6" s="390" t="s">
        <v>1593</v>
      </c>
      <c r="B6" s="391" t="str" cm="1">
        <f t="array" aca="1" ref="B6" ca="1">INDIRECT("'"&amp;$A6&amp;"'!A1")</f>
        <v>Measure 51ULS - Revision 2 (Wood/Oil Efficiency Adjustment)</v>
      </c>
      <c r="C6" s="392" cm="1">
        <f t="array" aca="1" ref="C6" ca="1">INDIRECT("'"&amp;$A6&amp;"'!C228")</f>
        <v>1127929.4143945873</v>
      </c>
      <c r="D6" s="470" cm="1">
        <f t="array" aca="1" ref="D6" ca="1">INDIRECT("'"&amp;$A6&amp;"'!C230")</f>
        <v>-15.144597419935792</v>
      </c>
      <c r="E6" s="470" cm="1">
        <f t="array" aca="1" ref="E6" ca="1">INDIRECT("'"&amp;$A6&amp;"'!C231")</f>
        <v>669.86711054348621</v>
      </c>
      <c r="F6" s="392" cm="1">
        <f t="array" aca="1" ref="F6" ca="1">INDIRECT("'"&amp;$A6&amp;"'!C233")</f>
        <v>-74477.345492843699</v>
      </c>
      <c r="G6" s="392" cm="1">
        <f t="array" aca="1" ref="G6" ca="1">INDIRECT("'"&amp;$A6&amp;"'!C234")</f>
        <v>1683.8107090814765</v>
      </c>
      <c r="H6" s="469">
        <f t="shared" ca="1" si="0"/>
        <v>12874.854408837398</v>
      </c>
    </row>
    <row r="7" spans="1:8" x14ac:dyDescent="0.25">
      <c r="A7" s="390" t="s">
        <v>1594</v>
      </c>
      <c r="B7" s="391" t="str" cm="1">
        <f t="array" aca="1" ref="B7" ca="1">INDIRECT("'"&amp;$A7&amp;"'!A1")</f>
        <v>Measure 51ULS - Revision 3 (Combined and Weighted Cost Effectiveness)</v>
      </c>
      <c r="C7" s="392" cm="1">
        <f t="array" aca="1" ref="C7" ca="1">INDIRECT("'"&amp;$A7&amp;"'!C228")</f>
        <v>1127929.4143945873</v>
      </c>
      <c r="D7" s="470" cm="1">
        <f t="array" aca="1" ref="D7" ca="1">INDIRECT("'"&amp;$A7&amp;"'!C230")</f>
        <v>-15.144597419935792</v>
      </c>
      <c r="E7" s="470" cm="1">
        <f t="array" aca="1" ref="E7" ca="1">INDIRECT("'"&amp;$A7&amp;"'!C231")</f>
        <v>669.86711054348621</v>
      </c>
      <c r="F7" s="392" cm="1">
        <f t="array" aca="1" ref="F7" ca="1">INDIRECT("'"&amp;$A7&amp;"'!C233")</f>
        <v>-74477.345492843699</v>
      </c>
      <c r="G7" s="392" cm="1">
        <f t="array" aca="1" ref="G7" ca="1">INDIRECT("'"&amp;$A7&amp;"'!C234")</f>
        <v>1683.8107090814765</v>
      </c>
      <c r="H7" s="469">
        <f t="shared" ca="1" si="0"/>
        <v>12874.854408837398</v>
      </c>
    </row>
    <row r="8" spans="1:8" x14ac:dyDescent="0.25">
      <c r="A8" s="390" t="s">
        <v>1596</v>
      </c>
      <c r="B8" s="391" t="str" cm="1">
        <f t="array" aca="1" ref="B8" ca="1">INDIRECT("'"&amp;$A8&amp;"'!A1")</f>
        <v>Measure 51ULS - Revision 4 (Correction of Fuel Use Impacts from Reduced Boiler Fouling)</v>
      </c>
      <c r="C8" s="392" cm="1">
        <f t="array" aca="1" ref="C8" ca="1">INDIRECT("'"&amp;$A8&amp;"'!C228")</f>
        <v>16851620.76858604</v>
      </c>
      <c r="D8" s="470" cm="1">
        <f t="array" aca="1" ref="D8" ca="1">INDIRECT("'"&amp;$A8&amp;"'!C230")</f>
        <v>-15.295840397725783</v>
      </c>
      <c r="E8" s="470" cm="1">
        <f t="array" aca="1" ref="E8" ca="1">INDIRECT("'"&amp;$A8&amp;"'!C231")</f>
        <v>669.35436362017526</v>
      </c>
      <c r="F8" s="392" cm="1">
        <f t="array" aca="1" ref="F8" ca="1">INDIRECT("'"&amp;$A8&amp;"'!C233")</f>
        <v>-1101712.6441180422</v>
      </c>
      <c r="G8" s="392" cm="1">
        <f t="array" aca="1" ref="G8" ca="1">INDIRECT("'"&amp;$A8&amp;"'!C234")</f>
        <v>25175.933234295731</v>
      </c>
      <c r="H8" s="469">
        <f t="shared" ca="1" si="0"/>
        <v>192806.57764247491</v>
      </c>
    </row>
    <row r="9" spans="1:8" x14ac:dyDescent="0.25">
      <c r="A9" s="476" t="s">
        <v>1595</v>
      </c>
      <c r="B9" s="477" t="str" cm="1">
        <f t="array" aca="1" ref="B9" ca="1">INDIRECT("'"&amp;$A9&amp;"'!A1")</f>
        <v>Measure 51ULS - Revision 5a (Local Oil Device Survey Data &amp; BNL ULSD Maint Interval)</v>
      </c>
      <c r="C9" s="478" cm="1">
        <f t="array" aca="1" ref="C9" ca="1">INDIRECT("'"&amp;$A9&amp;"'!C228")</f>
        <v>5091313.847102046</v>
      </c>
      <c r="D9" s="479" cm="1">
        <f t="array" aca="1" ref="D9" ca="1">INDIRECT("'"&amp;$A9&amp;"'!C230")</f>
        <v>-15.295840397725783</v>
      </c>
      <c r="E9" s="479" cm="1">
        <f t="array" aca="1" ref="E9" ca="1">INDIRECT("'"&amp;$A9&amp;"'!C231")</f>
        <v>669.35436362017526</v>
      </c>
      <c r="F9" s="478" cm="1">
        <f t="array" aca="1" ref="F9" ca="1">INDIRECT("'"&amp;$A9&amp;"'!C233")</f>
        <v>-332856.10432095203</v>
      </c>
      <c r="G9" s="478" cm="1">
        <f t="array" aca="1" ref="G9" ca="1">INDIRECT("'"&amp;$A9&amp;"'!C234")</f>
        <v>7606.3056040538622</v>
      </c>
      <c r="H9" s="480">
        <f t="shared" ca="1" si="0"/>
        <v>58251.892327971851</v>
      </c>
    </row>
    <row r="10" spans="1:8" x14ac:dyDescent="0.25">
      <c r="A10" s="476" t="s">
        <v>1597</v>
      </c>
      <c r="B10" s="477" t="str" cm="1">
        <f t="array" aca="1" ref="B10" ca="1">INDIRECT("'"&amp;$A10&amp;"'!A1")</f>
        <v>Measure 51ULS - Revision 5b (Local Oil Device Survey Data &amp; Adjusted ULSD Maint Interval)</v>
      </c>
      <c r="C10" s="478" cm="1">
        <f t="array" aca="1" ref="C10" ca="1">INDIRECT("'"&amp;$A10&amp;"'!C228")</f>
        <v>7403698.9673849046</v>
      </c>
      <c r="D10" s="479" cm="1">
        <f t="array" aca="1" ref="D10" ca="1">INDIRECT("'"&amp;$A10&amp;"'!C230")</f>
        <v>-15.295840397725783</v>
      </c>
      <c r="E10" s="479" cm="1">
        <f t="array" aca="1" ref="E10" ca="1">INDIRECT("'"&amp;$A10&amp;"'!C231")</f>
        <v>669.35436362017526</v>
      </c>
      <c r="F10" s="478" cm="1">
        <f t="array" aca="1" ref="F10" ca="1">INDIRECT("'"&amp;$A10&amp;"'!C233")</f>
        <v>-484033.48720124603</v>
      </c>
      <c r="G10" s="478" cm="1">
        <f t="array" aca="1" ref="G10" ca="1">INDIRECT("'"&amp;$A10&amp;"'!C234")</f>
        <v>11060.955705647912</v>
      </c>
      <c r="H10" s="480">
        <f t="shared" ca="1" si="0"/>
        <v>84708.876338924631</v>
      </c>
    </row>
    <row r="11" spans="1:8" x14ac:dyDescent="0.25">
      <c r="A11" s="481" t="s">
        <v>1621</v>
      </c>
      <c r="B11" s="482" t="str" cm="1">
        <f t="array" aca="1" ref="B11" ca="1">INDIRECT("'"&amp;$A11&amp;"'!A1")</f>
        <v>Measure 51ULS - Revision 6 (Revision 5a with High Base Fuel Price, Additive ULSD Price Increase)</v>
      </c>
      <c r="C11" s="483" cm="1">
        <f t="array" aca="1" ref="C11" ca="1">INDIRECT("'"&amp;$A11&amp;"'!C228")</f>
        <v>7168093.2608414888</v>
      </c>
      <c r="D11" s="484" cm="1">
        <f t="array" aca="1" ref="D11" ca="1">INDIRECT("'"&amp;$A11&amp;"'!C230")</f>
        <v>-3.9297435302785289</v>
      </c>
      <c r="E11" s="484" cm="1">
        <f t="array" aca="1" ref="E11" ca="1">INDIRECT("'"&amp;$A11&amp;"'!C231")</f>
        <v>669.65296934561434</v>
      </c>
      <c r="F11" s="483" cm="1">
        <f t="array" aca="1" ref="F11" ca="1">INDIRECT("'"&amp;$A11&amp;"'!C233")</f>
        <v>-1824061.3428361404</v>
      </c>
      <c r="G11" s="483" cm="1">
        <f t="array" aca="1" ref="G11" ca="1">INDIRECT("'"&amp;$A11&amp;"'!C234")</f>
        <v>10704.190960052276</v>
      </c>
      <c r="H11" s="485">
        <f t="shared" ca="1" si="0"/>
        <v>73815.937998976631</v>
      </c>
    </row>
    <row r="12" spans="1:8" x14ac:dyDescent="0.25">
      <c r="A12" s="481" t="s">
        <v>1624</v>
      </c>
      <c r="B12" s="482" t="str" cm="1">
        <f t="array" aca="1" ref="B12" ca="1">INDIRECT("'"&amp;$A12&amp;"'!A1")</f>
        <v>Measure 51ULS - Revision 7L (Low Base Fuel Price, Relative ULSD Price Increase)</v>
      </c>
      <c r="C12" s="483" cm="1">
        <f t="array" aca="1" ref="C12" ca="1">INDIRECT("'"&amp;$A12&amp;"'!C228")</f>
        <v>9511388.9480268955</v>
      </c>
      <c r="D12" s="484" cm="1">
        <f t="array" aca="1" ref="D12" ca="1">INDIRECT("'"&amp;$A12&amp;"'!C230")</f>
        <v>-23.183515910346443</v>
      </c>
      <c r="E12" s="484" cm="1">
        <f t="array" aca="1" ref="E12" ca="1">INDIRECT("'"&amp;$A12&amp;"'!C231")</f>
        <v>669.14714164275051</v>
      </c>
      <c r="F12" s="483" cm="1">
        <f t="array" aca="1" ref="F12" ca="1">INDIRECT("'"&amp;$A12&amp;"'!C233")</f>
        <v>-410265.1636105855</v>
      </c>
      <c r="G12" s="483" cm="1">
        <f t="array" aca="1" ref="G12" ca="1">INDIRECT("'"&amp;$A12&amp;"'!C234")</f>
        <v>14214.196484014738</v>
      </c>
      <c r="H12" s="485">
        <f t="shared" ref="H12:H15" ca="1" si="1">C12/SUMPRODUCT(D12:E12,F$3:G$3)</f>
        <v>117910.63389966724</v>
      </c>
    </row>
    <row r="13" spans="1:8" x14ac:dyDescent="0.25">
      <c r="A13" s="481" t="s">
        <v>1625</v>
      </c>
      <c r="B13" s="482" t="str" cm="1">
        <f t="array" aca="1" ref="B13" ca="1">INDIRECT("'"&amp;$A13&amp;"'!A1")</f>
        <v>Measure 51ULS - Revision 7H (High Base Fuel Price, Relative ULSD Price Increase)</v>
      </c>
      <c r="C13" s="483" cm="1">
        <f t="array" aca="1" ref="C13" ca="1">INDIRECT("'"&amp;$A13&amp;"'!C228")</f>
        <v>26557882.048647523</v>
      </c>
      <c r="D13" s="484" cm="1">
        <f t="array" aca="1" ref="D13" ca="1">INDIRECT("'"&amp;$A13&amp;"'!C230")</f>
        <v>-23.183515910346443</v>
      </c>
      <c r="E13" s="484" cm="1">
        <f t="array" aca="1" ref="E13" ca="1">INDIRECT("'"&amp;$A13&amp;"'!C231")</f>
        <v>669.14714164275051</v>
      </c>
      <c r="F13" s="483" cm="1">
        <f t="array" aca="1" ref="F13" ca="1">INDIRECT("'"&amp;$A13&amp;"'!C233")</f>
        <v>-1145550.2328184464</v>
      </c>
      <c r="G13" s="483" cm="1">
        <f t="array" aca="1" ref="G13" ca="1">INDIRECT("'"&amp;$A13&amp;"'!C234")</f>
        <v>39689.151153583574</v>
      </c>
      <c r="H13" s="485">
        <f t="shared" ca="1" si="1"/>
        <v>329232.32605667255</v>
      </c>
    </row>
    <row r="14" spans="1:8" x14ac:dyDescent="0.25">
      <c r="A14" s="481" t="s">
        <v>1633</v>
      </c>
      <c r="B14" s="482" t="str" cm="1">
        <f t="array" aca="1" ref="B14" ca="1">INDIRECT("'"&amp;$A14&amp;"'!A1")</f>
        <v>Measure 51ULS - Revision 8LA (#1 as Baseline Fuel, Low Fuel Price, Additive ULSD Price Increase)</v>
      </c>
      <c r="C14" s="483" cm="1">
        <f t="array" aca="1" ref="C14" ca="1">INDIRECT("'"&amp;$A14&amp;"'!C228")</f>
        <v>10192237.560304791</v>
      </c>
      <c r="D14" s="484" cm="1">
        <f t="array" aca="1" ref="D14" ca="1">INDIRECT("'"&amp;$A14&amp;"'!C230")</f>
        <v>-16.491637131681671</v>
      </c>
      <c r="E14" s="484" cm="1">
        <f t="array" aca="1" ref="E14" ca="1">INDIRECT("'"&amp;$A14&amp;"'!C231")</f>
        <v>339.75825470066803</v>
      </c>
      <c r="F14" s="483" cm="1">
        <f t="array" aca="1" ref="F14" ca="1">INDIRECT("'"&amp;$A14&amp;"'!C233")</f>
        <v>-618024.60719468165</v>
      </c>
      <c r="G14" s="483" cm="1">
        <f t="array" aca="1" ref="G14" ca="1">INDIRECT("'"&amp;$A14&amp;"'!C234")</f>
        <v>29998.498695151058</v>
      </c>
      <c r="H14" s="485">
        <f t="shared" ca="1" si="1"/>
        <v>275869.64398848778</v>
      </c>
    </row>
    <row r="15" spans="1:8" x14ac:dyDescent="0.25">
      <c r="A15" s="481" t="s">
        <v>1634</v>
      </c>
      <c r="B15" s="482" t="str" cm="1">
        <f t="array" aca="1" ref="B15" ca="1">INDIRECT("'"&amp;$A15&amp;"'!A1")</f>
        <v>Measure 51ULS - Revision 8HA (#1 as Baseline Fuel, High Fuel Price, Additive ULSD Price Increase)</v>
      </c>
      <c r="C15" s="483" cm="1">
        <f t="array" aca="1" ref="C15" ca="1">INDIRECT("'"&amp;$A15&amp;"'!C228")</f>
        <v>9428453.2117975354</v>
      </c>
      <c r="D15" s="484" cm="1">
        <f t="array" aca="1" ref="D15" ca="1">INDIRECT("'"&amp;$A15&amp;"'!C230")</f>
        <v>-7.3423876170853646</v>
      </c>
      <c r="E15" s="484" cm="1">
        <f t="array" aca="1" ref="E15" ca="1">INDIRECT("'"&amp;$A15&amp;"'!C231")</f>
        <v>339.9979266356998</v>
      </c>
      <c r="F15" s="483" cm="1">
        <f t="array" aca="1" ref="F15" ca="1">INDIRECT("'"&amp;$A15&amp;"'!C233")</f>
        <v>-1284112.7033198304</v>
      </c>
      <c r="G15" s="483" cm="1">
        <f t="array" aca="1" ref="G15" ca="1">INDIRECT("'"&amp;$A15&amp;"'!C234")</f>
        <v>27730.91384730682</v>
      </c>
      <c r="H15" s="485">
        <f t="shared" ca="1" si="1"/>
        <v>210650.92906567434</v>
      </c>
    </row>
    <row r="16" spans="1:8" x14ac:dyDescent="0.25">
      <c r="A16" s="481" t="s">
        <v>1635</v>
      </c>
      <c r="B16" s="482" t="str" cm="1">
        <f t="array" aca="1" ref="B16" ca="1">INDIRECT("'"&amp;$A16&amp;"'!A1")</f>
        <v>Measure 51ULS - Revision 8LR (#1 as Baseline Fuel, Low Fuel Price, Relative ULSD Price Increase)</v>
      </c>
      <c r="C16" s="483" cm="1">
        <f t="array" aca="1" ref="C16" ca="1">INDIRECT("'"&amp;$A16&amp;"'!C228")</f>
        <v>13633644.637473583</v>
      </c>
      <c r="D16" s="484" cm="1">
        <f t="array" aca="1" ref="D16" ca="1">INDIRECT("'"&amp;$A16&amp;"'!C230")</f>
        <v>-22.51545189694491</v>
      </c>
      <c r="E16" s="484" cm="1">
        <f t="array" aca="1" ref="E16" ca="1">INDIRECT("'"&amp;$A16&amp;"'!C231")</f>
        <v>339.60045603764536</v>
      </c>
      <c r="F16" s="483" cm="1">
        <f t="array" aca="1" ref="F16" ca="1">INDIRECT("'"&amp;$A16&amp;"'!C233")</f>
        <v>-605523.91752454732</v>
      </c>
      <c r="G16" s="483" cm="1">
        <f t="array" aca="1" ref="G16" ca="1">INDIRECT("'"&amp;$A16&amp;"'!C234")</f>
        <v>40146.131711796843</v>
      </c>
      <c r="H16" s="485">
        <f t="shared" ref="H16:H17" ca="1" si="2">C16/SUMPRODUCT(D16:E16,F$3:G$3)</f>
        <v>428704.88668263395</v>
      </c>
    </row>
    <row r="17" spans="1:8" x14ac:dyDescent="0.25">
      <c r="A17" s="481" t="s">
        <v>1636</v>
      </c>
      <c r="B17" s="482" t="str" cm="1">
        <f t="array" aca="1" ref="B17" ca="1">INDIRECT("'"&amp;$A17&amp;"'!A1")</f>
        <v>Measure 51ULS - Revision 8HR (#1 as Baseline Fuel, High Fuel Price, Relative ULSD Price Increase)</v>
      </c>
      <c r="C17" s="483" cm="1">
        <f t="array" aca="1" ref="C17" ca="1">INDIRECT("'"&amp;$A17&amp;"'!C228")</f>
        <v>24775099.381653368</v>
      </c>
      <c r="D17" s="484" cm="1">
        <f t="array" aca="1" ref="D17" ca="1">INDIRECT("'"&amp;$A17&amp;"'!C230")</f>
        <v>-22.51545189694491</v>
      </c>
      <c r="E17" s="484" cm="1">
        <f t="array" aca="1" ref="E17" ca="1">INDIRECT("'"&amp;$A17&amp;"'!C231")</f>
        <v>339.60045603764536</v>
      </c>
      <c r="F17" s="483" cm="1">
        <f t="array" aca="1" ref="F17" ca="1">INDIRECT("'"&amp;$A17&amp;"'!C233")</f>
        <v>-1100359.8548699378</v>
      </c>
      <c r="G17" s="483" cm="1">
        <f t="array" aca="1" ref="G17" ca="1">INDIRECT("'"&amp;$A17&amp;"'!C234")</f>
        <v>72953.669352278492</v>
      </c>
      <c r="H17" s="485">
        <f t="shared" ca="1" si="2"/>
        <v>779043.78875837359</v>
      </c>
    </row>
    <row r="18" spans="1:8" x14ac:dyDescent="0.25">
      <c r="A18" s="2"/>
      <c r="C18" s="228"/>
      <c r="D18" s="75"/>
      <c r="E18" s="75"/>
      <c r="F18" s="316"/>
      <c r="G18" s="316"/>
    </row>
  </sheetData>
  <sheetProtection algorithmName="SHA-512" hashValue="sefO8JXf2dcXUxwC3f3BPL9ohL6DUqDinbA+hWQBeSgHJOoxA52RfoAgx+z3AhoxiGGn9oXLNAUcCrAPxLmw3g==" saltValue="+MwHFZ9PevaVbPu2p/HbSQ==" spinCount="100000" sheet="1" objects="1" scenarios="1"/>
  <mergeCells count="3">
    <mergeCell ref="F2:H2"/>
    <mergeCell ref="A1:H1"/>
    <mergeCell ref="D3:E3"/>
  </mergeCells>
  <printOptions horizontalCentered="1" gridLines="1"/>
  <pageMargins left="0.25" right="0.25" top="0.75" bottom="0.75" header="0.3" footer="0.3"/>
  <pageSetup scale="71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C3AA8-70A6-4A5C-8994-2FCEAE77C96A}">
  <sheetPr codeName="Sheet10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1622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8" x14ac:dyDescent="0.25">
      <c r="B121" s="1"/>
      <c r="C121" s="326" t="s">
        <v>718</v>
      </c>
      <c r="D121" s="328">
        <f>1-1/(1+D120)</f>
        <v>1.477832512315258E-2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410">
        <f>G126*D127</f>
        <v>0.53064529870420474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34">
        <f>CostData!O$78</f>
        <v>0.18552036199095023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5.4542986425339363E-2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5.8995475113122177E-2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-811.13337877880838</v>
      </c>
      <c r="F145" s="330"/>
      <c r="G145" s="329">
        <f ca="1">B145*$B$68</f>
        <v>514.14458302037144</v>
      </c>
      <c r="H145" s="49">
        <f ca="1">SUM(D145:G145)</f>
        <v>14574.462731545087</v>
      </c>
      <c r="I145" s="428">
        <f ca="1">H145/B145-1</f>
        <v>-3.4453593420909479E-2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-262.23781190635225</v>
      </c>
      <c r="F146" s="330"/>
      <c r="G146" s="330"/>
      <c r="H146" s="49">
        <f ca="1">SUM(D146:G146)</f>
        <v>4545.6729589003389</v>
      </c>
      <c r="I146" s="428">
        <f ca="1">H146/B146-1</f>
        <v>-6.8515257561910681E-2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198.36648827509671</v>
      </c>
      <c r="F147" s="332">
        <f ca="1">E147/F138-E147</f>
        <v>69.428270896283863</v>
      </c>
      <c r="G147" s="284"/>
      <c r="H147" s="94">
        <f ca="1">SUM(D147:G147)</f>
        <v>3630.1965009106329</v>
      </c>
      <c r="I147" s="429">
        <f ca="1">H147/B147-1</f>
        <v>7.9643891402714884E-2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-875.00470241006394</v>
      </c>
      <c r="F148" s="93">
        <f t="shared" ca="1" si="3"/>
        <v>69.428270896283863</v>
      </c>
      <c r="G148" s="93">
        <f t="shared" ca="1" si="3"/>
        <v>514.14458302037144</v>
      </c>
      <c r="H148" s="93">
        <f t="shared" ca="1" si="3"/>
        <v>22750.332191356058</v>
      </c>
      <c r="I148" s="430">
        <f ca="1">H148/B148-1</f>
        <v>-2.5137053920662789E-2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14.150392830653487</v>
      </c>
      <c r="C158" s="421">
        <f t="shared" ref="C158:H160" ca="1" si="6">C152*$H145*365/2000</f>
        <v>213.10820995900599</v>
      </c>
      <c r="D158" s="422">
        <f t="shared" ca="1" si="6"/>
        <v>4.2272562032667507</v>
      </c>
      <c r="E158" s="421">
        <f t="shared" ca="1" si="6"/>
        <v>1.2468974205341183</v>
      </c>
      <c r="F158" s="423">
        <f t="shared" ca="1" si="6"/>
        <v>1.2468974205341183</v>
      </c>
      <c r="G158" s="421">
        <f t="shared" ca="1" si="6"/>
        <v>0.48616293076246309</v>
      </c>
      <c r="H158" s="421">
        <f t="shared" ca="1" si="6"/>
        <v>8.8880672492609349</v>
      </c>
    </row>
    <row r="159" spans="1:9" x14ac:dyDescent="0.25">
      <c r="A159" t="s">
        <v>739</v>
      </c>
      <c r="B159" s="14">
        <f ca="1">B153*$H146*365/2000</f>
        <v>4.4134085237253666</v>
      </c>
      <c r="C159" s="14">
        <f t="shared" ca="1" si="6"/>
        <v>66.466959720827532</v>
      </c>
      <c r="D159" s="266">
        <f t="shared" ca="1" si="6"/>
        <v>1.318451634717396</v>
      </c>
      <c r="E159" s="14">
        <f t="shared" ca="1" si="6"/>
        <v>0.38889858181713177</v>
      </c>
      <c r="F159" s="424">
        <f t="shared" ca="1" si="6"/>
        <v>0.38889858181713177</v>
      </c>
      <c r="G159" s="14">
        <f t="shared" ca="1" si="6"/>
        <v>0.15163081677127344</v>
      </c>
      <c r="H159" s="14">
        <f t="shared" ca="1" si="6"/>
        <v>2.7721259916090211</v>
      </c>
    </row>
    <row r="160" spans="1:9" x14ac:dyDescent="0.25">
      <c r="A160" s="5" t="s">
        <v>486</v>
      </c>
      <c r="B160" s="251">
        <f ca="1">B154*$H147*365/2000</f>
        <v>1687.4549655857136</v>
      </c>
      <c r="C160" s="251">
        <f t="shared" ca="1" si="6"/>
        <v>79.293309938467502</v>
      </c>
      <c r="D160" s="395">
        <f t="shared" ca="1" si="6"/>
        <v>16.24677568697529</v>
      </c>
      <c r="E160" s="251">
        <f t="shared" ca="1" si="6"/>
        <v>459.0190966152694</v>
      </c>
      <c r="F160" s="425">
        <f t="shared" ca="1" si="6"/>
        <v>459.0190966152694</v>
      </c>
      <c r="G160" s="251">
        <f t="shared" ca="1" si="6"/>
        <v>17.268412065301842</v>
      </c>
      <c r="H160" s="251">
        <f t="shared" ca="1" si="6"/>
        <v>4877.1308097338751</v>
      </c>
    </row>
    <row r="161" spans="1:12" x14ac:dyDescent="0.25">
      <c r="A161" s="91" t="s">
        <v>222</v>
      </c>
      <c r="B161" s="397">
        <f ca="1">SUM(B158:B160)</f>
        <v>1706.0187669400925</v>
      </c>
      <c r="C161" s="397">
        <f t="shared" ref="C161:H161" ca="1" si="7">SUM(C158:C160)</f>
        <v>358.86847961830097</v>
      </c>
      <c r="D161" s="426">
        <f t="shared" ca="1" si="7"/>
        <v>21.792483524959437</v>
      </c>
      <c r="E161" s="397">
        <f t="shared" ca="1" si="7"/>
        <v>460.65489261762065</v>
      </c>
      <c r="F161" s="427">
        <f t="shared" ca="1" si="7"/>
        <v>460.65489261762065</v>
      </c>
      <c r="G161" s="397">
        <f t="shared" ca="1" si="7"/>
        <v>17.90620581283558</v>
      </c>
      <c r="H161" s="397">
        <f t="shared" ca="1" si="7"/>
        <v>4888.7910029747454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-123.80493525572433</v>
      </c>
      <c r="C168" s="396">
        <f t="shared" ref="C168:H168" ca="1" si="8">(C$105-C$161)*$I168</f>
        <v>60.870700295036841</v>
      </c>
      <c r="D168" s="419">
        <f t="shared" ca="1" si="8"/>
        <v>669.14714164275051</v>
      </c>
      <c r="E168" s="396">
        <f t="shared" ca="1" si="8"/>
        <v>-23.183515910346443</v>
      </c>
      <c r="F168" s="420">
        <f t="shared" ca="1" si="8"/>
        <v>-23.183515910346443</v>
      </c>
      <c r="G168" s="396">
        <f t="shared" ca="1" si="8"/>
        <v>-1.2506298325341128</v>
      </c>
      <c r="H168" s="396">
        <f t="shared" ca="1" si="8"/>
        <v>-359.35460441512987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-123.80493525572433</v>
      </c>
      <c r="C169" s="396">
        <f t="shared" ca="1" si="10"/>
        <v>60.870700295036841</v>
      </c>
      <c r="D169" s="419">
        <f t="shared" ca="1" si="10"/>
        <v>669.14714164275051</v>
      </c>
      <c r="E169" s="396">
        <f t="shared" ca="1" si="10"/>
        <v>-23.183515910346443</v>
      </c>
      <c r="F169" s="420">
        <f t="shared" ca="1" si="10"/>
        <v>-23.183515910346443</v>
      </c>
      <c r="G169" s="396">
        <f t="shared" ca="1" si="10"/>
        <v>-1.2506298325341128</v>
      </c>
      <c r="H169" s="396">
        <f t="shared" ca="1" si="10"/>
        <v>-359.35460441512987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-123.80493525572433</v>
      </c>
      <c r="C170" s="396">
        <f t="shared" ca="1" si="10"/>
        <v>60.870700295036841</v>
      </c>
      <c r="D170" s="419">
        <f t="shared" ca="1" si="10"/>
        <v>669.14714164275051</v>
      </c>
      <c r="E170" s="396">
        <f t="shared" ca="1" si="10"/>
        <v>-23.183515910346443</v>
      </c>
      <c r="F170" s="420">
        <f t="shared" ca="1" si="10"/>
        <v>-23.183515910346443</v>
      </c>
      <c r="G170" s="396">
        <f t="shared" ca="1" si="10"/>
        <v>-1.2506298325341128</v>
      </c>
      <c r="H170" s="396">
        <f t="shared" ca="1" si="10"/>
        <v>-359.35460441512987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-123.80493525572433</v>
      </c>
      <c r="C171" s="396">
        <f t="shared" ca="1" si="10"/>
        <v>60.870700295036841</v>
      </c>
      <c r="D171" s="419">
        <f t="shared" ca="1" si="10"/>
        <v>669.14714164275051</v>
      </c>
      <c r="E171" s="396">
        <f t="shared" ca="1" si="10"/>
        <v>-23.183515910346443</v>
      </c>
      <c r="F171" s="420">
        <f t="shared" ca="1" si="10"/>
        <v>-23.183515910346443</v>
      </c>
      <c r="G171" s="396">
        <f t="shared" ca="1" si="10"/>
        <v>-1.2506298325341128</v>
      </c>
      <c r="H171" s="396">
        <f t="shared" ca="1" si="10"/>
        <v>-359.35460441512987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-123.80493525572433</v>
      </c>
      <c r="C172" s="396">
        <f t="shared" ca="1" si="10"/>
        <v>60.870700295036841</v>
      </c>
      <c r="D172" s="419">
        <f t="shared" ca="1" si="10"/>
        <v>669.14714164275051</v>
      </c>
      <c r="E172" s="396">
        <f t="shared" ca="1" si="10"/>
        <v>-23.183515910346443</v>
      </c>
      <c r="F172" s="420">
        <f t="shared" ca="1" si="10"/>
        <v>-23.183515910346443</v>
      </c>
      <c r="G172" s="396">
        <f t="shared" ca="1" si="10"/>
        <v>-1.2506298325341128</v>
      </c>
      <c r="H172" s="396">
        <f t="shared" ca="1" si="10"/>
        <v>-359.35460441512987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-123.80493525572433</v>
      </c>
      <c r="C173" s="396">
        <f t="shared" ca="1" si="10"/>
        <v>60.870700295036841</v>
      </c>
      <c r="D173" s="419">
        <f t="shared" ca="1" si="10"/>
        <v>669.14714164275051</v>
      </c>
      <c r="E173" s="396">
        <f t="shared" ca="1" si="10"/>
        <v>-23.183515910346443</v>
      </c>
      <c r="F173" s="420">
        <f t="shared" ca="1" si="10"/>
        <v>-23.183515910346443</v>
      </c>
      <c r="G173" s="396">
        <f t="shared" ca="1" si="10"/>
        <v>-1.2506298325341128</v>
      </c>
      <c r="H173" s="396">
        <f t="shared" ca="1" si="10"/>
        <v>-359.35460441512987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-123.80493525572433</v>
      </c>
      <c r="C174" s="396">
        <f t="shared" ca="1" si="10"/>
        <v>60.870700295036841</v>
      </c>
      <c r="D174" s="419">
        <f t="shared" ca="1" si="10"/>
        <v>669.14714164275051</v>
      </c>
      <c r="E174" s="396">
        <f t="shared" ca="1" si="10"/>
        <v>-23.183515910346443</v>
      </c>
      <c r="F174" s="420">
        <f t="shared" ca="1" si="10"/>
        <v>-23.183515910346443</v>
      </c>
      <c r="G174" s="396">
        <f t="shared" ca="1" si="10"/>
        <v>-1.2506298325341128</v>
      </c>
      <c r="H174" s="396">
        <f t="shared" ca="1" si="10"/>
        <v>-359.35460441512987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G126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 s="14">
        <f>CostData!O$66</f>
        <v>1.1138181664406654</v>
      </c>
      <c r="S190" s="320">
        <f>CostData!O$65</f>
        <v>491.97546434304058</v>
      </c>
      <c r="T190" s="337">
        <f>S190/R190</f>
        <v>441.70177787206057</v>
      </c>
      <c r="U190" s="320">
        <f ca="1">T190*B190</f>
        <v>14315035.578188689</v>
      </c>
      <c r="V190" s="302">
        <f ca="1">Q190+T190</f>
        <v>4069.8520279485447</v>
      </c>
      <c r="W190" s="294">
        <f ca="1">P190+U190</f>
        <v>131899121.75296225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 s="14">
        <f>CostData!O$66</f>
        <v>1.1138181664406654</v>
      </c>
      <c r="S191" s="320">
        <f>CostData!O$65</f>
        <v>491.97546434304058</v>
      </c>
      <c r="T191" s="337">
        <f>S191/R191</f>
        <v>441.70177787206057</v>
      </c>
      <c r="U191" s="320">
        <f ca="1">T191*B191</f>
        <v>712023.26592976169</v>
      </c>
      <c r="V191" s="302">
        <f ca="1">Q191+T191</f>
        <v>24379.218617259598</v>
      </c>
      <c r="W191" s="294">
        <f ca="1">P191+U191</f>
        <v>39299300.411022469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15027058.844118452</v>
      </c>
      <c r="V193" s="303"/>
      <c r="W193" s="343">
        <f ca="1">SUM(W190:W192)</f>
        <v>181844381.2248618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14574.462731545087</v>
      </c>
      <c r="F208" s="6">
        <f ca="1">E208/B208</f>
        <v>0.44970660847411681</v>
      </c>
      <c r="G208" s="311">
        <f ca="1">E208/L208</f>
        <v>108746.70276588207</v>
      </c>
      <c r="H208" s="14">
        <f ca="1">G208/B208</f>
        <v>3.3554657749228194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3.3909528844024788</v>
      </c>
      <c r="O208" s="309" t="str">
        <f>CostData!$F$9</f>
        <v>/gal</v>
      </c>
      <c r="P208" s="294">
        <f t="shared" ref="P208:Q210" ca="1" si="12">G208*$N208*365</f>
        <v>134595555.07582781</v>
      </c>
      <c r="Q208" s="294">
        <f t="shared" ca="1" si="12"/>
        <v>4153.0526170157418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4249.0747426401031</v>
      </c>
      <c r="W208" s="294">
        <f ca="1">P208+U208</f>
        <v>137707519.33195579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4545.6729589003389</v>
      </c>
      <c r="F209" s="6">
        <f ca="1">E209/B209</f>
        <v>2.8198963764890439</v>
      </c>
      <c r="G209" s="49">
        <f ca="1">E209/L209</f>
        <v>33869.686104438937</v>
      </c>
      <c r="H209" s="14">
        <f ca="1">G209/B209</f>
        <v>21.010971528808273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3.3909528844024788</v>
      </c>
      <c r="O209" s="309" t="str">
        <f>CostData!$F$9</f>
        <v>/gal</v>
      </c>
      <c r="P209" s="294">
        <f t="shared" ca="1" si="12"/>
        <v>41920436.073223621</v>
      </c>
      <c r="Q209" s="294">
        <f t="shared" ca="1" si="12"/>
        <v>26005.233296044433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26101.255421668793</v>
      </c>
      <c r="W209" s="294">
        <f ca="1">P209+U209</f>
        <v>42075223.73973009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3630.1965009106329</v>
      </c>
      <c r="F210" s="252">
        <f ca="1">E210/B210</f>
        <v>0.25857265884782787</v>
      </c>
      <c r="G210" s="94">
        <f ca="1">E210/L210</f>
        <v>322.99503337349222</v>
      </c>
      <c r="H210" s="252">
        <f ca="1">G210/B210</f>
        <v>2.3006381211892087E-2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11493844.668199316</v>
      </c>
      <c r="Q210" s="312">
        <f t="shared" ca="1" si="12"/>
        <v>818.68680538221656</v>
      </c>
      <c r="R210" s="284"/>
      <c r="S210" s="340"/>
      <c r="T210" s="341"/>
      <c r="U210" s="340"/>
      <c r="V210" s="338">
        <f ca="1">Q210+T210</f>
        <v>818.68680538221656</v>
      </c>
      <c r="W210" s="312">
        <f ca="1">P210+U210</f>
        <v>11493844.668199316</v>
      </c>
    </row>
    <row r="211" spans="1:23" x14ac:dyDescent="0.25">
      <c r="A211" s="91" t="s">
        <v>222</v>
      </c>
      <c r="B211" s="93"/>
      <c r="E211" s="93">
        <f ca="1">SUM(E208:E210)</f>
        <v>22750.332191356058</v>
      </c>
      <c r="G211" s="93">
        <f ca="1">G208*365</f>
        <v>39692546.509546958</v>
      </c>
      <c r="H211" s="342" t="s">
        <v>1473</v>
      </c>
      <c r="P211" s="295">
        <f ca="1">SUM(P208:P210)</f>
        <v>188009835.81725073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191276587.73988521</v>
      </c>
    </row>
    <row r="212" spans="1:23" x14ac:dyDescent="0.25">
      <c r="G212" s="93">
        <f ca="1">G209*365</f>
        <v>12362435.428120213</v>
      </c>
      <c r="H212" s="342" t="s">
        <v>1472</v>
      </c>
    </row>
    <row r="213" spans="1:23" x14ac:dyDescent="0.25">
      <c r="G213" s="93">
        <f ca="1">G210*365</f>
        <v>117893.18718132465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181844381.2248618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191355770.1728887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9511388.9480268955</v>
      </c>
      <c r="D228" s="220" t="s">
        <v>669</v>
      </c>
    </row>
    <row r="230" spans="1:4" x14ac:dyDescent="0.25">
      <c r="A230" t="s">
        <v>637</v>
      </c>
      <c r="C230" s="344">
        <f ca="1">F$168</f>
        <v>-23.183515910346443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669.14714164275051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-410265.1636105855</v>
      </c>
      <c r="D233" s="345" t="s">
        <v>638</v>
      </c>
    </row>
    <row r="234" spans="1:4" x14ac:dyDescent="0.25">
      <c r="C234" s="295">
        <f ca="1">C$228/C231</f>
        <v>14214.196484014738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117910.63389966724</v>
      </c>
      <c r="D238" s="345" t="s">
        <v>1572</v>
      </c>
    </row>
  </sheetData>
  <sheetProtection algorithmName="SHA-512" hashValue="S2SIzz6yNqucIxec2zW8qs64QA+cxohwsyVOGaaphFrKx3QFiZ4iakAeQ5M7emOSfwVR7cNZbJkDbzbRcDpjag==" saltValue="OjxbyMKyvgr1llpUQAaMnw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2B1A880F-5DB7-4127-ABEE-617C443FD734}">
          <x14:formula1>
            <xm:f>CostData!$AB$10:$AB$13</xm:f>
          </x14:formula1>
          <xm:sqref>B219:C219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931DD-D25E-4670-AD83-50BE3E7686AB}">
  <sheetPr codeName="Sheet11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1623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9" x14ac:dyDescent="0.25">
      <c r="A113" s="216" t="s">
        <v>712</v>
      </c>
    </row>
    <row r="114" spans="1:9" x14ac:dyDescent="0.25">
      <c r="A114" s="216" t="s">
        <v>713</v>
      </c>
    </row>
    <row r="115" spans="1:9" x14ac:dyDescent="0.25">
      <c r="A115" s="216" t="s">
        <v>714</v>
      </c>
    </row>
    <row r="117" spans="1:9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9" x14ac:dyDescent="0.25">
      <c r="B118" s="1"/>
      <c r="D118" s="64"/>
      <c r="E118" s="64"/>
      <c r="F118" s="228"/>
    </row>
    <row r="119" spans="1:9" x14ac:dyDescent="0.25">
      <c r="B119" s="1"/>
      <c r="C119" s="326" t="s">
        <v>716</v>
      </c>
      <c r="D119" s="408">
        <f>D138</f>
        <v>0.81</v>
      </c>
      <c r="E119" s="228"/>
    </row>
    <row r="120" spans="1:9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9" x14ac:dyDescent="0.25">
      <c r="B121" s="1"/>
      <c r="C121" s="326" t="s">
        <v>718</v>
      </c>
      <c r="D121" s="328">
        <f>1-1/(1+D120)</f>
        <v>1.477832512315258E-2</v>
      </c>
      <c r="F121" s="228"/>
    </row>
    <row r="122" spans="1:9" x14ac:dyDescent="0.25">
      <c r="B122" s="1"/>
      <c r="D122" s="326"/>
      <c r="E122" s="64"/>
      <c r="F122" s="228"/>
    </row>
    <row r="123" spans="1:9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9" x14ac:dyDescent="0.25">
      <c r="B124" s="1"/>
      <c r="D124" s="64"/>
      <c r="E124" s="326"/>
      <c r="F124" s="228"/>
    </row>
    <row r="125" spans="1:9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9" x14ac:dyDescent="0.25">
      <c r="B126" s="1"/>
      <c r="C126" s="326" t="s">
        <v>1555</v>
      </c>
      <c r="D126" s="472">
        <f>G126*D127</f>
        <v>0.94615384615384612</v>
      </c>
      <c r="E126" s="64"/>
      <c r="F126" s="1" t="s">
        <v>752</v>
      </c>
      <c r="G126" s="410">
        <f>CostData!O72</f>
        <v>5.0999999999999996</v>
      </c>
      <c r="H126" s="90" t="s">
        <v>753</v>
      </c>
      <c r="I126" s="471" t="str">
        <f>CostData!Q72</f>
        <v>(reported by Fairbanks residents July 2022)</v>
      </c>
    </row>
    <row r="127" spans="1:9" x14ac:dyDescent="0.25">
      <c r="B127" s="1"/>
      <c r="C127" s="326" t="s">
        <v>754</v>
      </c>
      <c r="D127" s="473">
        <f>CostData!O$78</f>
        <v>0.18552036199095023</v>
      </c>
      <c r="E127" s="64"/>
      <c r="F127" s="228"/>
    </row>
    <row r="128" spans="1:9" x14ac:dyDescent="0.25">
      <c r="B128" s="1"/>
      <c r="C128" s="326" t="s">
        <v>721</v>
      </c>
      <c r="D128" s="328">
        <f>-D125*D127</f>
        <v>5.4542986425339363E-2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5.8995475113122177E-2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-811.13337877880838</v>
      </c>
      <c r="F145" s="330"/>
      <c r="G145" s="329">
        <f ca="1">B145*$B$68</f>
        <v>514.14458302037144</v>
      </c>
      <c r="H145" s="49">
        <f ca="1">SUM(D145:G145)</f>
        <v>14574.462731545087</v>
      </c>
      <c r="I145" s="428">
        <f ca="1">H145/B145-1</f>
        <v>-3.4453593420909479E-2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-262.23781190635225</v>
      </c>
      <c r="F146" s="330"/>
      <c r="G146" s="330"/>
      <c r="H146" s="49">
        <f ca="1">SUM(D146:G146)</f>
        <v>4545.6729589003389</v>
      </c>
      <c r="I146" s="428">
        <f ca="1">H146/B146-1</f>
        <v>-6.8515257561910681E-2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198.36648827509671</v>
      </c>
      <c r="F147" s="332">
        <f ca="1">E147/F138-E147</f>
        <v>69.428270896283863</v>
      </c>
      <c r="G147" s="284"/>
      <c r="H147" s="94">
        <f ca="1">SUM(D147:G147)</f>
        <v>3630.1965009106329</v>
      </c>
      <c r="I147" s="429">
        <f ca="1">H147/B147-1</f>
        <v>7.9643891402714884E-2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-875.00470241006394</v>
      </c>
      <c r="F148" s="93">
        <f t="shared" ca="1" si="3"/>
        <v>69.428270896283863</v>
      </c>
      <c r="G148" s="93">
        <f t="shared" ca="1" si="3"/>
        <v>514.14458302037144</v>
      </c>
      <c r="H148" s="93">
        <f t="shared" ca="1" si="3"/>
        <v>22750.332191356058</v>
      </c>
      <c r="I148" s="430">
        <f ca="1">H148/B148-1</f>
        <v>-2.5137053920662789E-2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14.150392830653487</v>
      </c>
      <c r="C158" s="421">
        <f t="shared" ref="C158:H160" ca="1" si="6">C152*$H145*365/2000</f>
        <v>213.10820995900599</v>
      </c>
      <c r="D158" s="422">
        <f t="shared" ca="1" si="6"/>
        <v>4.2272562032667507</v>
      </c>
      <c r="E158" s="421">
        <f t="shared" ca="1" si="6"/>
        <v>1.2468974205341183</v>
      </c>
      <c r="F158" s="423">
        <f t="shared" ca="1" si="6"/>
        <v>1.2468974205341183</v>
      </c>
      <c r="G158" s="421">
        <f t="shared" ca="1" si="6"/>
        <v>0.48616293076246309</v>
      </c>
      <c r="H158" s="421">
        <f t="shared" ca="1" si="6"/>
        <v>8.8880672492609349</v>
      </c>
    </row>
    <row r="159" spans="1:9" x14ac:dyDescent="0.25">
      <c r="A159" t="s">
        <v>739</v>
      </c>
      <c r="B159" s="14">
        <f ca="1">B153*$H146*365/2000</f>
        <v>4.4134085237253666</v>
      </c>
      <c r="C159" s="14">
        <f t="shared" ca="1" si="6"/>
        <v>66.466959720827532</v>
      </c>
      <c r="D159" s="266">
        <f t="shared" ca="1" si="6"/>
        <v>1.318451634717396</v>
      </c>
      <c r="E159" s="14">
        <f t="shared" ca="1" si="6"/>
        <v>0.38889858181713177</v>
      </c>
      <c r="F159" s="424">
        <f t="shared" ca="1" si="6"/>
        <v>0.38889858181713177</v>
      </c>
      <c r="G159" s="14">
        <f t="shared" ca="1" si="6"/>
        <v>0.15163081677127344</v>
      </c>
      <c r="H159" s="14">
        <f t="shared" ca="1" si="6"/>
        <v>2.7721259916090211</v>
      </c>
    </row>
    <row r="160" spans="1:9" x14ac:dyDescent="0.25">
      <c r="A160" s="5" t="s">
        <v>486</v>
      </c>
      <c r="B160" s="251">
        <f ca="1">B154*$H147*365/2000</f>
        <v>1687.4549655857136</v>
      </c>
      <c r="C160" s="251">
        <f t="shared" ca="1" si="6"/>
        <v>79.293309938467502</v>
      </c>
      <c r="D160" s="395">
        <f t="shared" ca="1" si="6"/>
        <v>16.24677568697529</v>
      </c>
      <c r="E160" s="251">
        <f t="shared" ca="1" si="6"/>
        <v>459.0190966152694</v>
      </c>
      <c r="F160" s="425">
        <f t="shared" ca="1" si="6"/>
        <v>459.0190966152694</v>
      </c>
      <c r="G160" s="251">
        <f t="shared" ca="1" si="6"/>
        <v>17.268412065301842</v>
      </c>
      <c r="H160" s="251">
        <f t="shared" ca="1" si="6"/>
        <v>4877.1308097338751</v>
      </c>
    </row>
    <row r="161" spans="1:12" x14ac:dyDescent="0.25">
      <c r="A161" s="91" t="s">
        <v>222</v>
      </c>
      <c r="B161" s="397">
        <f ca="1">SUM(B158:B160)</f>
        <v>1706.0187669400925</v>
      </c>
      <c r="C161" s="397">
        <f t="shared" ref="C161:H161" ca="1" si="7">SUM(C158:C160)</f>
        <v>358.86847961830097</v>
      </c>
      <c r="D161" s="426">
        <f t="shared" ca="1" si="7"/>
        <v>21.792483524959437</v>
      </c>
      <c r="E161" s="397">
        <f t="shared" ca="1" si="7"/>
        <v>460.65489261762065</v>
      </c>
      <c r="F161" s="427">
        <f t="shared" ca="1" si="7"/>
        <v>460.65489261762065</v>
      </c>
      <c r="G161" s="397">
        <f t="shared" ca="1" si="7"/>
        <v>17.90620581283558</v>
      </c>
      <c r="H161" s="397">
        <f t="shared" ca="1" si="7"/>
        <v>4888.7910029747454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-123.80493525572433</v>
      </c>
      <c r="C168" s="396">
        <f t="shared" ref="C168:H168" ca="1" si="8">(C$105-C$161)*$I168</f>
        <v>60.870700295036841</v>
      </c>
      <c r="D168" s="419">
        <f t="shared" ca="1" si="8"/>
        <v>669.14714164275051</v>
      </c>
      <c r="E168" s="396">
        <f t="shared" ca="1" si="8"/>
        <v>-23.183515910346443</v>
      </c>
      <c r="F168" s="420">
        <f t="shared" ca="1" si="8"/>
        <v>-23.183515910346443</v>
      </c>
      <c r="G168" s="396">
        <f t="shared" ca="1" si="8"/>
        <v>-1.2506298325341128</v>
      </c>
      <c r="H168" s="396">
        <f t="shared" ca="1" si="8"/>
        <v>-359.35460441512987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-123.80493525572433</v>
      </c>
      <c r="C169" s="396">
        <f t="shared" ca="1" si="10"/>
        <v>60.870700295036841</v>
      </c>
      <c r="D169" s="419">
        <f t="shared" ca="1" si="10"/>
        <v>669.14714164275051</v>
      </c>
      <c r="E169" s="396">
        <f t="shared" ca="1" si="10"/>
        <v>-23.183515910346443</v>
      </c>
      <c r="F169" s="420">
        <f t="shared" ca="1" si="10"/>
        <v>-23.183515910346443</v>
      </c>
      <c r="G169" s="396">
        <f t="shared" ca="1" si="10"/>
        <v>-1.2506298325341128</v>
      </c>
      <c r="H169" s="396">
        <f t="shared" ca="1" si="10"/>
        <v>-359.35460441512987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-123.80493525572433</v>
      </c>
      <c r="C170" s="396">
        <f t="shared" ca="1" si="10"/>
        <v>60.870700295036841</v>
      </c>
      <c r="D170" s="419">
        <f t="shared" ca="1" si="10"/>
        <v>669.14714164275051</v>
      </c>
      <c r="E170" s="396">
        <f t="shared" ca="1" si="10"/>
        <v>-23.183515910346443</v>
      </c>
      <c r="F170" s="420">
        <f t="shared" ca="1" si="10"/>
        <v>-23.183515910346443</v>
      </c>
      <c r="G170" s="396">
        <f t="shared" ca="1" si="10"/>
        <v>-1.2506298325341128</v>
      </c>
      <c r="H170" s="396">
        <f t="shared" ca="1" si="10"/>
        <v>-359.35460441512987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-123.80493525572433</v>
      </c>
      <c r="C171" s="396">
        <f t="shared" ca="1" si="10"/>
        <v>60.870700295036841</v>
      </c>
      <c r="D171" s="419">
        <f t="shared" ca="1" si="10"/>
        <v>669.14714164275051</v>
      </c>
      <c r="E171" s="396">
        <f t="shared" ca="1" si="10"/>
        <v>-23.183515910346443</v>
      </c>
      <c r="F171" s="420">
        <f t="shared" ca="1" si="10"/>
        <v>-23.183515910346443</v>
      </c>
      <c r="G171" s="396">
        <f t="shared" ca="1" si="10"/>
        <v>-1.2506298325341128</v>
      </c>
      <c r="H171" s="396">
        <f t="shared" ca="1" si="10"/>
        <v>-359.35460441512987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-123.80493525572433</v>
      </c>
      <c r="C172" s="396">
        <f t="shared" ca="1" si="10"/>
        <v>60.870700295036841</v>
      </c>
      <c r="D172" s="419">
        <f t="shared" ca="1" si="10"/>
        <v>669.14714164275051</v>
      </c>
      <c r="E172" s="396">
        <f t="shared" ca="1" si="10"/>
        <v>-23.183515910346443</v>
      </c>
      <c r="F172" s="420">
        <f t="shared" ca="1" si="10"/>
        <v>-23.183515910346443</v>
      </c>
      <c r="G172" s="396">
        <f t="shared" ca="1" si="10"/>
        <v>-1.2506298325341128</v>
      </c>
      <c r="H172" s="396">
        <f t="shared" ca="1" si="10"/>
        <v>-359.35460441512987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-123.80493525572433</v>
      </c>
      <c r="C173" s="396">
        <f t="shared" ca="1" si="10"/>
        <v>60.870700295036841</v>
      </c>
      <c r="D173" s="419">
        <f t="shared" ca="1" si="10"/>
        <v>669.14714164275051</v>
      </c>
      <c r="E173" s="396">
        <f t="shared" ca="1" si="10"/>
        <v>-23.183515910346443</v>
      </c>
      <c r="F173" s="420">
        <f t="shared" ca="1" si="10"/>
        <v>-23.183515910346443</v>
      </c>
      <c r="G173" s="396">
        <f t="shared" ca="1" si="10"/>
        <v>-1.2506298325341128</v>
      </c>
      <c r="H173" s="396">
        <f t="shared" ca="1" si="10"/>
        <v>-359.35460441512987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-123.80493525572433</v>
      </c>
      <c r="C174" s="396">
        <f t="shared" ca="1" si="10"/>
        <v>60.870700295036841</v>
      </c>
      <c r="D174" s="419">
        <f t="shared" ca="1" si="10"/>
        <v>669.14714164275051</v>
      </c>
      <c r="E174" s="396">
        <f t="shared" ca="1" si="10"/>
        <v>-23.183515910346443</v>
      </c>
      <c r="F174" s="420">
        <f t="shared" ca="1" si="10"/>
        <v>-23.183515910346443</v>
      </c>
      <c r="G174" s="396">
        <f t="shared" ca="1" si="10"/>
        <v>-1.2506298325341128</v>
      </c>
      <c r="H174" s="396">
        <f t="shared" ca="1" si="10"/>
        <v>-359.35460441512987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5.0999999999999996</v>
      </c>
      <c r="O190" s="309" t="str">
        <f>CostData!$F$9</f>
        <v>/gal</v>
      </c>
      <c r="P190" s="294">
        <f t="shared" ref="P190:Q192" ca="1" si="11">G190*$N190*365</f>
        <v>209655368.00649646</v>
      </c>
      <c r="Q190" s="294">
        <f t="shared" ca="1" si="11"/>
        <v>6469.0826846417203</v>
      </c>
      <c r="R190" s="14">
        <f>CostData!O$66</f>
        <v>1.1138181664406654</v>
      </c>
      <c r="S190" s="320">
        <f>CostData!O$65</f>
        <v>491.97546434304058</v>
      </c>
      <c r="T190" s="337">
        <f>S190/R190</f>
        <v>441.70177787206057</v>
      </c>
      <c r="U190" s="320">
        <f ca="1">T190*B190</f>
        <v>14315035.578188689</v>
      </c>
      <c r="V190" s="302">
        <f ca="1">Q190+T190</f>
        <v>6910.7844625137805</v>
      </c>
      <c r="W190" s="294">
        <f ca="1">P190+U190</f>
        <v>223970403.58468515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5.0999999999999996</v>
      </c>
      <c r="O191" s="309" t="str">
        <f>CostData!$F$9</f>
        <v>/gal</v>
      </c>
      <c r="P191" s="294">
        <f t="shared" ca="1" si="11"/>
        <v>67685940.317593083</v>
      </c>
      <c r="Q191" s="294">
        <f t="shared" ca="1" si="11"/>
        <v>41988.796723072628</v>
      </c>
      <c r="R191" s="14">
        <f>CostData!O$66</f>
        <v>1.1138181664406654</v>
      </c>
      <c r="S191" s="320">
        <f>CostData!O$65</f>
        <v>491.97546434304058</v>
      </c>
      <c r="T191" s="337">
        <f>S191/R191</f>
        <v>441.70177787206057</v>
      </c>
      <c r="U191" s="320">
        <f ca="1">T191*B191</f>
        <v>712023.26592976169</v>
      </c>
      <c r="V191" s="302">
        <f ca="1">Q191+T191</f>
        <v>42430.49850094469</v>
      </c>
      <c r="W191" s="294">
        <f ca="1">P191+U191</f>
        <v>68397963.583522841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287987267.38496661</v>
      </c>
      <c r="Q193" s="303"/>
      <c r="T193" s="303"/>
      <c r="U193" s="295">
        <f ca="1">SUM(U190:U192)</f>
        <v>15027058.844118452</v>
      </c>
      <c r="V193" s="303"/>
      <c r="W193" s="343">
        <f ca="1">SUM(W190:W192)</f>
        <v>303014326.22908509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14574.462731545087</v>
      </c>
      <c r="F208" s="6">
        <f ca="1">E208/B208</f>
        <v>0.44970660847411681</v>
      </c>
      <c r="G208" s="311">
        <f ca="1">E208/L208</f>
        <v>108746.70276588207</v>
      </c>
      <c r="H208" s="14">
        <f ca="1">G208/B208</f>
        <v>3.3554657749228194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6.046153846153846</v>
      </c>
      <c r="O208" s="309" t="str">
        <f>CostData!$F$9</f>
        <v>/gal</v>
      </c>
      <c r="P208" s="294">
        <f t="shared" ref="P208:Q210" ca="1" si="12">G208*$N208*365</f>
        <v>239987242.74233776</v>
      </c>
      <c r="Q208" s="294">
        <f t="shared" ca="1" si="12"/>
        <v>7404.9967397508271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7501.0188653751884</v>
      </c>
      <c r="W208" s="294">
        <f ca="1">P208+U208</f>
        <v>243099206.99846575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4545.6729589003389</v>
      </c>
      <c r="F209" s="6">
        <f ca="1">E209/B209</f>
        <v>2.8198963764890439</v>
      </c>
      <c r="G209" s="49">
        <f ca="1">E209/L209</f>
        <v>33869.686104438937</v>
      </c>
      <c r="H209" s="14">
        <f ca="1">G209/B209</f>
        <v>21.010971528808273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6.046153846153846</v>
      </c>
      <c r="O209" s="309" t="str">
        <f>CostData!$F$9</f>
        <v>/gal</v>
      </c>
      <c r="P209" s="294">
        <f t="shared" ca="1" si="12"/>
        <v>74745186.511557594</v>
      </c>
      <c r="Q209" s="294">
        <f t="shared" ca="1" si="12"/>
        <v>46367.981706921579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46464.003832545939</v>
      </c>
      <c r="W209" s="294">
        <f ca="1">P209+U209</f>
        <v>74899974.178064063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3630.1965009106329</v>
      </c>
      <c r="F210" s="252">
        <f ca="1">E210/B210</f>
        <v>0.25857265884782787</v>
      </c>
      <c r="G210" s="94">
        <f ca="1">E210/L210</f>
        <v>322.99503337349222</v>
      </c>
      <c r="H210" s="252">
        <f ca="1">G210/B210</f>
        <v>2.3006381211892087E-2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11493844.668199316</v>
      </c>
      <c r="Q210" s="312">
        <f t="shared" ca="1" si="12"/>
        <v>818.68680538221656</v>
      </c>
      <c r="R210" s="284"/>
      <c r="S210" s="340"/>
      <c r="T210" s="341"/>
      <c r="U210" s="340"/>
      <c r="V210" s="338">
        <f ca="1">Q210+T210</f>
        <v>818.68680538221656</v>
      </c>
      <c r="W210" s="312">
        <f ca="1">P210+U210</f>
        <v>11493844.668199316</v>
      </c>
    </row>
    <row r="211" spans="1:23" x14ac:dyDescent="0.25">
      <c r="A211" s="91" t="s">
        <v>222</v>
      </c>
      <c r="B211" s="93"/>
      <c r="E211" s="93">
        <f ca="1">SUM(E208:E210)</f>
        <v>22750.332191356058</v>
      </c>
      <c r="G211" s="93">
        <f ca="1">G208*365</f>
        <v>39692546.509546958</v>
      </c>
      <c r="H211" s="342" t="s">
        <v>1473</v>
      </c>
      <c r="P211" s="295">
        <f ca="1">SUM(P208:P210)</f>
        <v>326226273.92209464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329493025.84472913</v>
      </c>
    </row>
    <row r="212" spans="1:23" x14ac:dyDescent="0.25">
      <c r="G212" s="93">
        <f ca="1">G209*365</f>
        <v>12362435.428120213</v>
      </c>
      <c r="H212" s="342" t="s">
        <v>1472</v>
      </c>
    </row>
    <row r="213" spans="1:23" x14ac:dyDescent="0.25">
      <c r="G213" s="93">
        <f ca="1">G210*365</f>
        <v>117893.18718132465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303014326.22908509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329572208.27773261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26557882.048647523</v>
      </c>
      <c r="D228" s="220" t="s">
        <v>669</v>
      </c>
    </row>
    <row r="230" spans="1:4" x14ac:dyDescent="0.25">
      <c r="A230" t="s">
        <v>637</v>
      </c>
      <c r="C230" s="344">
        <f ca="1">F$168</f>
        <v>-23.183515910346443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669.14714164275051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-1145550.2328184464</v>
      </c>
      <c r="D233" s="345" t="s">
        <v>638</v>
      </c>
    </row>
    <row r="234" spans="1:4" x14ac:dyDescent="0.25">
      <c r="C234" s="295">
        <f ca="1">C$228/C231</f>
        <v>39689.151153583574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329232.32605667255</v>
      </c>
      <c r="D238" s="345" t="s">
        <v>1572</v>
      </c>
    </row>
  </sheetData>
  <sheetProtection algorithmName="SHA-512" hashValue="uqHx87E8AgDho/NRNuAtm4iCeuyn9Qosd6YiwZle9nObw09fKMPtrFtn9WdSPJMNNrxujK3jcYLngr3bdotpkw==" saltValue="s/gXKL68djZ6kn0ZYp5l7Q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5617581-040A-4970-9441-2C374EE12D84}">
          <x14:formula1>
            <xm:f>CostData!$AB$10:$AB$13</xm:f>
          </x14:formula1>
          <xm:sqref>B219:C219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FF29E-7235-4189-959A-191FE2E9D148}">
  <sheetPr codeName="Sheet12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1632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459">
        <v>1</v>
      </c>
      <c r="C18" s="459">
        <v>0</v>
      </c>
      <c r="D18" s="218">
        <f>SUMPRODUCT(B18:C18,B$20:C$20)</f>
        <v>896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INDIRECT("'DevSumOut-"&amp;$B$4&amp;"BSR'!AA76")*$D$18/$E$20</f>
        <v>9.4933588573126781E-2</v>
      </c>
      <c r="E24" s="99">
        <f ca="1">INDIRECT("'DevSumOut-"&amp;$B$4&amp;"BSR'!AB76")</f>
        <v>3.4040911708245721E-3</v>
      </c>
      <c r="F24" s="406">
        <f ca="1">INDIRECT("'DevSumOut-"&amp;$B$4&amp;"BSR'!AC76")*(1-L$62)</f>
        <v>1.7487373953134536E-3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D24</f>
        <v>9.4933588573126781E-2</v>
      </c>
      <c r="E25" s="99">
        <f ca="1">INDIRECT("'DevSumOut-"&amp;$B$4&amp;"BSR'!AB78")</f>
        <v>3.2967299611507705E-3</v>
      </c>
      <c r="F25" s="406">
        <f ca="1">INDIRECT("'DevSumOut-"&amp;$B$4&amp;"BSR'!AC78")*(1-L$62)</f>
        <v>1.6935841832691394E-3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13" x14ac:dyDescent="0.25">
      <c r="A52" s="222" t="s">
        <v>741</v>
      </c>
    </row>
    <row r="53" spans="1:13" x14ac:dyDescent="0.25">
      <c r="A53" s="222"/>
    </row>
    <row r="54" spans="1:13" x14ac:dyDescent="0.25">
      <c r="A54" s="222"/>
      <c r="B54" s="136" t="s">
        <v>706</v>
      </c>
      <c r="H54" s="222"/>
      <c r="I54" s="136" t="s">
        <v>706</v>
      </c>
    </row>
    <row r="55" spans="1:13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  <c r="H55" s="222"/>
      <c r="I55" s="223" t="s">
        <v>707</v>
      </c>
      <c r="J55" s="224">
        <f>ULSEFs!$O$69</f>
        <v>1.942443864412639E-6</v>
      </c>
      <c r="K55" s="225" t="s">
        <v>473</v>
      </c>
      <c r="L55" s="224">
        <f>ULSEFs!$Q$69</f>
        <v>5.9763082405351123E-4</v>
      </c>
    </row>
    <row r="57" spans="1:13" x14ac:dyDescent="0.25">
      <c r="E57" t="s">
        <v>474</v>
      </c>
      <c r="L57" t="s">
        <v>474</v>
      </c>
    </row>
    <row r="58" spans="1:13" x14ac:dyDescent="0.25">
      <c r="C58" s="2" t="s">
        <v>462</v>
      </c>
      <c r="E58" s="2" t="s">
        <v>91</v>
      </c>
      <c r="K58" s="2" t="s">
        <v>462</v>
      </c>
      <c r="L58" s="2" t="s">
        <v>91</v>
      </c>
    </row>
    <row r="59" spans="1:13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  <c r="H59" s="5" t="s">
        <v>708</v>
      </c>
      <c r="I59" s="5"/>
      <c r="J59" s="5"/>
      <c r="K59" s="15" t="s">
        <v>464</v>
      </c>
      <c r="L59" s="5" t="s">
        <v>197</v>
      </c>
      <c r="M59" s="5"/>
    </row>
    <row r="60" spans="1:13" x14ac:dyDescent="0.25">
      <c r="A60" t="s">
        <v>709</v>
      </c>
      <c r="C60" s="13">
        <f>D18</f>
        <v>896</v>
      </c>
      <c r="E60" s="323">
        <f>C60*C$55+E$55</f>
        <v>2.3380605265672359E-3</v>
      </c>
      <c r="H60" t="s">
        <v>709</v>
      </c>
      <c r="K60" s="13">
        <f>E20</f>
        <v>2035.3928754647418</v>
      </c>
      <c r="L60" s="323">
        <f>K60*J$55+L$55</f>
        <v>4.5512672266691976E-3</v>
      </c>
    </row>
    <row r="61" spans="1:13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  <c r="H61" s="5" t="s">
        <v>751</v>
      </c>
      <c r="I61" s="5"/>
      <c r="J61" s="5"/>
      <c r="K61" s="475">
        <f>D18</f>
        <v>896</v>
      </c>
      <c r="L61" s="324">
        <f>K61*J$55+L$55</f>
        <v>2.3380605265672359E-3</v>
      </c>
      <c r="M61" s="5"/>
    </row>
    <row r="62" spans="1:13" x14ac:dyDescent="0.25">
      <c r="D62" s="214" t="s">
        <v>1554</v>
      </c>
      <c r="E62" s="325">
        <f>1-E61/E60</f>
        <v>0.73192846168960091</v>
      </c>
      <c r="K62" s="214" t="s">
        <v>1628</v>
      </c>
      <c r="L62" s="325">
        <f>1-L61/L60</f>
        <v>0.48628361945727283</v>
      </c>
    </row>
    <row r="64" spans="1:13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4.6878672366259801E-4</v>
      </c>
      <c r="F74" s="407">
        <f ca="1">F$24*(1-E62)</f>
        <v>4.6878672366259801E-4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9.4933588573126781E-2</v>
      </c>
      <c r="E96" s="99">
        <f t="shared" ca="1" si="0"/>
        <v>3.4040911708245721E-3</v>
      </c>
      <c r="F96" s="99">
        <f t="shared" ca="1" si="0"/>
        <v>1.7487373953134536E-3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9.4933588573126781E-2</v>
      </c>
      <c r="E97" s="99">
        <f t="shared" ca="1" si="0"/>
        <v>3.2967299611507705E-3</v>
      </c>
      <c r="F97" s="99">
        <f t="shared" ca="1" si="0"/>
        <v>1.6935841832691394E-3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261.5183508059074</v>
      </c>
      <c r="E102" s="421">
        <f t="shared" ca="1" si="1"/>
        <v>9.3774218626661519</v>
      </c>
      <c r="F102" s="423">
        <f t="shared" ca="1" si="1"/>
        <v>4.8173352181110944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84.548363910197807</v>
      </c>
      <c r="E103" s="14">
        <f t="shared" ca="1" si="1"/>
        <v>2.9360854114802706</v>
      </c>
      <c r="F103" s="424">
        <f t="shared" ca="1" si="1"/>
        <v>1.508315170549948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361.11498740708191</v>
      </c>
      <c r="E105" s="397">
        <f t="shared" ca="1" si="2"/>
        <v>437.4713767072742</v>
      </c>
      <c r="F105" s="427">
        <f t="shared" ca="1" si="2"/>
        <v>431.48351982178878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74">
        <f>CostData!O$69*(D18-15)/(2000-15)</f>
        <v>6.6574307304785897E-3</v>
      </c>
      <c r="E120" s="14" t="s">
        <v>1626</v>
      </c>
    </row>
    <row r="121" spans="1:8" x14ac:dyDescent="0.25">
      <c r="B121" s="1"/>
      <c r="C121" s="326" t="s">
        <v>718</v>
      </c>
      <c r="D121" s="328">
        <f>1-1/(1+D120)</f>
        <v>6.6134024616970599E-3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f>CostData!O$74</f>
        <v>0.34</v>
      </c>
      <c r="E126" s="64"/>
      <c r="F126" s="1" t="s">
        <v>752</v>
      </c>
      <c r="G126" s="410">
        <f>CostData!O71+CostData!O$73</f>
        <v>2.9303075856982739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0.11602877515637328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3.4112459895973744E-2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3.6897150499726701E-2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-99.826157551772766</v>
      </c>
      <c r="D145" s="49">
        <f ca="1">B145+C145</f>
        <v>14994.6971426613</v>
      </c>
      <c r="E145" s="329">
        <f ca="1">-D145*$D$128</f>
        <v>-511.50600493130571</v>
      </c>
      <c r="F145" s="330"/>
      <c r="G145" s="329">
        <v>0</v>
      </c>
      <c r="H145" s="49">
        <f ca="1">SUM(D145:G145)</f>
        <v>14483.191137729995</v>
      </c>
      <c r="I145" s="428">
        <f ca="1">H145/B145-1</f>
        <v>-4.0500262931420283E-2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-32.273598661181872</v>
      </c>
      <c r="D146" s="49">
        <f ca="1">B146+C146</f>
        <v>4847.7558337076098</v>
      </c>
      <c r="E146" s="329">
        <f ca="1">-D146*$D$128</f>
        <v>-165.36887646282361</v>
      </c>
      <c r="F146" s="330"/>
      <c r="G146" s="330"/>
      <c r="H146" s="49">
        <f ca="1">SUM(D146:G146)</f>
        <v>4682.3869572447866</v>
      </c>
      <c r="I146" s="428">
        <f ca="1">H146/B146-1</f>
        <v>-4.0500262931420061E-2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124.06304310549639</v>
      </c>
      <c r="F147" s="332">
        <f ca="1">E147/F138-E147</f>
        <v>43.422065086923752</v>
      </c>
      <c r="G147" s="284"/>
      <c r="H147" s="94">
        <f ca="1">SUM(D147:G147)</f>
        <v>3529.8868499316727</v>
      </c>
      <c r="I147" s="429">
        <f ca="1">H147/B147-1</f>
        <v>4.9811153174631029E-2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-132.09975621295465</v>
      </c>
      <c r="D148" s="93">
        <f t="shared" ca="1" si="3"/>
        <v>23204.854718108163</v>
      </c>
      <c r="E148" s="93">
        <f t="shared" ca="1" si="3"/>
        <v>-552.81183828863288</v>
      </c>
      <c r="F148" s="93">
        <f t="shared" ca="1" si="3"/>
        <v>43.422065086923752</v>
      </c>
      <c r="G148" s="93">
        <f t="shared" si="3"/>
        <v>0</v>
      </c>
      <c r="H148" s="93">
        <f t="shared" ca="1" si="3"/>
        <v>22695.464944906456</v>
      </c>
      <c r="I148" s="430">
        <f ca="1">H148/B148-1</f>
        <v>-2.7488142470369348E-2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4.6878672366259801E-4</v>
      </c>
      <c r="F152" s="99">
        <f t="shared" ca="1" si="4"/>
        <v>4.6878672366259801E-4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4.6878672366259801E-4</v>
      </c>
      <c r="F153" s="99">
        <f t="shared" ca="1" si="4"/>
        <v>4.6878672366259801E-4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14.061776946105784</v>
      </c>
      <c r="C158" s="421">
        <f t="shared" ref="C158:H160" ca="1" si="6">C152*$H145*365/2000</f>
        <v>211.77363410970622</v>
      </c>
      <c r="D158" s="422">
        <f t="shared" ca="1" si="6"/>
        <v>4.200783295260214</v>
      </c>
      <c r="E158" s="421">
        <f t="shared" ca="1" si="6"/>
        <v>1.2390888091985004</v>
      </c>
      <c r="F158" s="423">
        <f t="shared" ca="1" si="6"/>
        <v>1.2390888091985004</v>
      </c>
      <c r="G158" s="421">
        <f t="shared" ca="1" si="6"/>
        <v>0.4831183680666139</v>
      </c>
      <c r="H158" s="421">
        <f t="shared" ca="1" si="6"/>
        <v>8.8324063251693783</v>
      </c>
    </row>
    <row r="159" spans="1:9" x14ac:dyDescent="0.25">
      <c r="A159" t="s">
        <v>739</v>
      </c>
      <c r="B159" s="14">
        <f ca="1">B153*$H146*365/2000</f>
        <v>4.5461445852637503</v>
      </c>
      <c r="C159" s="14">
        <f t="shared" ca="1" si="6"/>
        <v>68.465995705904646</v>
      </c>
      <c r="D159" s="266">
        <f t="shared" ca="1" si="6"/>
        <v>1.3581049041531261</v>
      </c>
      <c r="E159" s="14">
        <f t="shared" ca="1" si="6"/>
        <v>0.40059495341082585</v>
      </c>
      <c r="F159" s="424">
        <f t="shared" ca="1" si="6"/>
        <v>0.40059495341082585</v>
      </c>
      <c r="G159" s="14">
        <f t="shared" ca="1" si="6"/>
        <v>0.15619120979128734</v>
      </c>
      <c r="H159" s="14">
        <f t="shared" ca="1" si="6"/>
        <v>2.8554994396450009</v>
      </c>
    </row>
    <row r="160" spans="1:9" x14ac:dyDescent="0.25">
      <c r="A160" s="5" t="s">
        <v>486</v>
      </c>
      <c r="B160" s="251">
        <f ca="1">B154*$H147*365/2000</f>
        <v>1640.8271814979498</v>
      </c>
      <c r="C160" s="251">
        <f t="shared" ca="1" si="6"/>
        <v>77.102275860037039</v>
      </c>
      <c r="D160" s="395">
        <f t="shared" ca="1" si="6"/>
        <v>15.79784450700056</v>
      </c>
      <c r="E160" s="251">
        <f t="shared" ca="1" si="6"/>
        <v>446.33547319086114</v>
      </c>
      <c r="F160" s="425">
        <f t="shared" ca="1" si="6"/>
        <v>446.33547319086114</v>
      </c>
      <c r="G160" s="251">
        <f t="shared" ca="1" si="6"/>
        <v>16.791251011679329</v>
      </c>
      <c r="H160" s="251">
        <f t="shared" ca="1" si="6"/>
        <v>4742.3658488893543</v>
      </c>
    </row>
    <row r="161" spans="1:12" x14ac:dyDescent="0.25">
      <c r="A161" s="91" t="s">
        <v>222</v>
      </c>
      <c r="B161" s="397">
        <f ca="1">SUM(B158:B160)</f>
        <v>1659.4351030293194</v>
      </c>
      <c r="C161" s="397">
        <f t="shared" ref="C161:H161" ca="1" si="7">SUM(C158:C160)</f>
        <v>357.34190567564792</v>
      </c>
      <c r="D161" s="426">
        <f t="shared" ca="1" si="7"/>
        <v>21.356732706413901</v>
      </c>
      <c r="E161" s="397">
        <f t="shared" ca="1" si="7"/>
        <v>447.97515695347045</v>
      </c>
      <c r="F161" s="427">
        <f t="shared" ca="1" si="7"/>
        <v>447.97515695347045</v>
      </c>
      <c r="G161" s="397">
        <f t="shared" ca="1" si="7"/>
        <v>17.43056058953723</v>
      </c>
      <c r="H161" s="397">
        <f t="shared" ca="1" si="7"/>
        <v>4754.0537546541691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-77.221271344951219</v>
      </c>
      <c r="C168" s="396">
        <f t="shared" ref="C168:H168" ca="1" si="8">(C$105-C$161)*$I168</f>
        <v>62.397274237689885</v>
      </c>
      <c r="D168" s="419">
        <f t="shared" ca="1" si="8"/>
        <v>339.75825470066803</v>
      </c>
      <c r="E168" s="396">
        <f t="shared" ca="1" si="8"/>
        <v>-10.503780246196243</v>
      </c>
      <c r="F168" s="420">
        <f t="shared" ca="1" si="8"/>
        <v>-16.491637131681671</v>
      </c>
      <c r="G168" s="396">
        <f t="shared" ca="1" si="8"/>
        <v>-0.77498460923576218</v>
      </c>
      <c r="H168" s="396">
        <f t="shared" ca="1" si="8"/>
        <v>-224.61735609455354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-77.221271344951219</v>
      </c>
      <c r="C169" s="396">
        <f t="shared" ca="1" si="10"/>
        <v>62.397274237689885</v>
      </c>
      <c r="D169" s="419">
        <f t="shared" ca="1" si="10"/>
        <v>339.75825470066803</v>
      </c>
      <c r="E169" s="396">
        <f t="shared" ca="1" si="10"/>
        <v>-10.503780246196243</v>
      </c>
      <c r="F169" s="420">
        <f t="shared" ca="1" si="10"/>
        <v>-16.491637131681671</v>
      </c>
      <c r="G169" s="396">
        <f t="shared" ca="1" si="10"/>
        <v>-0.77498460923576218</v>
      </c>
      <c r="H169" s="396">
        <f t="shared" ca="1" si="10"/>
        <v>-224.61735609455354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-77.221271344951219</v>
      </c>
      <c r="C170" s="396">
        <f t="shared" ca="1" si="10"/>
        <v>62.397274237689885</v>
      </c>
      <c r="D170" s="419">
        <f t="shared" ca="1" si="10"/>
        <v>339.75825470066803</v>
      </c>
      <c r="E170" s="396">
        <f t="shared" ca="1" si="10"/>
        <v>-10.503780246196243</v>
      </c>
      <c r="F170" s="420">
        <f t="shared" ca="1" si="10"/>
        <v>-16.491637131681671</v>
      </c>
      <c r="G170" s="396">
        <f t="shared" ca="1" si="10"/>
        <v>-0.77498460923576218</v>
      </c>
      <c r="H170" s="396">
        <f t="shared" ca="1" si="10"/>
        <v>-224.61735609455354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-77.221271344951219</v>
      </c>
      <c r="C171" s="396">
        <f t="shared" ca="1" si="10"/>
        <v>62.397274237689885</v>
      </c>
      <c r="D171" s="419">
        <f t="shared" ca="1" si="10"/>
        <v>339.75825470066803</v>
      </c>
      <c r="E171" s="396">
        <f t="shared" ca="1" si="10"/>
        <v>-10.503780246196243</v>
      </c>
      <c r="F171" s="420">
        <f t="shared" ca="1" si="10"/>
        <v>-16.491637131681671</v>
      </c>
      <c r="G171" s="396">
        <f t="shared" ca="1" si="10"/>
        <v>-0.77498460923576218</v>
      </c>
      <c r="H171" s="396">
        <f t="shared" ca="1" si="10"/>
        <v>-224.61735609455354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-77.221271344951219</v>
      </c>
      <c r="C172" s="396">
        <f t="shared" ca="1" si="10"/>
        <v>62.397274237689885</v>
      </c>
      <c r="D172" s="419">
        <f t="shared" ca="1" si="10"/>
        <v>339.75825470066803</v>
      </c>
      <c r="E172" s="396">
        <f t="shared" ca="1" si="10"/>
        <v>-10.503780246196243</v>
      </c>
      <c r="F172" s="420">
        <f t="shared" ca="1" si="10"/>
        <v>-16.491637131681671</v>
      </c>
      <c r="G172" s="396">
        <f t="shared" ca="1" si="10"/>
        <v>-0.77498460923576218</v>
      </c>
      <c r="H172" s="396">
        <f t="shared" ca="1" si="10"/>
        <v>-224.61735609455354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-77.221271344951219</v>
      </c>
      <c r="C173" s="396">
        <f t="shared" ca="1" si="10"/>
        <v>62.397274237689885</v>
      </c>
      <c r="D173" s="419">
        <f t="shared" ca="1" si="10"/>
        <v>339.75825470066803</v>
      </c>
      <c r="E173" s="396">
        <f t="shared" ca="1" si="10"/>
        <v>-10.503780246196243</v>
      </c>
      <c r="F173" s="420">
        <f t="shared" ca="1" si="10"/>
        <v>-16.491637131681671</v>
      </c>
      <c r="G173" s="396">
        <f t="shared" ca="1" si="10"/>
        <v>-0.77498460923576218</v>
      </c>
      <c r="H173" s="396">
        <f t="shared" ca="1" si="10"/>
        <v>-224.61735609455354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-77.221271344951219</v>
      </c>
      <c r="C174" s="396">
        <f t="shared" ca="1" si="10"/>
        <v>62.397274237689885</v>
      </c>
      <c r="D174" s="419">
        <f t="shared" ca="1" si="10"/>
        <v>339.75825470066803</v>
      </c>
      <c r="E174" s="396">
        <f t="shared" ca="1" si="10"/>
        <v>-10.503780246196243</v>
      </c>
      <c r="F174" s="420">
        <f t="shared" ca="1" si="10"/>
        <v>-16.491637131681671</v>
      </c>
      <c r="G174" s="396">
        <f t="shared" ca="1" si="10"/>
        <v>-0.77498460923576218</v>
      </c>
      <c r="H174" s="396">
        <f t="shared" ca="1" si="10"/>
        <v>-224.61735609455354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2.9303075856982739</v>
      </c>
      <c r="O190" s="309" t="str">
        <f>CostData!$F$9</f>
        <v>/gal</v>
      </c>
      <c r="P190" s="294">
        <f t="shared" ref="P190:Q192" ca="1" si="11">G190*$N190*365</f>
        <v>120461708.87290193</v>
      </c>
      <c r="Q190" s="294">
        <f t="shared" ca="1" si="11"/>
        <v>3716.9415810421542</v>
      </c>
      <c r="R190" s="14">
        <f>CostData!O$68</f>
        <v>3.3671602831893885</v>
      </c>
      <c r="S190" s="320">
        <f>CostData!O$65</f>
        <v>491.97546434304058</v>
      </c>
      <c r="T190" s="337">
        <f>S190/R190</f>
        <v>146.10990358826618</v>
      </c>
      <c r="U190" s="320">
        <f ca="1">T190*B190</f>
        <v>4735250.2819166258</v>
      </c>
      <c r="V190" s="302">
        <f ca="1">Q190+T190</f>
        <v>3863.0514846304204</v>
      </c>
      <c r="W190" s="294">
        <f ca="1">P190+U190</f>
        <v>125196959.15481856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2.9303075856982739</v>
      </c>
      <c r="O191" s="309" t="str">
        <f>CostData!$F$9</f>
        <v>/gal</v>
      </c>
      <c r="P191" s="294">
        <f t="shared" ca="1" si="11"/>
        <v>38890318.501522288</v>
      </c>
      <c r="Q191" s="294">
        <f t="shared" ca="1" si="11"/>
        <v>24125.507755286773</v>
      </c>
      <c r="R191" s="14">
        <f>CostData!O$68</f>
        <v>3.3671602831893885</v>
      </c>
      <c r="S191" s="320">
        <f>CostData!O$65</f>
        <v>491.97546434304058</v>
      </c>
      <c r="T191" s="337">
        <f>S191/R191</f>
        <v>146.10990358826618</v>
      </c>
      <c r="U191" s="320">
        <f ca="1">T191*B191</f>
        <v>235529.16458428508</v>
      </c>
      <c r="V191" s="302">
        <f ca="1">Q191+T191</f>
        <v>24271.617658875039</v>
      </c>
      <c r="W191" s="294">
        <f ca="1">P191+U191</f>
        <v>39125847.666106574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169997986.4353013</v>
      </c>
      <c r="Q193" s="303"/>
      <c r="T193" s="303"/>
      <c r="U193" s="295">
        <f ca="1">SUM(U190:U192)</f>
        <v>4970779.4465009104</v>
      </c>
      <c r="V193" s="303"/>
      <c r="W193" s="343">
        <f ca="1">SUM(W190:W192)</f>
        <v>174968765.88180223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14483.191137729995</v>
      </c>
      <c r="F208" s="6">
        <f ca="1">E208/B208</f>
        <v>0.4468903510476408</v>
      </c>
      <c r="G208" s="311">
        <f ca="1">E208/L208</f>
        <v>108065.68384488299</v>
      </c>
      <c r="H208" s="14">
        <f ca="1">G208/B208</f>
        <v>3.3344523959111645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3.2703075856982737</v>
      </c>
      <c r="O208" s="309" t="str">
        <f>CostData!$F$9</f>
        <v>/gal</v>
      </c>
      <c r="P208" s="294">
        <f t="shared" ref="P208:Q210" ca="1" si="12">G208*$N208*365</f>
        <v>128993929.35553117</v>
      </c>
      <c r="Q208" s="294">
        <f t="shared" ca="1" si="12"/>
        <v>3980.2100120417936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4076.2321376661544</v>
      </c>
      <c r="W208" s="294">
        <f ca="1">P208+U208</f>
        <v>132105893.61165914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4682.3869572447866</v>
      </c>
      <c r="F209" s="6">
        <f ca="1">E209/B209</f>
        <v>2.9047065491592967</v>
      </c>
      <c r="G209" s="49">
        <f ca="1">E209/L209</f>
        <v>34888.338403422058</v>
      </c>
      <c r="H209" s="14">
        <f ca="1">G209/B209</f>
        <v>21.642889828425595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3.2703075856982737</v>
      </c>
      <c r="O209" s="309" t="str">
        <f>CostData!$F$9</f>
        <v>/gal</v>
      </c>
      <c r="P209" s="294">
        <f t="shared" ca="1" si="12"/>
        <v>41644893.172588639</v>
      </c>
      <c r="Q209" s="294">
        <f t="shared" ca="1" si="12"/>
        <v>25834.300975551265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25930.323101175625</v>
      </c>
      <c r="W209" s="294">
        <f ca="1">P209+U209</f>
        <v>41799680.839095108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3529.8868499316727</v>
      </c>
      <c r="F210" s="252">
        <f ca="1">E210/B210</f>
        <v>0.2514277747746872</v>
      </c>
      <c r="G210" s="94">
        <f ca="1">E210/L210</f>
        <v>314.07002916022026</v>
      </c>
      <c r="H210" s="252">
        <f ca="1">G210/B210</f>
        <v>2.2370668497972913E-2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11176246.558349274</v>
      </c>
      <c r="Q210" s="312">
        <f t="shared" ca="1" si="12"/>
        <v>796.06483775915012</v>
      </c>
      <c r="R210" s="284"/>
      <c r="S210" s="340"/>
      <c r="T210" s="341"/>
      <c r="U210" s="340"/>
      <c r="V210" s="338">
        <f ca="1">Q210+T210</f>
        <v>796.06483775915012</v>
      </c>
      <c r="W210" s="312">
        <f ca="1">P210+U210</f>
        <v>11176246.558349274</v>
      </c>
    </row>
    <row r="211" spans="1:23" x14ac:dyDescent="0.25">
      <c r="A211" s="91" t="s">
        <v>222</v>
      </c>
      <c r="B211" s="93"/>
      <c r="E211" s="93">
        <f ca="1">SUM(E208:E210)</f>
        <v>22695.464944906456</v>
      </c>
      <c r="G211" s="93">
        <f ca="1">G208*365</f>
        <v>39443974.603382289</v>
      </c>
      <c r="H211" s="342" t="s">
        <v>1473</v>
      </c>
      <c r="P211" s="295">
        <f ca="1">SUM(P208:P210)</f>
        <v>181815069.08646908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185081821.00910354</v>
      </c>
    </row>
    <row r="212" spans="1:23" x14ac:dyDescent="0.25">
      <c r="G212" s="93">
        <f ca="1">G209*365</f>
        <v>12734243.517249051</v>
      </c>
      <c r="H212" s="342" t="s">
        <v>1472</v>
      </c>
    </row>
    <row r="213" spans="1:23" x14ac:dyDescent="0.25">
      <c r="G213" s="93">
        <f ca="1">G210*365</f>
        <v>114635.56064348039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174968765.88180223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185161003.44210702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10192237.560304791</v>
      </c>
      <c r="D228" s="220" t="s">
        <v>669</v>
      </c>
    </row>
    <row r="230" spans="1:4" x14ac:dyDescent="0.25">
      <c r="A230" t="s">
        <v>637</v>
      </c>
      <c r="C230" s="344">
        <f ca="1">F$168</f>
        <v>-16.491637131681671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339.75825470066803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-618024.60719468165</v>
      </c>
      <c r="D233" s="345" t="s">
        <v>638</v>
      </c>
    </row>
    <row r="234" spans="1:4" x14ac:dyDescent="0.25">
      <c r="C234" s="295">
        <f ca="1">C$228/C231</f>
        <v>29998.498695151058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275869.64398848778</v>
      </c>
      <c r="D238" s="345" t="s">
        <v>1572</v>
      </c>
    </row>
  </sheetData>
  <sheetProtection algorithmName="SHA-512" hashValue="zfOHz+o/qcQ+XVYTvMgHPFwaYrOh20CYW/UfnBrysrj36sPSxxCo3skIuTWVu4mN1ajGx8+ydjSED9UMWwnHmw==" saltValue="j3QzotRnO8TIaBcZSiCZAA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96C7EDE2-E44A-4FB4-8AE5-F82E5ED24918}">
          <x14:formula1>
            <xm:f>CostData!$AB$10:$AB$13</xm:f>
          </x14:formula1>
          <xm:sqref>B219:C219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2F8B9-7AC8-4C06-BEF8-AA3C70799C18}">
  <sheetPr codeName="Sheet13">
    <tabColor rgb="FFFFFFCC"/>
    <pageSetUpPr fitToPage="1"/>
  </sheetPr>
  <dimension ref="A1:W238"/>
  <sheetViews>
    <sheetView topLeftCell="A143" zoomScaleNormal="100" workbookViewId="0">
      <selection activeCell="R190" sqref="R190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1631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459">
        <v>1</v>
      </c>
      <c r="C18" s="459">
        <v>0</v>
      </c>
      <c r="D18" s="218">
        <f>SUMPRODUCT(B18:C18,B$20:C$20)</f>
        <v>896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INDIRECT("'DevSumOut-"&amp;$B$4&amp;"BSR'!AA76")*$D$18/$E$20</f>
        <v>9.4933588573126781E-2</v>
      </c>
      <c r="E24" s="99">
        <f ca="1">INDIRECT("'DevSumOut-"&amp;$B$4&amp;"BSR'!AB76")</f>
        <v>3.4040911708245721E-3</v>
      </c>
      <c r="F24" s="406">
        <f ca="1">INDIRECT("'DevSumOut-"&amp;$B$4&amp;"BSR'!AC76")*(1-L$62)</f>
        <v>1.7487373953134536E-3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D24</f>
        <v>9.4933588573126781E-2</v>
      </c>
      <c r="E25" s="99">
        <f ca="1">INDIRECT("'DevSumOut-"&amp;$B$4&amp;"BSR'!AB78")</f>
        <v>3.2967299611507705E-3</v>
      </c>
      <c r="F25" s="406">
        <f ca="1">INDIRECT("'DevSumOut-"&amp;$B$4&amp;"BSR'!AC78")*(1-L$62)</f>
        <v>1.6935841832691394E-3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13" x14ac:dyDescent="0.25">
      <c r="A52" s="222" t="s">
        <v>741</v>
      </c>
    </row>
    <row r="53" spans="1:13" x14ac:dyDescent="0.25">
      <c r="A53" s="222"/>
    </row>
    <row r="54" spans="1:13" x14ac:dyDescent="0.25">
      <c r="A54" s="222"/>
      <c r="B54" s="136" t="s">
        <v>706</v>
      </c>
      <c r="H54" s="222"/>
      <c r="I54" s="136" t="s">
        <v>706</v>
      </c>
    </row>
    <row r="55" spans="1:13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  <c r="H55" s="222"/>
      <c r="I55" s="223" t="s">
        <v>707</v>
      </c>
      <c r="J55" s="224">
        <f>ULSEFs!$O$69</f>
        <v>1.942443864412639E-6</v>
      </c>
      <c r="K55" s="225" t="s">
        <v>473</v>
      </c>
      <c r="L55" s="224">
        <f>ULSEFs!$Q$69</f>
        <v>5.9763082405351123E-4</v>
      </c>
    </row>
    <row r="57" spans="1:13" x14ac:dyDescent="0.25">
      <c r="E57" t="s">
        <v>474</v>
      </c>
      <c r="L57" t="s">
        <v>474</v>
      </c>
    </row>
    <row r="58" spans="1:13" x14ac:dyDescent="0.25">
      <c r="C58" s="2" t="s">
        <v>462</v>
      </c>
      <c r="E58" s="2" t="s">
        <v>91</v>
      </c>
      <c r="K58" s="2" t="s">
        <v>462</v>
      </c>
      <c r="L58" s="2" t="s">
        <v>91</v>
      </c>
    </row>
    <row r="59" spans="1:13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  <c r="H59" s="5" t="s">
        <v>708</v>
      </c>
      <c r="I59" s="5"/>
      <c r="J59" s="5"/>
      <c r="K59" s="15" t="s">
        <v>464</v>
      </c>
      <c r="L59" s="5" t="s">
        <v>197</v>
      </c>
      <c r="M59" s="5"/>
    </row>
    <row r="60" spans="1:13" x14ac:dyDescent="0.25">
      <c r="A60" t="s">
        <v>709</v>
      </c>
      <c r="C60" s="13">
        <f>D18</f>
        <v>896</v>
      </c>
      <c r="E60" s="323">
        <f>C60*C$55+E$55</f>
        <v>2.3380605265672359E-3</v>
      </c>
      <c r="H60" t="s">
        <v>709</v>
      </c>
      <c r="K60" s="13">
        <f>E20</f>
        <v>2035.3928754647418</v>
      </c>
      <c r="L60" s="323">
        <f>K60*J$55+L$55</f>
        <v>4.5512672266691976E-3</v>
      </c>
    </row>
    <row r="61" spans="1:13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  <c r="H61" s="5" t="s">
        <v>751</v>
      </c>
      <c r="I61" s="5"/>
      <c r="J61" s="5"/>
      <c r="K61" s="475">
        <f>D18</f>
        <v>896</v>
      </c>
      <c r="L61" s="324">
        <f>K61*J$55+L$55</f>
        <v>2.3380605265672359E-3</v>
      </c>
      <c r="M61" s="5"/>
    </row>
    <row r="62" spans="1:13" x14ac:dyDescent="0.25">
      <c r="D62" s="214" t="s">
        <v>1554</v>
      </c>
      <c r="E62" s="325">
        <f>1-E61/E60</f>
        <v>0.73192846168960091</v>
      </c>
      <c r="K62" s="214" t="s">
        <v>1628</v>
      </c>
      <c r="L62" s="325">
        <f>1-L61/L60</f>
        <v>0.48628361945727283</v>
      </c>
    </row>
    <row r="64" spans="1:13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4.6878672366259801E-4</v>
      </c>
      <c r="F74" s="407">
        <f ca="1">F$24*(1-E62)</f>
        <v>4.6878672366259801E-4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9.4933588573126781E-2</v>
      </c>
      <c r="E96" s="99">
        <f t="shared" ca="1" si="0"/>
        <v>3.4040911708245721E-3</v>
      </c>
      <c r="F96" s="99">
        <f t="shared" ca="1" si="0"/>
        <v>1.7487373953134536E-3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9.4933588573126781E-2</v>
      </c>
      <c r="E97" s="99">
        <f t="shared" ca="1" si="0"/>
        <v>3.2967299611507705E-3</v>
      </c>
      <c r="F97" s="99">
        <f t="shared" ca="1" si="0"/>
        <v>1.6935841832691394E-3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261.5183508059074</v>
      </c>
      <c r="E102" s="421">
        <f t="shared" ca="1" si="1"/>
        <v>9.3774218626661519</v>
      </c>
      <c r="F102" s="423">
        <f t="shared" ca="1" si="1"/>
        <v>4.8173352181110944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84.548363910197807</v>
      </c>
      <c r="E103" s="14">
        <f t="shared" ca="1" si="1"/>
        <v>2.9360854114802706</v>
      </c>
      <c r="F103" s="424">
        <f t="shared" ca="1" si="1"/>
        <v>1.508315170549948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361.11498740708191</v>
      </c>
      <c r="E105" s="397">
        <f t="shared" ca="1" si="2"/>
        <v>437.4713767072742</v>
      </c>
      <c r="F105" s="427">
        <f t="shared" ca="1" si="2"/>
        <v>431.48351982178878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74">
        <f>CostData!O$69*(D18-15)/(2000-15)</f>
        <v>6.6574307304785897E-3</v>
      </c>
      <c r="E120" s="14" t="s">
        <v>1626</v>
      </c>
    </row>
    <row r="121" spans="1:8" x14ac:dyDescent="0.25">
      <c r="B121" s="1"/>
      <c r="C121" s="326" t="s">
        <v>718</v>
      </c>
      <c r="D121" s="328">
        <f>1-1/(1+D120)</f>
        <v>6.6134024616970599E-3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f>CostData!O$74</f>
        <v>0.34</v>
      </c>
      <c r="E126" s="64"/>
      <c r="F126" s="1" t="s">
        <v>752</v>
      </c>
      <c r="G126" s="410">
        <f>CostData!O72+CostData!O$73</f>
        <v>5.17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6.5764023210831732E-2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1.9334622823984529E-2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2.0912959381044489E-2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-99.826157551772766</v>
      </c>
      <c r="D145" s="49">
        <f ca="1">B145+C145</f>
        <v>14994.6971426613</v>
      </c>
      <c r="E145" s="329">
        <f ca="1">-D145*$D$128</f>
        <v>-289.91681361323475</v>
      </c>
      <c r="F145" s="330"/>
      <c r="G145" s="329">
        <v>0</v>
      </c>
      <c r="H145" s="49">
        <f ca="1">SUM(D145:G145)</f>
        <v>14704.780329048066</v>
      </c>
      <c r="I145" s="428">
        <f ca="1">H145/B145-1</f>
        <v>-2.5820157643501429E-2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-32.273598661181872</v>
      </c>
      <c r="D146" s="49">
        <f ca="1">B146+C146</f>
        <v>4847.7558337076098</v>
      </c>
      <c r="E146" s="329">
        <f ca="1">-D146*$D$128</f>
        <v>-93.729530587507298</v>
      </c>
      <c r="F146" s="330"/>
      <c r="G146" s="330"/>
      <c r="H146" s="49">
        <f ca="1">SUM(D146:G146)</f>
        <v>4754.0263031201021</v>
      </c>
      <c r="I146" s="428">
        <f ca="1">H146/B146-1</f>
        <v>-2.5820157643501429E-2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70.317771047746234</v>
      </c>
      <c r="F147" s="332">
        <f ca="1">E147/F138-E147</f>
        <v>24.611219866711181</v>
      </c>
      <c r="G147" s="284"/>
      <c r="H147" s="94">
        <f ca="1">SUM(D147:G147)</f>
        <v>3457.3307326537097</v>
      </c>
      <c r="I147" s="429">
        <f ca="1">H147/B147-1</f>
        <v>2.8232495164409954E-2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-132.09975621295465</v>
      </c>
      <c r="D148" s="93">
        <f t="shared" ca="1" si="3"/>
        <v>23204.854718108163</v>
      </c>
      <c r="E148" s="93">
        <f t="shared" ca="1" si="3"/>
        <v>-313.32857315299583</v>
      </c>
      <c r="F148" s="93">
        <f t="shared" ca="1" si="3"/>
        <v>24.611219866711181</v>
      </c>
      <c r="G148" s="93">
        <f t="shared" si="3"/>
        <v>0</v>
      </c>
      <c r="H148" s="93">
        <f t="shared" ca="1" si="3"/>
        <v>22916.13736482188</v>
      </c>
      <c r="I148" s="430">
        <f ca="1">H148/B148-1</f>
        <v>-1.8032220526559617E-2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4.6878672366259801E-4</v>
      </c>
      <c r="F152" s="99">
        <f t="shared" ca="1" si="4"/>
        <v>4.6878672366259801E-4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4.6878672366259801E-4</v>
      </c>
      <c r="F153" s="99">
        <f t="shared" ca="1" si="4"/>
        <v>4.6878672366259801E-4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14.276918606003193</v>
      </c>
      <c r="C158" s="421">
        <f t="shared" ref="C158:H160" ca="1" si="6">C152*$H145*365/2000</f>
        <v>215.01371758845079</v>
      </c>
      <c r="D158" s="422">
        <f t="shared" ca="1" si="6"/>
        <v>4.2650542259168036</v>
      </c>
      <c r="E158" s="421">
        <f t="shared" ca="1" si="6"/>
        <v>1.2580465571554609</v>
      </c>
      <c r="F158" s="423">
        <f t="shared" ca="1" si="6"/>
        <v>1.2580465571554609</v>
      </c>
      <c r="G158" s="421">
        <f t="shared" ca="1" si="6"/>
        <v>0.49050995790843427</v>
      </c>
      <c r="H158" s="421">
        <f t="shared" ca="1" si="6"/>
        <v>8.9675399263471114</v>
      </c>
    </row>
    <row r="159" spans="1:9" x14ac:dyDescent="0.25">
      <c r="A159" t="s">
        <v>739</v>
      </c>
      <c r="B159" s="14">
        <f ca="1">B153*$H146*365/2000</f>
        <v>4.6156994570239727</v>
      </c>
      <c r="C159" s="14">
        <f t="shared" ca="1" si="6"/>
        <v>69.513508265601175</v>
      </c>
      <c r="D159" s="266">
        <f t="shared" ca="1" si="6"/>
        <v>1.3788835685078633</v>
      </c>
      <c r="E159" s="14">
        <f t="shared" ca="1" si="6"/>
        <v>0.40672395570930109</v>
      </c>
      <c r="F159" s="424">
        <f t="shared" ca="1" si="6"/>
        <v>0.40672395570930109</v>
      </c>
      <c r="G159" s="14">
        <f t="shared" ca="1" si="6"/>
        <v>0.15858089612073714</v>
      </c>
      <c r="H159" s="14">
        <f t="shared" ca="1" si="6"/>
        <v>2.89918786477334</v>
      </c>
    </row>
    <row r="160" spans="1:9" x14ac:dyDescent="0.25">
      <c r="A160" s="5" t="s">
        <v>486</v>
      </c>
      <c r="B160" s="251">
        <f ca="1">B154*$H147*365/2000</f>
        <v>1607.1003073869738</v>
      </c>
      <c r="C160" s="251">
        <f t="shared" ca="1" si="6"/>
        <v>75.517454020830769</v>
      </c>
      <c r="D160" s="395">
        <f t="shared" ca="1" si="6"/>
        <v>15.473122976957423</v>
      </c>
      <c r="E160" s="251">
        <f t="shared" ca="1" si="6"/>
        <v>437.16113692600936</v>
      </c>
      <c r="F160" s="425">
        <f t="shared" ca="1" si="6"/>
        <v>437.16113692600936</v>
      </c>
      <c r="G160" s="251">
        <f t="shared" ca="1" si="6"/>
        <v>16.44611020987977</v>
      </c>
      <c r="H160" s="251">
        <f t="shared" ca="1" si="6"/>
        <v>4644.8874686082172</v>
      </c>
    </row>
    <row r="161" spans="1:12" x14ac:dyDescent="0.25">
      <c r="A161" s="91" t="s">
        <v>222</v>
      </c>
      <c r="B161" s="397">
        <f ca="1">SUM(B158:B160)</f>
        <v>1625.9929254500009</v>
      </c>
      <c r="C161" s="397">
        <f t="shared" ref="C161:H161" ca="1" si="7">SUM(C158:C160)</f>
        <v>360.04467987488272</v>
      </c>
      <c r="D161" s="426">
        <f t="shared" ca="1" si="7"/>
        <v>21.117060771382089</v>
      </c>
      <c r="E161" s="397">
        <f t="shared" ca="1" si="7"/>
        <v>438.82590743887414</v>
      </c>
      <c r="F161" s="427">
        <f t="shared" ca="1" si="7"/>
        <v>438.82590743887414</v>
      </c>
      <c r="G161" s="397">
        <f t="shared" ca="1" si="7"/>
        <v>17.095201063908942</v>
      </c>
      <c r="H161" s="397">
        <f t="shared" ca="1" si="7"/>
        <v>4656.7541963993381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-43.779093765632751</v>
      </c>
      <c r="C168" s="396">
        <f t="shared" ref="C168:H168" ca="1" si="8">(C$105-C$161)*$I168</f>
        <v>59.694500038455089</v>
      </c>
      <c r="D168" s="419">
        <f t="shared" ca="1" si="8"/>
        <v>339.9979266356998</v>
      </c>
      <c r="E168" s="396">
        <f t="shared" ca="1" si="8"/>
        <v>-1.3545307315999366</v>
      </c>
      <c r="F168" s="420">
        <f t="shared" ca="1" si="8"/>
        <v>-7.3423876170853646</v>
      </c>
      <c r="G168" s="396">
        <f t="shared" ca="1" si="8"/>
        <v>-0.43962508360747421</v>
      </c>
      <c r="H168" s="396">
        <f t="shared" ca="1" si="8"/>
        <v>-127.31779783972252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-43.779093765632751</v>
      </c>
      <c r="C169" s="396">
        <f t="shared" ca="1" si="10"/>
        <v>59.694500038455089</v>
      </c>
      <c r="D169" s="419">
        <f t="shared" ca="1" si="10"/>
        <v>339.9979266356998</v>
      </c>
      <c r="E169" s="396">
        <f t="shared" ca="1" si="10"/>
        <v>-1.3545307315999366</v>
      </c>
      <c r="F169" s="420">
        <f t="shared" ca="1" si="10"/>
        <v>-7.3423876170853646</v>
      </c>
      <c r="G169" s="396">
        <f t="shared" ca="1" si="10"/>
        <v>-0.43962508360747421</v>
      </c>
      <c r="H169" s="396">
        <f t="shared" ca="1" si="10"/>
        <v>-127.31779783972252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-43.779093765632751</v>
      </c>
      <c r="C170" s="396">
        <f t="shared" ca="1" si="10"/>
        <v>59.694500038455089</v>
      </c>
      <c r="D170" s="419">
        <f t="shared" ca="1" si="10"/>
        <v>339.9979266356998</v>
      </c>
      <c r="E170" s="396">
        <f t="shared" ca="1" si="10"/>
        <v>-1.3545307315999366</v>
      </c>
      <c r="F170" s="420">
        <f t="shared" ca="1" si="10"/>
        <v>-7.3423876170853646</v>
      </c>
      <c r="G170" s="396">
        <f t="shared" ca="1" si="10"/>
        <v>-0.43962508360747421</v>
      </c>
      <c r="H170" s="396">
        <f t="shared" ca="1" si="10"/>
        <v>-127.31779783972252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-43.779093765632751</v>
      </c>
      <c r="C171" s="396">
        <f t="shared" ca="1" si="10"/>
        <v>59.694500038455089</v>
      </c>
      <c r="D171" s="419">
        <f t="shared" ca="1" si="10"/>
        <v>339.9979266356998</v>
      </c>
      <c r="E171" s="396">
        <f t="shared" ca="1" si="10"/>
        <v>-1.3545307315999366</v>
      </c>
      <c r="F171" s="420">
        <f t="shared" ca="1" si="10"/>
        <v>-7.3423876170853646</v>
      </c>
      <c r="G171" s="396">
        <f t="shared" ca="1" si="10"/>
        <v>-0.43962508360747421</v>
      </c>
      <c r="H171" s="396">
        <f t="shared" ca="1" si="10"/>
        <v>-127.31779783972252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-43.779093765632751</v>
      </c>
      <c r="C172" s="396">
        <f t="shared" ca="1" si="10"/>
        <v>59.694500038455089</v>
      </c>
      <c r="D172" s="419">
        <f t="shared" ca="1" si="10"/>
        <v>339.9979266356998</v>
      </c>
      <c r="E172" s="396">
        <f t="shared" ca="1" si="10"/>
        <v>-1.3545307315999366</v>
      </c>
      <c r="F172" s="420">
        <f t="shared" ca="1" si="10"/>
        <v>-7.3423876170853646</v>
      </c>
      <c r="G172" s="396">
        <f t="shared" ca="1" si="10"/>
        <v>-0.43962508360747421</v>
      </c>
      <c r="H172" s="396">
        <f t="shared" ca="1" si="10"/>
        <v>-127.31779783972252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-43.779093765632751</v>
      </c>
      <c r="C173" s="396">
        <f t="shared" ca="1" si="10"/>
        <v>59.694500038455089</v>
      </c>
      <c r="D173" s="419">
        <f t="shared" ca="1" si="10"/>
        <v>339.9979266356998</v>
      </c>
      <c r="E173" s="396">
        <f t="shared" ca="1" si="10"/>
        <v>-1.3545307315999366</v>
      </c>
      <c r="F173" s="420">
        <f t="shared" ca="1" si="10"/>
        <v>-7.3423876170853646</v>
      </c>
      <c r="G173" s="396">
        <f t="shared" ca="1" si="10"/>
        <v>-0.43962508360747421</v>
      </c>
      <c r="H173" s="396">
        <f t="shared" ca="1" si="10"/>
        <v>-127.31779783972252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-43.779093765632751</v>
      </c>
      <c r="C174" s="396">
        <f t="shared" ca="1" si="10"/>
        <v>59.694500038455089</v>
      </c>
      <c r="D174" s="419">
        <f t="shared" ca="1" si="10"/>
        <v>339.9979266356998</v>
      </c>
      <c r="E174" s="396">
        <f t="shared" ca="1" si="10"/>
        <v>-1.3545307315999366</v>
      </c>
      <c r="F174" s="420">
        <f t="shared" ca="1" si="10"/>
        <v>-7.3423876170853646</v>
      </c>
      <c r="G174" s="396">
        <f t="shared" ca="1" si="10"/>
        <v>-0.43962508360747421</v>
      </c>
      <c r="H174" s="396">
        <f t="shared" ca="1" si="10"/>
        <v>-127.31779783972252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5.17</v>
      </c>
      <c r="O190" s="309" t="str">
        <f>CostData!$F$9</f>
        <v>/gal</v>
      </c>
      <c r="P190" s="294">
        <f t="shared" ref="P190:Q192" ca="1" si="11">G190*$N190*365</f>
        <v>212532990.70462489</v>
      </c>
      <c r="Q190" s="294">
        <f t="shared" ca="1" si="11"/>
        <v>6557.8740156073909</v>
      </c>
      <c r="R190" s="14">
        <f>CostData!O$68</f>
        <v>3.3671602831893885</v>
      </c>
      <c r="S190" s="320">
        <f>CostData!O$65</f>
        <v>491.97546434304058</v>
      </c>
      <c r="T190" s="337">
        <f>S190/R190</f>
        <v>146.10990358826618</v>
      </c>
      <c r="U190" s="320">
        <f ca="1">T190*B190</f>
        <v>4735250.2819166258</v>
      </c>
      <c r="V190" s="302">
        <f ca="1">Q190+T190</f>
        <v>6703.9839191956571</v>
      </c>
      <c r="W190" s="294">
        <f ca="1">P190+U190</f>
        <v>217268240.98654151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5.17</v>
      </c>
      <c r="O191" s="309" t="str">
        <f>CostData!$F$9</f>
        <v>/gal</v>
      </c>
      <c r="P191" s="294">
        <f t="shared" ca="1" si="11"/>
        <v>68614963.027834564</v>
      </c>
      <c r="Q191" s="294">
        <f t="shared" ca="1" si="11"/>
        <v>42565.113540840299</v>
      </c>
      <c r="R191" s="14">
        <f>CostData!O$68</f>
        <v>3.3671602831893885</v>
      </c>
      <c r="S191" s="320">
        <f>CostData!O$65</f>
        <v>491.97546434304058</v>
      </c>
      <c r="T191" s="337">
        <f>S191/R191</f>
        <v>146.10990358826618</v>
      </c>
      <c r="U191" s="320">
        <f ca="1">T191*B191</f>
        <v>235529.16458428508</v>
      </c>
      <c r="V191" s="302">
        <f ca="1">Q191+T191</f>
        <v>42711.223444428564</v>
      </c>
      <c r="W191" s="294">
        <f ca="1">P191+U191</f>
        <v>68850492.192418844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291793912.79333651</v>
      </c>
      <c r="Q193" s="303"/>
      <c r="T193" s="303"/>
      <c r="U193" s="295">
        <f ca="1">SUM(U190:U192)</f>
        <v>4970779.4465009104</v>
      </c>
      <c r="V193" s="303"/>
      <c r="W193" s="343">
        <f ca="1">SUM(W190:W192)</f>
        <v>296764692.23983741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14704.780329048066</v>
      </c>
      <c r="F208" s="6">
        <f ca="1">E208/B208</f>
        <v>0.45372766131682063</v>
      </c>
      <c r="G208" s="311">
        <f ca="1">E208/L208</f>
        <v>109719.06169957691</v>
      </c>
      <c r="H208" s="14">
        <f ca="1">G208/B208</f>
        <v>3.3854686811256647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5.51</v>
      </c>
      <c r="O208" s="309" t="str">
        <f>CostData!$F$9</f>
        <v>/gal</v>
      </c>
      <c r="P208" s="294">
        <f t="shared" ref="P208:Q210" ca="1" si="12">G208*$N208*365</f>
        <v>220661490.93710411</v>
      </c>
      <c r="Q208" s="294">
        <f t="shared" ca="1" si="12"/>
        <v>6808.6853380458797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6904.7074636702409</v>
      </c>
      <c r="W208" s="294">
        <f ca="1">P208+U208</f>
        <v>223773455.19323209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4754.0263031201021</v>
      </c>
      <c r="F209" s="6">
        <f ca="1">E209/B209</f>
        <v>2.9491478307196664</v>
      </c>
      <c r="G209" s="49">
        <f ca="1">E209/L209</f>
        <v>35422.121229301207</v>
      </c>
      <c r="H209" s="14">
        <f ca="1">G209/B209</f>
        <v>21.974020613710426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5.51</v>
      </c>
      <c r="O209" s="309" t="str">
        <f>CostData!$F$9</f>
        <v>/gal</v>
      </c>
      <c r="P209" s="294">
        <f t="shared" ca="1" si="12"/>
        <v>71239199.110309109</v>
      </c>
      <c r="Q209" s="294">
        <f t="shared" ca="1" si="12"/>
        <v>44193.051557263723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44289.073682888084</v>
      </c>
      <c r="W209" s="294">
        <f ca="1">P209+U209</f>
        <v>71393986.776815578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3457.3307326537097</v>
      </c>
      <c r="F210" s="252">
        <f ca="1">E210/B210</f>
        <v>0.2462597272170601</v>
      </c>
      <c r="G210" s="94">
        <f ca="1">E210/L210</f>
        <v>307.61438260891975</v>
      </c>
      <c r="H210" s="252">
        <f ca="1">G210/B210</f>
        <v>2.1910843887119794E-2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10946521.048583791</v>
      </c>
      <c r="Q210" s="312">
        <f t="shared" ca="1" si="12"/>
        <v>779.70188444509859</v>
      </c>
      <c r="R210" s="284"/>
      <c r="S210" s="340"/>
      <c r="T210" s="341"/>
      <c r="U210" s="340"/>
      <c r="V210" s="338">
        <f ca="1">Q210+T210</f>
        <v>779.70188444509859</v>
      </c>
      <c r="W210" s="312">
        <f ca="1">P210+U210</f>
        <v>10946521.048583791</v>
      </c>
    </row>
    <row r="211" spans="1:23" x14ac:dyDescent="0.25">
      <c r="A211" s="91" t="s">
        <v>222</v>
      </c>
      <c r="B211" s="93"/>
      <c r="E211" s="93">
        <f ca="1">SUM(E208:E210)</f>
        <v>22916.13736482188</v>
      </c>
      <c r="G211" s="93">
        <f ca="1">G208*365</f>
        <v>40047457.520345569</v>
      </c>
      <c r="H211" s="342" t="s">
        <v>1473</v>
      </c>
      <c r="P211" s="295">
        <f ca="1">SUM(P208:P210)</f>
        <v>302847211.09599704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306113963.01863146</v>
      </c>
    </row>
    <row r="212" spans="1:23" x14ac:dyDescent="0.25">
      <c r="G212" s="93">
        <f ca="1">G209*365</f>
        <v>12929074.248694941</v>
      </c>
      <c r="H212" s="342" t="s">
        <v>1472</v>
      </c>
    </row>
    <row r="213" spans="1:23" x14ac:dyDescent="0.25">
      <c r="G213" s="93">
        <f ca="1">G210*365</f>
        <v>112279.2496522557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296764692.23983741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306193145.45163494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9428453.2117975354</v>
      </c>
      <c r="D228" s="220" t="s">
        <v>669</v>
      </c>
    </row>
    <row r="230" spans="1:4" x14ac:dyDescent="0.25">
      <c r="A230" t="s">
        <v>637</v>
      </c>
      <c r="C230" s="344">
        <f ca="1">F$168</f>
        <v>-7.3423876170853646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339.9979266356998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-1284112.7033198304</v>
      </c>
      <c r="D233" s="345" t="s">
        <v>638</v>
      </c>
    </row>
    <row r="234" spans="1:4" x14ac:dyDescent="0.25">
      <c r="C234" s="295">
        <f ca="1">C$228/C231</f>
        <v>27730.91384730682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210650.92906567434</v>
      </c>
      <c r="D238" s="345" t="s">
        <v>1572</v>
      </c>
    </row>
  </sheetData>
  <sheetProtection algorithmName="SHA-512" hashValue="VJpiVQwNezYS2k8K3aWgs4O8hGyZ0iCQRuQW3wgDhnlTkKyq1Agmd3/iKy/yyfqj43sW7AiAMfEH1o0UfhYJpg==" saltValue="i+jlq7XvJRkxdF/MYiK63g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61E02760-7785-45FE-80F5-73AD59A2FCA6}">
          <x14:formula1>
            <xm:f>CostData!$AB$10:$AB$13</xm:f>
          </x14:formula1>
          <xm:sqref>B219:C219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D69E2-3DA5-4B0C-845F-8474A20FAEA3}">
  <sheetPr codeName="Sheet14">
    <tabColor rgb="FFFFFFCC"/>
    <pageSetUpPr fitToPage="1"/>
  </sheetPr>
  <dimension ref="A1:W238"/>
  <sheetViews>
    <sheetView zoomScaleNormal="100" workbookViewId="0">
      <selection activeCell="G39" sqref="G39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1629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459">
        <v>1</v>
      </c>
      <c r="C18" s="459">
        <v>0</v>
      </c>
      <c r="D18" s="218">
        <f>SUMPRODUCT(B18:C18,B$20:C$20)</f>
        <v>896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INDIRECT("'DevSumOut-"&amp;$B$4&amp;"BSR'!AA76")*$D$18/$E$20</f>
        <v>9.4933588573126781E-2</v>
      </c>
      <c r="E24" s="99">
        <f ca="1">INDIRECT("'DevSumOut-"&amp;$B$4&amp;"BSR'!AB76")</f>
        <v>3.4040911708245721E-3</v>
      </c>
      <c r="F24" s="406">
        <f ca="1">INDIRECT("'DevSumOut-"&amp;$B$4&amp;"BSR'!AC76")*(1-L$62)</f>
        <v>1.7487373953134536E-3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D24</f>
        <v>9.4933588573126781E-2</v>
      </c>
      <c r="E25" s="99">
        <f ca="1">INDIRECT("'DevSumOut-"&amp;$B$4&amp;"BSR'!AB78")</f>
        <v>3.2967299611507705E-3</v>
      </c>
      <c r="F25" s="406">
        <f ca="1">INDIRECT("'DevSumOut-"&amp;$B$4&amp;"BSR'!AC78")*(1-L$62)</f>
        <v>1.6935841832691394E-3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13" x14ac:dyDescent="0.25">
      <c r="A52" s="222" t="s">
        <v>741</v>
      </c>
    </row>
    <row r="53" spans="1:13" x14ac:dyDescent="0.25">
      <c r="A53" s="222"/>
    </row>
    <row r="54" spans="1:13" x14ac:dyDescent="0.25">
      <c r="A54" s="222"/>
      <c r="B54" s="136" t="s">
        <v>706</v>
      </c>
      <c r="H54" s="222"/>
      <c r="I54" s="136" t="s">
        <v>706</v>
      </c>
    </row>
    <row r="55" spans="1:13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  <c r="H55" s="222"/>
      <c r="I55" s="223" t="s">
        <v>707</v>
      </c>
      <c r="J55" s="224">
        <f>ULSEFs!$O$69</f>
        <v>1.942443864412639E-6</v>
      </c>
      <c r="K55" s="225" t="s">
        <v>473</v>
      </c>
      <c r="L55" s="224">
        <f>ULSEFs!$Q$69</f>
        <v>5.9763082405351123E-4</v>
      </c>
    </row>
    <row r="57" spans="1:13" x14ac:dyDescent="0.25">
      <c r="E57" t="s">
        <v>474</v>
      </c>
      <c r="L57" t="s">
        <v>474</v>
      </c>
    </row>
    <row r="58" spans="1:13" x14ac:dyDescent="0.25">
      <c r="C58" s="2" t="s">
        <v>462</v>
      </c>
      <c r="E58" s="2" t="s">
        <v>91</v>
      </c>
      <c r="K58" s="2" t="s">
        <v>462</v>
      </c>
      <c r="L58" s="2" t="s">
        <v>91</v>
      </c>
    </row>
    <row r="59" spans="1:13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  <c r="H59" s="5" t="s">
        <v>708</v>
      </c>
      <c r="I59" s="5"/>
      <c r="J59" s="5"/>
      <c r="K59" s="15" t="s">
        <v>464</v>
      </c>
      <c r="L59" s="5" t="s">
        <v>197</v>
      </c>
      <c r="M59" s="5"/>
    </row>
    <row r="60" spans="1:13" x14ac:dyDescent="0.25">
      <c r="A60" t="s">
        <v>709</v>
      </c>
      <c r="C60" s="13">
        <f>D18</f>
        <v>896</v>
      </c>
      <c r="E60" s="323">
        <f>C60*C$55+E$55</f>
        <v>2.3380605265672359E-3</v>
      </c>
      <c r="H60" t="s">
        <v>709</v>
      </c>
      <c r="K60" s="13">
        <f>E20</f>
        <v>2035.3928754647418</v>
      </c>
      <c r="L60" s="323">
        <f>K60*J$55+L$55</f>
        <v>4.5512672266691976E-3</v>
      </c>
    </row>
    <row r="61" spans="1:13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  <c r="H61" s="5" t="s">
        <v>751</v>
      </c>
      <c r="I61" s="5"/>
      <c r="J61" s="5"/>
      <c r="K61" s="475">
        <f>D18</f>
        <v>896</v>
      </c>
      <c r="L61" s="324">
        <f>K61*J$55+L$55</f>
        <v>2.3380605265672359E-3</v>
      </c>
      <c r="M61" s="5"/>
    </row>
    <row r="62" spans="1:13" x14ac:dyDescent="0.25">
      <c r="D62" s="214" t="s">
        <v>1554</v>
      </c>
      <c r="E62" s="325">
        <f>1-E61/E60</f>
        <v>0.73192846168960091</v>
      </c>
      <c r="K62" s="214" t="s">
        <v>1628</v>
      </c>
      <c r="L62" s="325">
        <f>1-L61/L60</f>
        <v>0.48628361945727283</v>
      </c>
    </row>
    <row r="64" spans="1:13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4.6878672366259801E-4</v>
      </c>
      <c r="F74" s="407">
        <f ca="1">F$24*(1-E62)</f>
        <v>4.6878672366259801E-4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9.4933588573126781E-2</v>
      </c>
      <c r="E96" s="99">
        <f t="shared" ca="1" si="0"/>
        <v>3.4040911708245721E-3</v>
      </c>
      <c r="F96" s="99">
        <f t="shared" ca="1" si="0"/>
        <v>1.7487373953134536E-3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9.4933588573126781E-2</v>
      </c>
      <c r="E97" s="99">
        <f t="shared" ca="1" si="0"/>
        <v>3.2967299611507705E-3</v>
      </c>
      <c r="F97" s="99">
        <f t="shared" ca="1" si="0"/>
        <v>1.6935841832691394E-3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261.5183508059074</v>
      </c>
      <c r="E102" s="421">
        <f t="shared" ca="1" si="1"/>
        <v>9.3774218626661519</v>
      </c>
      <c r="F102" s="423">
        <f t="shared" ca="1" si="1"/>
        <v>4.8173352181110944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84.548363910197807</v>
      </c>
      <c r="E103" s="14">
        <f t="shared" ca="1" si="1"/>
        <v>2.9360854114802706</v>
      </c>
      <c r="F103" s="424">
        <f t="shared" ca="1" si="1"/>
        <v>1.508315170549948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361.11498740708191</v>
      </c>
      <c r="E105" s="397">
        <f t="shared" ca="1" si="2"/>
        <v>437.4713767072742</v>
      </c>
      <c r="F105" s="427">
        <f t="shared" ca="1" si="2"/>
        <v>431.48351982178878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74">
        <f>CostData!O$69*(D18-15)/(2000-15)</f>
        <v>6.6574307304785897E-3</v>
      </c>
      <c r="E120" s="14" t="s">
        <v>1626</v>
      </c>
    </row>
    <row r="121" spans="1:8" x14ac:dyDescent="0.25">
      <c r="B121" s="1"/>
      <c r="C121" s="326" t="s">
        <v>718</v>
      </c>
      <c r="D121" s="328">
        <f>1-1/(1+D120)</f>
        <v>6.6134024616970599E-3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410">
        <f>G126*D127</f>
        <v>0.43697569260412927</v>
      </c>
      <c r="E126" s="64"/>
      <c r="F126" s="1" t="s">
        <v>752</v>
      </c>
      <c r="G126" s="410">
        <f>CostData!O71+CostData!O$73</f>
        <v>2.9303075856982739</v>
      </c>
      <c r="H126" t="s">
        <v>753</v>
      </c>
    </row>
    <row r="127" spans="1:8" x14ac:dyDescent="0.25">
      <c r="B127" s="1"/>
      <c r="C127" s="326" t="s">
        <v>754</v>
      </c>
      <c r="D127" s="334">
        <f>CostData!O$77</f>
        <v>0.1491228070175441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4.384210526315796E-2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4.7421052631579023E-2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-99.826157551772766</v>
      </c>
      <c r="D145" s="49">
        <f ca="1">B145+C145</f>
        <v>14994.6971426613</v>
      </c>
      <c r="E145" s="329">
        <f ca="1">-D145*$D$128</f>
        <v>-657.39909051773066</v>
      </c>
      <c r="F145" s="330"/>
      <c r="G145" s="329">
        <v>0</v>
      </c>
      <c r="H145" s="49">
        <f ca="1">SUM(D145:G145)</f>
        <v>14337.298052143569</v>
      </c>
      <c r="I145" s="428">
        <f ca="1">H145/B145-1</f>
        <v>-5.0165562237981742E-2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-32.273598661181872</v>
      </c>
      <c r="D146" s="49">
        <f ca="1">B146+C146</f>
        <v>4847.7558337076098</v>
      </c>
      <c r="E146" s="329">
        <f ca="1">-D146*$D$128</f>
        <v>-212.53582155149709</v>
      </c>
      <c r="F146" s="330"/>
      <c r="G146" s="330"/>
      <c r="H146" s="49">
        <f ca="1">SUM(D146:G146)</f>
        <v>4635.2200121561127</v>
      </c>
      <c r="I146" s="428">
        <f ca="1">H146/B146-1</f>
        <v>-5.0165562237981631E-2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159.44862996353007</v>
      </c>
      <c r="F147" s="332">
        <f ca="1">E147/F138-E147</f>
        <v>55.807020487235548</v>
      </c>
      <c r="G147" s="284"/>
      <c r="H147" s="94">
        <f ca="1">SUM(D147:G147)</f>
        <v>3577.6573921900181</v>
      </c>
      <c r="I147" s="429">
        <f ca="1">H147/B147-1</f>
        <v>6.401842105263178E-2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-132.09975621295465</v>
      </c>
      <c r="D148" s="93">
        <f t="shared" ca="1" si="3"/>
        <v>23204.854718108163</v>
      </c>
      <c r="E148" s="93">
        <f t="shared" ca="1" si="3"/>
        <v>-710.48628210569768</v>
      </c>
      <c r="F148" s="93">
        <f t="shared" ca="1" si="3"/>
        <v>55.807020487235548</v>
      </c>
      <c r="G148" s="93">
        <f t="shared" si="3"/>
        <v>0</v>
      </c>
      <c r="H148" s="93">
        <f t="shared" ca="1" si="3"/>
        <v>22550.175456489698</v>
      </c>
      <c r="I148" s="430">
        <f ca="1">H148/B148-1</f>
        <v>-3.3713868649705603E-2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4.6878672366259801E-4</v>
      </c>
      <c r="F152" s="99">
        <f t="shared" ca="1" si="4"/>
        <v>4.6878672366259801E-4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4.6878672366259801E-4</v>
      </c>
      <c r="F153" s="99">
        <f t="shared" ca="1" si="4"/>
        <v>4.6878672366259801E-4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13.920128879185569</v>
      </c>
      <c r="C158" s="421">
        <f t="shared" ref="C158:H160" ca="1" si="6">C152*$H145*365/2000</f>
        <v>209.64038124904152</v>
      </c>
      <c r="D158" s="422">
        <f t="shared" ca="1" si="6"/>
        <v>4.1584676735855917</v>
      </c>
      <c r="E158" s="421">
        <f t="shared" ca="1" si="6"/>
        <v>1.2266071338570321</v>
      </c>
      <c r="F158" s="423">
        <f t="shared" ca="1" si="6"/>
        <v>1.2266071338570321</v>
      </c>
      <c r="G158" s="421">
        <f t="shared" ca="1" si="6"/>
        <v>0.47825178661019019</v>
      </c>
      <c r="H158" s="421">
        <f t="shared" ca="1" si="6"/>
        <v>8.7434351171201286</v>
      </c>
    </row>
    <row r="159" spans="1:9" x14ac:dyDescent="0.25">
      <c r="A159" t="s">
        <v>739</v>
      </c>
      <c r="B159" s="14">
        <f ca="1">B153*$H146*365/2000</f>
        <v>4.5003500462868864</v>
      </c>
      <c r="C159" s="14">
        <f t="shared" ca="1" si="6"/>
        <v>67.776319288857295</v>
      </c>
      <c r="D159" s="266">
        <f t="shared" ca="1" si="6"/>
        <v>1.344424347628481</v>
      </c>
      <c r="E159" s="14">
        <f t="shared" ca="1" si="6"/>
        <v>0.39655965253909986</v>
      </c>
      <c r="F159" s="424">
        <f t="shared" ca="1" si="6"/>
        <v>0.39655965253909986</v>
      </c>
      <c r="G159" s="14">
        <f t="shared" ca="1" si="6"/>
        <v>0.15461785366270839</v>
      </c>
      <c r="H159" s="14">
        <f t="shared" ca="1" si="6"/>
        <v>2.8267352246195676</v>
      </c>
    </row>
    <row r="160" spans="1:9" x14ac:dyDescent="0.25">
      <c r="A160" s="5" t="s">
        <v>486</v>
      </c>
      <c r="B160" s="251">
        <f ca="1">B154*$H147*365/2000</f>
        <v>1663.0327669868748</v>
      </c>
      <c r="C160" s="251">
        <f t="shared" ca="1" si="6"/>
        <v>78.145713704867049</v>
      </c>
      <c r="D160" s="395">
        <f t="shared" ca="1" si="6"/>
        <v>16.011639348222467</v>
      </c>
      <c r="E160" s="251">
        <f t="shared" ca="1" si="6"/>
        <v>452.37580493233753</v>
      </c>
      <c r="F160" s="425">
        <f t="shared" ca="1" si="6"/>
        <v>452.37580493233753</v>
      </c>
      <c r="G160" s="251">
        <f t="shared" ca="1" si="6"/>
        <v>17.018489787347004</v>
      </c>
      <c r="H160" s="251">
        <f t="shared" ca="1" si="6"/>
        <v>4806.5450698729637</v>
      </c>
    </row>
    <row r="161" spans="1:12" x14ac:dyDescent="0.25">
      <c r="A161" s="91" t="s">
        <v>222</v>
      </c>
      <c r="B161" s="397">
        <f ca="1">SUM(B158:B160)</f>
        <v>1681.4532459123473</v>
      </c>
      <c r="C161" s="397">
        <f t="shared" ref="C161:H161" ca="1" si="7">SUM(C158:C160)</f>
        <v>355.56241424276584</v>
      </c>
      <c r="D161" s="426">
        <f t="shared" ca="1" si="7"/>
        <v>21.51453136943654</v>
      </c>
      <c r="E161" s="397">
        <f t="shared" ca="1" si="7"/>
        <v>453.99897171873369</v>
      </c>
      <c r="F161" s="427">
        <f t="shared" ca="1" si="7"/>
        <v>453.99897171873369</v>
      </c>
      <c r="G161" s="397">
        <f t="shared" ca="1" si="7"/>
        <v>17.651359427619902</v>
      </c>
      <c r="H161" s="397">
        <f t="shared" ca="1" si="7"/>
        <v>4818.1152402147036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-99.239414227979069</v>
      </c>
      <c r="C168" s="396">
        <f t="shared" ref="C168:H168" ca="1" si="8">(C$105-C$161)*$I168</f>
        <v>64.176765670571967</v>
      </c>
      <c r="D168" s="419">
        <f t="shared" ca="1" si="8"/>
        <v>339.60045603764536</v>
      </c>
      <c r="E168" s="396">
        <f t="shared" ca="1" si="8"/>
        <v>-16.527595011459482</v>
      </c>
      <c r="F168" s="420">
        <f t="shared" ca="1" si="8"/>
        <v>-22.51545189694491</v>
      </c>
      <c r="G168" s="396">
        <f t="shared" ca="1" si="8"/>
        <v>-0.99578344731843416</v>
      </c>
      <c r="H168" s="396">
        <f t="shared" ca="1" si="8"/>
        <v>-288.67884165508804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-99.239414227979069</v>
      </c>
      <c r="C169" s="396">
        <f t="shared" ca="1" si="10"/>
        <v>64.176765670571967</v>
      </c>
      <c r="D169" s="419">
        <f t="shared" ca="1" si="10"/>
        <v>339.60045603764536</v>
      </c>
      <c r="E169" s="396">
        <f t="shared" ca="1" si="10"/>
        <v>-16.527595011459482</v>
      </c>
      <c r="F169" s="420">
        <f t="shared" ca="1" si="10"/>
        <v>-22.51545189694491</v>
      </c>
      <c r="G169" s="396">
        <f t="shared" ca="1" si="10"/>
        <v>-0.99578344731843416</v>
      </c>
      <c r="H169" s="396">
        <f t="shared" ca="1" si="10"/>
        <v>-288.67884165508804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-99.239414227979069</v>
      </c>
      <c r="C170" s="396">
        <f t="shared" ca="1" si="10"/>
        <v>64.176765670571967</v>
      </c>
      <c r="D170" s="419">
        <f t="shared" ca="1" si="10"/>
        <v>339.60045603764536</v>
      </c>
      <c r="E170" s="396">
        <f t="shared" ca="1" si="10"/>
        <v>-16.527595011459482</v>
      </c>
      <c r="F170" s="420">
        <f t="shared" ca="1" si="10"/>
        <v>-22.51545189694491</v>
      </c>
      <c r="G170" s="396">
        <f t="shared" ca="1" si="10"/>
        <v>-0.99578344731843416</v>
      </c>
      <c r="H170" s="396">
        <f t="shared" ca="1" si="10"/>
        <v>-288.67884165508804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-99.239414227979069</v>
      </c>
      <c r="C171" s="396">
        <f t="shared" ca="1" si="10"/>
        <v>64.176765670571967</v>
      </c>
      <c r="D171" s="419">
        <f t="shared" ca="1" si="10"/>
        <v>339.60045603764536</v>
      </c>
      <c r="E171" s="396">
        <f t="shared" ca="1" si="10"/>
        <v>-16.527595011459482</v>
      </c>
      <c r="F171" s="420">
        <f t="shared" ca="1" si="10"/>
        <v>-22.51545189694491</v>
      </c>
      <c r="G171" s="396">
        <f t="shared" ca="1" si="10"/>
        <v>-0.99578344731843416</v>
      </c>
      <c r="H171" s="396">
        <f t="shared" ca="1" si="10"/>
        <v>-288.67884165508804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-99.239414227979069</v>
      </c>
      <c r="C172" s="396">
        <f t="shared" ca="1" si="10"/>
        <v>64.176765670571967</v>
      </c>
      <c r="D172" s="419">
        <f t="shared" ca="1" si="10"/>
        <v>339.60045603764536</v>
      </c>
      <c r="E172" s="396">
        <f t="shared" ca="1" si="10"/>
        <v>-16.527595011459482</v>
      </c>
      <c r="F172" s="420">
        <f t="shared" ca="1" si="10"/>
        <v>-22.51545189694491</v>
      </c>
      <c r="G172" s="396">
        <f t="shared" ca="1" si="10"/>
        <v>-0.99578344731843416</v>
      </c>
      <c r="H172" s="396">
        <f t="shared" ca="1" si="10"/>
        <v>-288.67884165508804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-99.239414227979069</v>
      </c>
      <c r="C173" s="396">
        <f t="shared" ca="1" si="10"/>
        <v>64.176765670571967</v>
      </c>
      <c r="D173" s="419">
        <f t="shared" ca="1" si="10"/>
        <v>339.60045603764536</v>
      </c>
      <c r="E173" s="396">
        <f t="shared" ca="1" si="10"/>
        <v>-16.527595011459482</v>
      </c>
      <c r="F173" s="420">
        <f t="shared" ca="1" si="10"/>
        <v>-22.51545189694491</v>
      </c>
      <c r="G173" s="396">
        <f t="shared" ca="1" si="10"/>
        <v>-0.99578344731843416</v>
      </c>
      <c r="H173" s="396">
        <f t="shared" ca="1" si="10"/>
        <v>-288.67884165508804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-99.239414227979069</v>
      </c>
      <c r="C174" s="396">
        <f t="shared" ca="1" si="10"/>
        <v>64.176765670571967</v>
      </c>
      <c r="D174" s="419">
        <f t="shared" ca="1" si="10"/>
        <v>339.60045603764536</v>
      </c>
      <c r="E174" s="396">
        <f t="shared" ca="1" si="10"/>
        <v>-16.527595011459482</v>
      </c>
      <c r="F174" s="420">
        <f t="shared" ca="1" si="10"/>
        <v>-22.51545189694491</v>
      </c>
      <c r="G174" s="396">
        <f t="shared" ca="1" si="10"/>
        <v>-0.99578344731843416</v>
      </c>
      <c r="H174" s="396">
        <f t="shared" ca="1" si="10"/>
        <v>-288.67884165508804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2.9303075856982739</v>
      </c>
      <c r="O190" s="309" t="str">
        <f>CostData!$F$9</f>
        <v>/gal</v>
      </c>
      <c r="P190" s="294">
        <f t="shared" ref="P190:Q192" ca="1" si="11">G190*$N190*365</f>
        <v>120461708.87290193</v>
      </c>
      <c r="Q190" s="294">
        <f t="shared" ca="1" si="11"/>
        <v>3716.9415810421542</v>
      </c>
      <c r="R190" s="14">
        <f>CostData!O$68</f>
        <v>3.3671602831893885</v>
      </c>
      <c r="S190" s="320">
        <f>CostData!O$65</f>
        <v>491.97546434304058</v>
      </c>
      <c r="T190" s="337">
        <f>S190/R190</f>
        <v>146.10990358826618</v>
      </c>
      <c r="U190" s="320">
        <f ca="1">T190*B190</f>
        <v>4735250.2819166258</v>
      </c>
      <c r="V190" s="302">
        <f ca="1">Q190+T190</f>
        <v>3863.0514846304204</v>
      </c>
      <c r="W190" s="294">
        <f ca="1">P190+U190</f>
        <v>125196959.15481856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2.9303075856982739</v>
      </c>
      <c r="O191" s="309" t="str">
        <f>CostData!$F$9</f>
        <v>/gal</v>
      </c>
      <c r="P191" s="294">
        <f t="shared" ca="1" si="11"/>
        <v>38890318.501522288</v>
      </c>
      <c r="Q191" s="294">
        <f t="shared" ca="1" si="11"/>
        <v>24125.507755286773</v>
      </c>
      <c r="R191" s="14">
        <f>CostData!O$68</f>
        <v>3.3671602831893885</v>
      </c>
      <c r="S191" s="320">
        <f>CostData!O$65</f>
        <v>491.97546434304058</v>
      </c>
      <c r="T191" s="337">
        <f>S191/R191</f>
        <v>146.10990358826618</v>
      </c>
      <c r="U191" s="320">
        <f ca="1">T191*B191</f>
        <v>235529.16458428508</v>
      </c>
      <c r="V191" s="302">
        <f ca="1">Q191+T191</f>
        <v>24271.617658875039</v>
      </c>
      <c r="W191" s="294">
        <f ca="1">P191+U191</f>
        <v>39125847.666106574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169997986.4353013</v>
      </c>
      <c r="Q193" s="303"/>
      <c r="T193" s="303"/>
      <c r="U193" s="295">
        <f ca="1">SUM(U190:U192)</f>
        <v>4970779.4465009104</v>
      </c>
      <c r="V193" s="303"/>
      <c r="W193" s="343">
        <f ca="1">SUM(W190:W192)</f>
        <v>174968765.88180223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14337.298052143569</v>
      </c>
      <c r="F208" s="6">
        <f ca="1">E208/B208</f>
        <v>0.44238870416518722</v>
      </c>
      <c r="G208" s="311">
        <f ca="1">E208/L208</f>
        <v>106977.10910246555</v>
      </c>
      <c r="H208" s="14">
        <f ca="1">G208/B208</f>
        <v>3.3008635587443869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3.3672832783024029</v>
      </c>
      <c r="O208" s="309" t="str">
        <f>CostData!$F$9</f>
        <v>/gal</v>
      </c>
      <c r="P208" s="294">
        <f t="shared" ref="P208:Q210" ca="1" si="12">G208*$N208*365</f>
        <v>131481114.18428037</v>
      </c>
      <c r="Q208" s="294">
        <f t="shared" ca="1" si="12"/>
        <v>4056.9540728409738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4152.9761984653351</v>
      </c>
      <c r="W208" s="294">
        <f ca="1">P208+U208</f>
        <v>134593078.44040835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4635.2200121561127</v>
      </c>
      <c r="F209" s="6">
        <f ca="1">E209/B209</f>
        <v>2.8754466576650821</v>
      </c>
      <c r="G209" s="49">
        <f ca="1">E209/L209</f>
        <v>34536.898773008092</v>
      </c>
      <c r="H209" s="14">
        <f ca="1">G209/B209</f>
        <v>21.424875169359858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3.3672832783024029</v>
      </c>
      <c r="O209" s="309" t="str">
        <f>CostData!$F$9</f>
        <v>/gal</v>
      </c>
      <c r="P209" s="294">
        <f t="shared" ca="1" si="12"/>
        <v>42447865.428812116</v>
      </c>
      <c r="Q209" s="294">
        <f t="shared" ca="1" si="12"/>
        <v>26332.422722588162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26428.444848212523</v>
      </c>
      <c r="W209" s="294">
        <f ca="1">P209+U209</f>
        <v>42602653.095318586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3577.6573921900181</v>
      </c>
      <c r="F210" s="252">
        <f ca="1">E210/B210</f>
        <v>0.25483038841371319</v>
      </c>
      <c r="G210" s="94">
        <f ca="1">E210/L210</f>
        <v>318.32039078310584</v>
      </c>
      <c r="H210" s="252">
        <f ca="1">G210/B210</f>
        <v>2.267341445280445E-2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11327496.550545381</v>
      </c>
      <c r="Q210" s="312">
        <f t="shared" ca="1" si="12"/>
        <v>806.83811480435975</v>
      </c>
      <c r="R210" s="284"/>
      <c r="S210" s="340"/>
      <c r="T210" s="341"/>
      <c r="U210" s="340"/>
      <c r="V210" s="338">
        <f ca="1">Q210+T210</f>
        <v>806.83811480435975</v>
      </c>
      <c r="W210" s="312">
        <f ca="1">P210+U210</f>
        <v>11327496.550545381</v>
      </c>
    </row>
    <row r="211" spans="1:23" x14ac:dyDescent="0.25">
      <c r="A211" s="91" t="s">
        <v>222</v>
      </c>
      <c r="B211" s="93"/>
      <c r="E211" s="93">
        <f ca="1">SUM(E208:E210)</f>
        <v>22550.175456489698</v>
      </c>
      <c r="G211" s="93">
        <f ca="1">G208*365</f>
        <v>39046644.822399922</v>
      </c>
      <c r="H211" s="342" t="s">
        <v>1473</v>
      </c>
      <c r="P211" s="295">
        <f ca="1">SUM(P208:P210)</f>
        <v>185256476.16363788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188523228.08627233</v>
      </c>
    </row>
    <row r="212" spans="1:23" x14ac:dyDescent="0.25">
      <c r="G212" s="93">
        <f ca="1">G209*365</f>
        <v>12605968.052147953</v>
      </c>
      <c r="H212" s="342" t="s">
        <v>1472</v>
      </c>
    </row>
    <row r="213" spans="1:23" x14ac:dyDescent="0.25">
      <c r="G213" s="93">
        <f ca="1">G210*365</f>
        <v>116186.94263583363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174968765.88180223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188602410.51927581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13633644.637473583</v>
      </c>
      <c r="D228" s="220" t="s">
        <v>669</v>
      </c>
    </row>
    <row r="230" spans="1:4" x14ac:dyDescent="0.25">
      <c r="A230" t="s">
        <v>637</v>
      </c>
      <c r="C230" s="344">
        <f ca="1">F$168</f>
        <v>-22.51545189694491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339.60045603764536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-605523.91752454732</v>
      </c>
      <c r="D233" s="345" t="s">
        <v>638</v>
      </c>
    </row>
    <row r="234" spans="1:4" x14ac:dyDescent="0.25">
      <c r="C234" s="295">
        <f ca="1">C$228/C231</f>
        <v>40146.131711796843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428704.88668263395</v>
      </c>
      <c r="D238" s="345" t="s">
        <v>1572</v>
      </c>
    </row>
  </sheetData>
  <sheetProtection algorithmName="SHA-512" hashValue="/koR5M7pgWWTJVAzZxy/dQ+Nd6nfKq/kwcRISTW7yELPwgcBPwpeR1ecXI9B31wxF3AJjqch36zRvc4QL4L5Vw==" saltValue="zi5puOptr0YwnaFsmNbm9Q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729D7D6-A2B3-4702-8AEF-3A3A08B57E05}">
          <x14:formula1>
            <xm:f>CostData!$AB$10:$AB$13</xm:f>
          </x14:formula1>
          <xm:sqref>B219:C219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0A1B2-8819-4477-8916-5F743B0F58A6}">
  <sheetPr codeName="Sheet15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1630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459">
        <v>1</v>
      </c>
      <c r="C18" s="459">
        <v>0</v>
      </c>
      <c r="D18" s="218">
        <f>SUMPRODUCT(B18:C18,B$20:C$20)</f>
        <v>896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INDIRECT("'DevSumOut-"&amp;$B$4&amp;"BSR'!AA76")*$D$18/$E$20</f>
        <v>9.4933588573126781E-2</v>
      </c>
      <c r="E24" s="99">
        <f ca="1">INDIRECT("'DevSumOut-"&amp;$B$4&amp;"BSR'!AB76")</f>
        <v>3.4040911708245721E-3</v>
      </c>
      <c r="F24" s="406">
        <f ca="1">INDIRECT("'DevSumOut-"&amp;$B$4&amp;"BSR'!AC76")*(1-L$62)</f>
        <v>1.7487373953134536E-3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D24</f>
        <v>9.4933588573126781E-2</v>
      </c>
      <c r="E25" s="99">
        <f ca="1">INDIRECT("'DevSumOut-"&amp;$B$4&amp;"BSR'!AB78")</f>
        <v>3.2967299611507705E-3</v>
      </c>
      <c r="F25" s="406">
        <f ca="1">INDIRECT("'DevSumOut-"&amp;$B$4&amp;"BSR'!AC78")*(1-L$62)</f>
        <v>1.6935841832691394E-3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13" x14ac:dyDescent="0.25">
      <c r="A52" s="222" t="s">
        <v>741</v>
      </c>
    </row>
    <row r="53" spans="1:13" x14ac:dyDescent="0.25">
      <c r="A53" s="222"/>
    </row>
    <row r="54" spans="1:13" x14ac:dyDescent="0.25">
      <c r="A54" s="222"/>
      <c r="B54" s="136" t="s">
        <v>706</v>
      </c>
      <c r="H54" s="222"/>
      <c r="I54" s="136" t="s">
        <v>706</v>
      </c>
    </row>
    <row r="55" spans="1:13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  <c r="H55" s="222"/>
      <c r="I55" s="223" t="s">
        <v>707</v>
      </c>
      <c r="J55" s="224">
        <f>ULSEFs!$O$69</f>
        <v>1.942443864412639E-6</v>
      </c>
      <c r="K55" s="225" t="s">
        <v>473</v>
      </c>
      <c r="L55" s="224">
        <f>ULSEFs!$Q$69</f>
        <v>5.9763082405351123E-4</v>
      </c>
    </row>
    <row r="57" spans="1:13" x14ac:dyDescent="0.25">
      <c r="E57" t="s">
        <v>474</v>
      </c>
      <c r="L57" t="s">
        <v>474</v>
      </c>
    </row>
    <row r="58" spans="1:13" x14ac:dyDescent="0.25">
      <c r="C58" s="2" t="s">
        <v>462</v>
      </c>
      <c r="E58" s="2" t="s">
        <v>91</v>
      </c>
      <c r="K58" s="2" t="s">
        <v>462</v>
      </c>
      <c r="L58" s="2" t="s">
        <v>91</v>
      </c>
    </row>
    <row r="59" spans="1:13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  <c r="H59" s="5" t="s">
        <v>708</v>
      </c>
      <c r="I59" s="5"/>
      <c r="J59" s="5"/>
      <c r="K59" s="15" t="s">
        <v>464</v>
      </c>
      <c r="L59" s="5" t="s">
        <v>197</v>
      </c>
      <c r="M59" s="5"/>
    </row>
    <row r="60" spans="1:13" x14ac:dyDescent="0.25">
      <c r="A60" t="s">
        <v>709</v>
      </c>
      <c r="C60" s="13">
        <f>D18</f>
        <v>896</v>
      </c>
      <c r="E60" s="323">
        <f>C60*C$55+E$55</f>
        <v>2.3380605265672359E-3</v>
      </c>
      <c r="H60" t="s">
        <v>709</v>
      </c>
      <c r="K60" s="13">
        <f>E20</f>
        <v>2035.3928754647418</v>
      </c>
      <c r="L60" s="323">
        <f>K60*J$55+L$55</f>
        <v>4.5512672266691976E-3</v>
      </c>
    </row>
    <row r="61" spans="1:13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  <c r="H61" s="5" t="s">
        <v>751</v>
      </c>
      <c r="I61" s="5"/>
      <c r="J61" s="5"/>
      <c r="K61" s="475">
        <f>D18</f>
        <v>896</v>
      </c>
      <c r="L61" s="324">
        <f>K61*J$55+L$55</f>
        <v>2.3380605265672359E-3</v>
      </c>
      <c r="M61" s="5"/>
    </row>
    <row r="62" spans="1:13" x14ac:dyDescent="0.25">
      <c r="D62" s="214" t="s">
        <v>1554</v>
      </c>
      <c r="E62" s="325">
        <f>1-E61/E60</f>
        <v>0.73192846168960091</v>
      </c>
      <c r="K62" s="214" t="s">
        <v>1628</v>
      </c>
      <c r="L62" s="325">
        <f>1-L61/L60</f>
        <v>0.48628361945727283</v>
      </c>
    </row>
    <row r="64" spans="1:13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4.6878672366259801E-4</v>
      </c>
      <c r="F74" s="407">
        <f ca="1">F$24*(1-E62)</f>
        <v>4.6878672366259801E-4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9.4933588573126781E-2</v>
      </c>
      <c r="E96" s="99">
        <f t="shared" ca="1" si="0"/>
        <v>3.4040911708245721E-3</v>
      </c>
      <c r="F96" s="99">
        <f t="shared" ca="1" si="0"/>
        <v>1.7487373953134536E-3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9.4933588573126781E-2</v>
      </c>
      <c r="E97" s="99">
        <f t="shared" ca="1" si="0"/>
        <v>3.2967299611507705E-3</v>
      </c>
      <c r="F97" s="99">
        <f t="shared" ca="1" si="0"/>
        <v>1.6935841832691394E-3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261.5183508059074</v>
      </c>
      <c r="E102" s="421">
        <f t="shared" ca="1" si="1"/>
        <v>9.3774218626661519</v>
      </c>
      <c r="F102" s="423">
        <f t="shared" ca="1" si="1"/>
        <v>4.8173352181110944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84.548363910197807</v>
      </c>
      <c r="E103" s="14">
        <f t="shared" ca="1" si="1"/>
        <v>2.9360854114802706</v>
      </c>
      <c r="F103" s="424">
        <f t="shared" ca="1" si="1"/>
        <v>1.508315170549948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361.11498740708191</v>
      </c>
      <c r="E105" s="397">
        <f t="shared" ca="1" si="2"/>
        <v>437.4713767072742</v>
      </c>
      <c r="F105" s="427">
        <f t="shared" ca="1" si="2"/>
        <v>431.48351982178878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74">
        <f>CostData!O$69*(D18-15)/(2000-15)</f>
        <v>6.6574307304785897E-3</v>
      </c>
      <c r="E120" s="14" t="s">
        <v>1626</v>
      </c>
    </row>
    <row r="121" spans="1:8" x14ac:dyDescent="0.25">
      <c r="B121" s="1"/>
      <c r="C121" s="326" t="s">
        <v>718</v>
      </c>
      <c r="D121" s="328">
        <f>1-1/(1+D120)</f>
        <v>6.6134024616970599E-3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410">
        <f>G126*D127</f>
        <v>0.77096491228070296</v>
      </c>
      <c r="E126" s="64"/>
      <c r="F126" s="1" t="s">
        <v>752</v>
      </c>
      <c r="G126" s="410">
        <f>CostData!O72+CostData!O$73</f>
        <v>5.17</v>
      </c>
      <c r="H126" t="s">
        <v>753</v>
      </c>
    </row>
    <row r="127" spans="1:8" x14ac:dyDescent="0.25">
      <c r="B127" s="1"/>
      <c r="C127" s="326" t="s">
        <v>754</v>
      </c>
      <c r="D127" s="334">
        <f>CostData!O$77</f>
        <v>0.1491228070175441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4.384210526315796E-2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4.7421052631579023E-2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-99.826157551772766</v>
      </c>
      <c r="D145" s="49">
        <f ca="1">B145+C145</f>
        <v>14994.6971426613</v>
      </c>
      <c r="E145" s="329">
        <f ca="1">-D145*$D$128</f>
        <v>-657.39909051773066</v>
      </c>
      <c r="F145" s="330"/>
      <c r="G145" s="329">
        <v>0</v>
      </c>
      <c r="H145" s="49">
        <f ca="1">SUM(D145:G145)</f>
        <v>14337.298052143569</v>
      </c>
      <c r="I145" s="428">
        <f ca="1">H145/B145-1</f>
        <v>-5.0165562237981742E-2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-32.273598661181872</v>
      </c>
      <c r="D146" s="49">
        <f ca="1">B146+C146</f>
        <v>4847.7558337076098</v>
      </c>
      <c r="E146" s="329">
        <f ca="1">-D146*$D$128</f>
        <v>-212.53582155149709</v>
      </c>
      <c r="F146" s="330"/>
      <c r="G146" s="330"/>
      <c r="H146" s="49">
        <f ca="1">SUM(D146:G146)</f>
        <v>4635.2200121561127</v>
      </c>
      <c r="I146" s="428">
        <f ca="1">H146/B146-1</f>
        <v>-5.0165562237981631E-2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159.44862996353007</v>
      </c>
      <c r="F147" s="332">
        <f ca="1">E147/F138-E147</f>
        <v>55.807020487235548</v>
      </c>
      <c r="G147" s="284"/>
      <c r="H147" s="94">
        <f ca="1">SUM(D147:G147)</f>
        <v>3577.6573921900181</v>
      </c>
      <c r="I147" s="429">
        <f ca="1">H147/B147-1</f>
        <v>6.401842105263178E-2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-132.09975621295465</v>
      </c>
      <c r="D148" s="93">
        <f t="shared" ca="1" si="3"/>
        <v>23204.854718108163</v>
      </c>
      <c r="E148" s="93">
        <f t="shared" ca="1" si="3"/>
        <v>-710.48628210569768</v>
      </c>
      <c r="F148" s="93">
        <f t="shared" ca="1" si="3"/>
        <v>55.807020487235548</v>
      </c>
      <c r="G148" s="93">
        <f t="shared" si="3"/>
        <v>0</v>
      </c>
      <c r="H148" s="93">
        <f t="shared" ca="1" si="3"/>
        <v>22550.175456489698</v>
      </c>
      <c r="I148" s="430">
        <f ca="1">H148/B148-1</f>
        <v>-3.3713868649705603E-2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4.6878672366259801E-4</v>
      </c>
      <c r="F152" s="99">
        <f t="shared" ca="1" si="4"/>
        <v>4.6878672366259801E-4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4.6878672366259801E-4</v>
      </c>
      <c r="F153" s="99">
        <f t="shared" ca="1" si="4"/>
        <v>4.6878672366259801E-4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13.920128879185569</v>
      </c>
      <c r="C158" s="421">
        <f t="shared" ref="C158:H160" ca="1" si="6">C152*$H145*365/2000</f>
        <v>209.64038124904152</v>
      </c>
      <c r="D158" s="422">
        <f t="shared" ca="1" si="6"/>
        <v>4.1584676735855917</v>
      </c>
      <c r="E158" s="421">
        <f t="shared" ca="1" si="6"/>
        <v>1.2266071338570321</v>
      </c>
      <c r="F158" s="423">
        <f t="shared" ca="1" si="6"/>
        <v>1.2266071338570321</v>
      </c>
      <c r="G158" s="421">
        <f t="shared" ca="1" si="6"/>
        <v>0.47825178661019019</v>
      </c>
      <c r="H158" s="421">
        <f t="shared" ca="1" si="6"/>
        <v>8.7434351171201286</v>
      </c>
    </row>
    <row r="159" spans="1:9" x14ac:dyDescent="0.25">
      <c r="A159" t="s">
        <v>739</v>
      </c>
      <c r="B159" s="14">
        <f ca="1">B153*$H146*365/2000</f>
        <v>4.5003500462868864</v>
      </c>
      <c r="C159" s="14">
        <f t="shared" ca="1" si="6"/>
        <v>67.776319288857295</v>
      </c>
      <c r="D159" s="266">
        <f t="shared" ca="1" si="6"/>
        <v>1.344424347628481</v>
      </c>
      <c r="E159" s="14">
        <f t="shared" ca="1" si="6"/>
        <v>0.39655965253909986</v>
      </c>
      <c r="F159" s="424">
        <f t="shared" ca="1" si="6"/>
        <v>0.39655965253909986</v>
      </c>
      <c r="G159" s="14">
        <f t="shared" ca="1" si="6"/>
        <v>0.15461785366270839</v>
      </c>
      <c r="H159" s="14">
        <f t="shared" ca="1" si="6"/>
        <v>2.8267352246195676</v>
      </c>
    </row>
    <row r="160" spans="1:9" x14ac:dyDescent="0.25">
      <c r="A160" s="5" t="s">
        <v>486</v>
      </c>
      <c r="B160" s="251">
        <f ca="1">B154*$H147*365/2000</f>
        <v>1663.0327669868748</v>
      </c>
      <c r="C160" s="251">
        <f t="shared" ca="1" si="6"/>
        <v>78.145713704867049</v>
      </c>
      <c r="D160" s="395">
        <f t="shared" ca="1" si="6"/>
        <v>16.011639348222467</v>
      </c>
      <c r="E160" s="251">
        <f t="shared" ca="1" si="6"/>
        <v>452.37580493233753</v>
      </c>
      <c r="F160" s="425">
        <f t="shared" ca="1" si="6"/>
        <v>452.37580493233753</v>
      </c>
      <c r="G160" s="251">
        <f t="shared" ca="1" si="6"/>
        <v>17.018489787347004</v>
      </c>
      <c r="H160" s="251">
        <f t="shared" ca="1" si="6"/>
        <v>4806.5450698729637</v>
      </c>
    </row>
    <row r="161" spans="1:12" x14ac:dyDescent="0.25">
      <c r="A161" s="91" t="s">
        <v>222</v>
      </c>
      <c r="B161" s="397">
        <f ca="1">SUM(B158:B160)</f>
        <v>1681.4532459123473</v>
      </c>
      <c r="C161" s="397">
        <f t="shared" ref="C161:H161" ca="1" si="7">SUM(C158:C160)</f>
        <v>355.56241424276584</v>
      </c>
      <c r="D161" s="426">
        <f t="shared" ca="1" si="7"/>
        <v>21.51453136943654</v>
      </c>
      <c r="E161" s="397">
        <f t="shared" ca="1" si="7"/>
        <v>453.99897171873369</v>
      </c>
      <c r="F161" s="427">
        <f t="shared" ca="1" si="7"/>
        <v>453.99897171873369</v>
      </c>
      <c r="G161" s="397">
        <f t="shared" ca="1" si="7"/>
        <v>17.651359427619902</v>
      </c>
      <c r="H161" s="397">
        <f t="shared" ca="1" si="7"/>
        <v>4818.1152402147036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-99.239414227979069</v>
      </c>
      <c r="C168" s="396">
        <f t="shared" ref="C168:H168" ca="1" si="8">(C$105-C$161)*$I168</f>
        <v>64.176765670571967</v>
      </c>
      <c r="D168" s="419">
        <f t="shared" ca="1" si="8"/>
        <v>339.60045603764536</v>
      </c>
      <c r="E168" s="396">
        <f t="shared" ca="1" si="8"/>
        <v>-16.527595011459482</v>
      </c>
      <c r="F168" s="420">
        <f t="shared" ca="1" si="8"/>
        <v>-22.51545189694491</v>
      </c>
      <c r="G168" s="396">
        <f t="shared" ca="1" si="8"/>
        <v>-0.99578344731843416</v>
      </c>
      <c r="H168" s="396">
        <f t="shared" ca="1" si="8"/>
        <v>-288.67884165508804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-99.239414227979069</v>
      </c>
      <c r="C169" s="396">
        <f t="shared" ca="1" si="10"/>
        <v>64.176765670571967</v>
      </c>
      <c r="D169" s="419">
        <f t="shared" ca="1" si="10"/>
        <v>339.60045603764536</v>
      </c>
      <c r="E169" s="396">
        <f t="shared" ca="1" si="10"/>
        <v>-16.527595011459482</v>
      </c>
      <c r="F169" s="420">
        <f t="shared" ca="1" si="10"/>
        <v>-22.51545189694491</v>
      </c>
      <c r="G169" s="396">
        <f t="shared" ca="1" si="10"/>
        <v>-0.99578344731843416</v>
      </c>
      <c r="H169" s="396">
        <f t="shared" ca="1" si="10"/>
        <v>-288.67884165508804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-99.239414227979069</v>
      </c>
      <c r="C170" s="396">
        <f t="shared" ca="1" si="10"/>
        <v>64.176765670571967</v>
      </c>
      <c r="D170" s="419">
        <f t="shared" ca="1" si="10"/>
        <v>339.60045603764536</v>
      </c>
      <c r="E170" s="396">
        <f t="shared" ca="1" si="10"/>
        <v>-16.527595011459482</v>
      </c>
      <c r="F170" s="420">
        <f t="shared" ca="1" si="10"/>
        <v>-22.51545189694491</v>
      </c>
      <c r="G170" s="396">
        <f t="shared" ca="1" si="10"/>
        <v>-0.99578344731843416</v>
      </c>
      <c r="H170" s="396">
        <f t="shared" ca="1" si="10"/>
        <v>-288.67884165508804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-99.239414227979069</v>
      </c>
      <c r="C171" s="396">
        <f t="shared" ca="1" si="10"/>
        <v>64.176765670571967</v>
      </c>
      <c r="D171" s="419">
        <f t="shared" ca="1" si="10"/>
        <v>339.60045603764536</v>
      </c>
      <c r="E171" s="396">
        <f t="shared" ca="1" si="10"/>
        <v>-16.527595011459482</v>
      </c>
      <c r="F171" s="420">
        <f t="shared" ca="1" si="10"/>
        <v>-22.51545189694491</v>
      </c>
      <c r="G171" s="396">
        <f t="shared" ca="1" si="10"/>
        <v>-0.99578344731843416</v>
      </c>
      <c r="H171" s="396">
        <f t="shared" ca="1" si="10"/>
        <v>-288.67884165508804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-99.239414227979069</v>
      </c>
      <c r="C172" s="396">
        <f t="shared" ca="1" si="10"/>
        <v>64.176765670571967</v>
      </c>
      <c r="D172" s="419">
        <f t="shared" ca="1" si="10"/>
        <v>339.60045603764536</v>
      </c>
      <c r="E172" s="396">
        <f t="shared" ca="1" si="10"/>
        <v>-16.527595011459482</v>
      </c>
      <c r="F172" s="420">
        <f t="shared" ca="1" si="10"/>
        <v>-22.51545189694491</v>
      </c>
      <c r="G172" s="396">
        <f t="shared" ca="1" si="10"/>
        <v>-0.99578344731843416</v>
      </c>
      <c r="H172" s="396">
        <f t="shared" ca="1" si="10"/>
        <v>-288.67884165508804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-99.239414227979069</v>
      </c>
      <c r="C173" s="396">
        <f t="shared" ca="1" si="10"/>
        <v>64.176765670571967</v>
      </c>
      <c r="D173" s="419">
        <f t="shared" ca="1" si="10"/>
        <v>339.60045603764536</v>
      </c>
      <c r="E173" s="396">
        <f t="shared" ca="1" si="10"/>
        <v>-16.527595011459482</v>
      </c>
      <c r="F173" s="420">
        <f t="shared" ca="1" si="10"/>
        <v>-22.51545189694491</v>
      </c>
      <c r="G173" s="396">
        <f t="shared" ca="1" si="10"/>
        <v>-0.99578344731843416</v>
      </c>
      <c r="H173" s="396">
        <f t="shared" ca="1" si="10"/>
        <v>-288.67884165508804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-99.239414227979069</v>
      </c>
      <c r="C174" s="396">
        <f t="shared" ca="1" si="10"/>
        <v>64.176765670571967</v>
      </c>
      <c r="D174" s="419">
        <f t="shared" ca="1" si="10"/>
        <v>339.60045603764536</v>
      </c>
      <c r="E174" s="396">
        <f t="shared" ca="1" si="10"/>
        <v>-16.527595011459482</v>
      </c>
      <c r="F174" s="420">
        <f t="shared" ca="1" si="10"/>
        <v>-22.51545189694491</v>
      </c>
      <c r="G174" s="396">
        <f t="shared" ca="1" si="10"/>
        <v>-0.99578344731843416</v>
      </c>
      <c r="H174" s="396">
        <f t="shared" ca="1" si="10"/>
        <v>-288.67884165508804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5.17</v>
      </c>
      <c r="O190" s="309" t="str">
        <f>CostData!$F$9</f>
        <v>/gal</v>
      </c>
      <c r="P190" s="294">
        <f t="shared" ref="P190:Q192" ca="1" si="11">G190*$N190*365</f>
        <v>212532990.70462489</v>
      </c>
      <c r="Q190" s="294">
        <f t="shared" ca="1" si="11"/>
        <v>6557.8740156073909</v>
      </c>
      <c r="R190" s="14">
        <f>CostData!O$68</f>
        <v>3.3671602831893885</v>
      </c>
      <c r="S190" s="320">
        <f>CostData!O$65</f>
        <v>491.97546434304058</v>
      </c>
      <c r="T190" s="337">
        <f>S190/R190</f>
        <v>146.10990358826618</v>
      </c>
      <c r="U190" s="320">
        <f ca="1">T190*B190</f>
        <v>4735250.2819166258</v>
      </c>
      <c r="V190" s="302">
        <f ca="1">Q190+T190</f>
        <v>6703.9839191956571</v>
      </c>
      <c r="W190" s="294">
        <f ca="1">P190+U190</f>
        <v>217268240.98654151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5.17</v>
      </c>
      <c r="O191" s="309" t="str">
        <f>CostData!$F$9</f>
        <v>/gal</v>
      </c>
      <c r="P191" s="294">
        <f t="shared" ca="1" si="11"/>
        <v>68614963.027834564</v>
      </c>
      <c r="Q191" s="294">
        <f t="shared" ca="1" si="11"/>
        <v>42565.113540840299</v>
      </c>
      <c r="R191" s="14">
        <f>CostData!O$68</f>
        <v>3.3671602831893885</v>
      </c>
      <c r="S191" s="320">
        <f>CostData!O$65</f>
        <v>491.97546434304058</v>
      </c>
      <c r="T191" s="337">
        <f>S191/R191</f>
        <v>146.10990358826618</v>
      </c>
      <c r="U191" s="320">
        <f ca="1">T191*B191</f>
        <v>235529.16458428508</v>
      </c>
      <c r="V191" s="302">
        <f ca="1">Q191+T191</f>
        <v>42711.223444428564</v>
      </c>
      <c r="W191" s="294">
        <f ca="1">P191+U191</f>
        <v>68850492.192418844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291793912.79333651</v>
      </c>
      <c r="Q193" s="303"/>
      <c r="T193" s="303"/>
      <c r="U193" s="295">
        <f ca="1">SUM(U190:U192)</f>
        <v>4970779.4465009104</v>
      </c>
      <c r="V193" s="303"/>
      <c r="W193" s="343">
        <f ca="1">SUM(W190:W192)</f>
        <v>296764692.23983741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14337.298052143569</v>
      </c>
      <c r="F208" s="6">
        <f ca="1">E208/B208</f>
        <v>0.44238870416518722</v>
      </c>
      <c r="G208" s="311">
        <f ca="1">E208/L208</f>
        <v>106977.10910246555</v>
      </c>
      <c r="H208" s="14">
        <f ca="1">G208/B208</f>
        <v>3.3008635587443869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5.9409649122807027</v>
      </c>
      <c r="O208" s="309" t="str">
        <f>CostData!$F$9</f>
        <v>/gal</v>
      </c>
      <c r="P208" s="294">
        <f t="shared" ref="P208:Q210" ca="1" si="12">G208*$N208*365</f>
        <v>231974746.83216491</v>
      </c>
      <c r="Q208" s="294">
        <f t="shared" ca="1" si="12"/>
        <v>7157.7648226951405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7253.7869483195018</v>
      </c>
      <c r="W208" s="294">
        <f ca="1">P208+U208</f>
        <v>235086711.0882929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4635.2200121561127</v>
      </c>
      <c r="F209" s="6">
        <f ca="1">E209/B209</f>
        <v>2.8754466576650821</v>
      </c>
      <c r="G209" s="49">
        <f ca="1">E209/L209</f>
        <v>34536.898773008092</v>
      </c>
      <c r="H209" s="14">
        <f ca="1">G209/B209</f>
        <v>21.424875169359858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5.9409649122807027</v>
      </c>
      <c r="O209" s="309" t="str">
        <f>CostData!$F$9</f>
        <v>/gal</v>
      </c>
      <c r="P209" s="294">
        <f t="shared" ca="1" si="12"/>
        <v>74891613.883142516</v>
      </c>
      <c r="Q209" s="294">
        <f t="shared" ca="1" si="12"/>
        <v>46458.817545373764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46554.839670998124</v>
      </c>
      <c r="W209" s="294">
        <f ca="1">P209+U209</f>
        <v>75046401.549648985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3577.6573921900181</v>
      </c>
      <c r="F210" s="252">
        <f ca="1">E210/B210</f>
        <v>0.25483038841371319</v>
      </c>
      <c r="G210" s="94">
        <f ca="1">E210/L210</f>
        <v>318.32039078310584</v>
      </c>
      <c r="H210" s="252">
        <f ca="1">G210/B210</f>
        <v>2.267341445280445E-2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11327496.550545381</v>
      </c>
      <c r="Q210" s="312">
        <f t="shared" ca="1" si="12"/>
        <v>806.83811480435975</v>
      </c>
      <c r="R210" s="284"/>
      <c r="S210" s="340"/>
      <c r="T210" s="341"/>
      <c r="U210" s="340"/>
      <c r="V210" s="338">
        <f ca="1">Q210+T210</f>
        <v>806.83811480435975</v>
      </c>
      <c r="W210" s="312">
        <f ca="1">P210+U210</f>
        <v>11327496.550545381</v>
      </c>
    </row>
    <row r="211" spans="1:23" x14ac:dyDescent="0.25">
      <c r="A211" s="91" t="s">
        <v>222</v>
      </c>
      <c r="B211" s="93"/>
      <c r="E211" s="93">
        <f ca="1">SUM(E208:E210)</f>
        <v>22550.175456489698</v>
      </c>
      <c r="G211" s="93">
        <f ca="1">G208*365</f>
        <v>39046644.822399922</v>
      </c>
      <c r="H211" s="342" t="s">
        <v>1473</v>
      </c>
      <c r="P211" s="295">
        <f ca="1">SUM(P208:P210)</f>
        <v>318193857.26585281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321460609.18848729</v>
      </c>
    </row>
    <row r="212" spans="1:23" x14ac:dyDescent="0.25">
      <c r="G212" s="93">
        <f ca="1">G209*365</f>
        <v>12605968.052147953</v>
      </c>
      <c r="H212" s="342" t="s">
        <v>1472</v>
      </c>
    </row>
    <row r="213" spans="1:23" x14ac:dyDescent="0.25">
      <c r="G213" s="93">
        <f ca="1">G210*365</f>
        <v>116186.94263583363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296764692.23983741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321539791.62149078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24775099.381653368</v>
      </c>
      <c r="D228" s="220" t="s">
        <v>669</v>
      </c>
    </row>
    <row r="230" spans="1:4" x14ac:dyDescent="0.25">
      <c r="A230" t="s">
        <v>637</v>
      </c>
      <c r="C230" s="344">
        <f ca="1">F$168</f>
        <v>-22.51545189694491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339.60045603764536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-1100359.8548699378</v>
      </c>
      <c r="D233" s="345" t="s">
        <v>638</v>
      </c>
    </row>
    <row r="234" spans="1:4" x14ac:dyDescent="0.25">
      <c r="C234" s="295">
        <f ca="1">C$228/C231</f>
        <v>72953.669352278492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779043.78875837359</v>
      </c>
      <c r="D238" s="345" t="s">
        <v>1572</v>
      </c>
    </row>
  </sheetData>
  <sheetProtection algorithmName="SHA-512" hashValue="Ho48Rt8+70kXBhQ5m5eZcImv3lchYPa5sr/XWFPzwkoDEounj9rPvW4zqkkyw9XMyVe9D4RXFMbjJomCEO/jDQ==" saltValue="CgDWMnvpy1XU9ufultavUw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69382BBF-05FA-4A1A-9EEB-C3CBA9094829}">
          <x14:formula1>
            <xm:f>CostData!$AB$10:$AB$13</xm:f>
          </x14:formula1>
          <xm:sqref>B219:C219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2">
    <pageSetUpPr fitToPage="1"/>
  </sheetPr>
  <dimension ref="A1:AK72"/>
  <sheetViews>
    <sheetView topLeftCell="B9" zoomScaleNormal="100" workbookViewId="0">
      <selection activeCell="O56" sqref="O56"/>
    </sheetView>
  </sheetViews>
  <sheetFormatPr defaultRowHeight="15" x14ac:dyDescent="0.25"/>
  <cols>
    <col min="1" max="1" width="33.140625" style="52" customWidth="1"/>
    <col min="2" max="2" width="13.85546875" style="52" customWidth="1"/>
    <col min="3" max="3" width="14.85546875" style="52" customWidth="1"/>
    <col min="4" max="4" width="9.42578125" style="52" bestFit="1" customWidth="1"/>
    <col min="5" max="5" width="9.85546875" style="52" bestFit="1" customWidth="1"/>
    <col min="6" max="6" width="9.42578125" style="52" bestFit="1" customWidth="1"/>
    <col min="7" max="7" width="9.85546875" style="52" bestFit="1" customWidth="1"/>
    <col min="8" max="14" width="9.42578125" style="52" bestFit="1" customWidth="1"/>
    <col min="15" max="21" width="9.42578125" style="52" customWidth="1"/>
    <col min="22" max="22" width="11.5703125" style="52" customWidth="1"/>
    <col min="23" max="24" width="9.42578125" style="52" bestFit="1" customWidth="1"/>
    <col min="25" max="25" width="12.5703125" style="52" customWidth="1"/>
    <col min="26" max="26" width="9.42578125" style="52" bestFit="1" customWidth="1"/>
    <col min="27" max="27" width="12.5703125" style="52" customWidth="1"/>
    <col min="28" max="29" width="9.42578125" style="52" bestFit="1" customWidth="1"/>
    <col min="30" max="30" width="12.42578125" style="52" customWidth="1"/>
    <col min="31" max="31" width="11.140625" style="52" customWidth="1"/>
    <col min="32" max="32" width="12" style="52" customWidth="1"/>
    <col min="33" max="262" width="8.85546875" style="52"/>
    <col min="263" max="263" width="33.140625" style="52" customWidth="1"/>
    <col min="264" max="264" width="13.85546875" style="52" customWidth="1"/>
    <col min="265" max="265" width="14.85546875" style="52" customWidth="1"/>
    <col min="266" max="518" width="8.85546875" style="52"/>
    <col min="519" max="519" width="33.140625" style="52" customWidth="1"/>
    <col min="520" max="520" width="13.85546875" style="52" customWidth="1"/>
    <col min="521" max="521" width="14.85546875" style="52" customWidth="1"/>
    <col min="522" max="774" width="8.85546875" style="52"/>
    <col min="775" max="775" width="33.140625" style="52" customWidth="1"/>
    <col min="776" max="776" width="13.85546875" style="52" customWidth="1"/>
    <col min="777" max="777" width="14.85546875" style="52" customWidth="1"/>
    <col min="778" max="1030" width="8.85546875" style="52"/>
    <col min="1031" max="1031" width="33.140625" style="52" customWidth="1"/>
    <col min="1032" max="1032" width="13.85546875" style="52" customWidth="1"/>
    <col min="1033" max="1033" width="14.85546875" style="52" customWidth="1"/>
    <col min="1034" max="1286" width="8.85546875" style="52"/>
    <col min="1287" max="1287" width="33.140625" style="52" customWidth="1"/>
    <col min="1288" max="1288" width="13.85546875" style="52" customWidth="1"/>
    <col min="1289" max="1289" width="14.85546875" style="52" customWidth="1"/>
    <col min="1290" max="1542" width="8.85546875" style="52"/>
    <col min="1543" max="1543" width="33.140625" style="52" customWidth="1"/>
    <col min="1544" max="1544" width="13.85546875" style="52" customWidth="1"/>
    <col min="1545" max="1545" width="14.85546875" style="52" customWidth="1"/>
    <col min="1546" max="1798" width="8.85546875" style="52"/>
    <col min="1799" max="1799" width="33.140625" style="52" customWidth="1"/>
    <col min="1800" max="1800" width="13.85546875" style="52" customWidth="1"/>
    <col min="1801" max="1801" width="14.85546875" style="52" customWidth="1"/>
    <col min="1802" max="2054" width="8.85546875" style="52"/>
    <col min="2055" max="2055" width="33.140625" style="52" customWidth="1"/>
    <col min="2056" max="2056" width="13.85546875" style="52" customWidth="1"/>
    <col min="2057" max="2057" width="14.85546875" style="52" customWidth="1"/>
    <col min="2058" max="2310" width="8.85546875" style="52"/>
    <col min="2311" max="2311" width="33.140625" style="52" customWidth="1"/>
    <col min="2312" max="2312" width="13.85546875" style="52" customWidth="1"/>
    <col min="2313" max="2313" width="14.85546875" style="52" customWidth="1"/>
    <col min="2314" max="2566" width="8.85546875" style="52"/>
    <col min="2567" max="2567" width="33.140625" style="52" customWidth="1"/>
    <col min="2568" max="2568" width="13.85546875" style="52" customWidth="1"/>
    <col min="2569" max="2569" width="14.85546875" style="52" customWidth="1"/>
    <col min="2570" max="2822" width="8.85546875" style="52"/>
    <col min="2823" max="2823" width="33.140625" style="52" customWidth="1"/>
    <col min="2824" max="2824" width="13.85546875" style="52" customWidth="1"/>
    <col min="2825" max="2825" width="14.85546875" style="52" customWidth="1"/>
    <col min="2826" max="3078" width="8.85546875" style="52"/>
    <col min="3079" max="3079" width="33.140625" style="52" customWidth="1"/>
    <col min="3080" max="3080" width="13.85546875" style="52" customWidth="1"/>
    <col min="3081" max="3081" width="14.85546875" style="52" customWidth="1"/>
    <col min="3082" max="3334" width="8.85546875" style="52"/>
    <col min="3335" max="3335" width="33.140625" style="52" customWidth="1"/>
    <col min="3336" max="3336" width="13.85546875" style="52" customWidth="1"/>
    <col min="3337" max="3337" width="14.85546875" style="52" customWidth="1"/>
    <col min="3338" max="3590" width="8.85546875" style="52"/>
    <col min="3591" max="3591" width="33.140625" style="52" customWidth="1"/>
    <col min="3592" max="3592" width="13.85546875" style="52" customWidth="1"/>
    <col min="3593" max="3593" width="14.85546875" style="52" customWidth="1"/>
    <col min="3594" max="3846" width="8.85546875" style="52"/>
    <col min="3847" max="3847" width="33.140625" style="52" customWidth="1"/>
    <col min="3848" max="3848" width="13.85546875" style="52" customWidth="1"/>
    <col min="3849" max="3849" width="14.85546875" style="52" customWidth="1"/>
    <col min="3850" max="4102" width="8.85546875" style="52"/>
    <col min="4103" max="4103" width="33.140625" style="52" customWidth="1"/>
    <col min="4104" max="4104" width="13.85546875" style="52" customWidth="1"/>
    <col min="4105" max="4105" width="14.85546875" style="52" customWidth="1"/>
    <col min="4106" max="4358" width="8.85546875" style="52"/>
    <col min="4359" max="4359" width="33.140625" style="52" customWidth="1"/>
    <col min="4360" max="4360" width="13.85546875" style="52" customWidth="1"/>
    <col min="4361" max="4361" width="14.85546875" style="52" customWidth="1"/>
    <col min="4362" max="4614" width="8.85546875" style="52"/>
    <col min="4615" max="4615" width="33.140625" style="52" customWidth="1"/>
    <col min="4616" max="4616" width="13.85546875" style="52" customWidth="1"/>
    <col min="4617" max="4617" width="14.85546875" style="52" customWidth="1"/>
    <col min="4618" max="4870" width="8.85546875" style="52"/>
    <col min="4871" max="4871" width="33.140625" style="52" customWidth="1"/>
    <col min="4872" max="4872" width="13.85546875" style="52" customWidth="1"/>
    <col min="4873" max="4873" width="14.85546875" style="52" customWidth="1"/>
    <col min="4874" max="5126" width="8.85546875" style="52"/>
    <col min="5127" max="5127" width="33.140625" style="52" customWidth="1"/>
    <col min="5128" max="5128" width="13.85546875" style="52" customWidth="1"/>
    <col min="5129" max="5129" width="14.85546875" style="52" customWidth="1"/>
    <col min="5130" max="5382" width="8.85546875" style="52"/>
    <col min="5383" max="5383" width="33.140625" style="52" customWidth="1"/>
    <col min="5384" max="5384" width="13.85546875" style="52" customWidth="1"/>
    <col min="5385" max="5385" width="14.85546875" style="52" customWidth="1"/>
    <col min="5386" max="5638" width="8.85546875" style="52"/>
    <col min="5639" max="5639" width="33.140625" style="52" customWidth="1"/>
    <col min="5640" max="5640" width="13.85546875" style="52" customWidth="1"/>
    <col min="5641" max="5641" width="14.85546875" style="52" customWidth="1"/>
    <col min="5642" max="5894" width="8.85546875" style="52"/>
    <col min="5895" max="5895" width="33.140625" style="52" customWidth="1"/>
    <col min="5896" max="5896" width="13.85546875" style="52" customWidth="1"/>
    <col min="5897" max="5897" width="14.85546875" style="52" customWidth="1"/>
    <col min="5898" max="6150" width="8.85546875" style="52"/>
    <col min="6151" max="6151" width="33.140625" style="52" customWidth="1"/>
    <col min="6152" max="6152" width="13.85546875" style="52" customWidth="1"/>
    <col min="6153" max="6153" width="14.85546875" style="52" customWidth="1"/>
    <col min="6154" max="6406" width="8.85546875" style="52"/>
    <col min="6407" max="6407" width="33.140625" style="52" customWidth="1"/>
    <col min="6408" max="6408" width="13.85546875" style="52" customWidth="1"/>
    <col min="6409" max="6409" width="14.85546875" style="52" customWidth="1"/>
    <col min="6410" max="6662" width="8.85546875" style="52"/>
    <col min="6663" max="6663" width="33.140625" style="52" customWidth="1"/>
    <col min="6664" max="6664" width="13.85546875" style="52" customWidth="1"/>
    <col min="6665" max="6665" width="14.85546875" style="52" customWidth="1"/>
    <col min="6666" max="6918" width="8.85546875" style="52"/>
    <col min="6919" max="6919" width="33.140625" style="52" customWidth="1"/>
    <col min="6920" max="6920" width="13.85546875" style="52" customWidth="1"/>
    <col min="6921" max="6921" width="14.85546875" style="52" customWidth="1"/>
    <col min="6922" max="7174" width="8.85546875" style="52"/>
    <col min="7175" max="7175" width="33.140625" style="52" customWidth="1"/>
    <col min="7176" max="7176" width="13.85546875" style="52" customWidth="1"/>
    <col min="7177" max="7177" width="14.85546875" style="52" customWidth="1"/>
    <col min="7178" max="7430" width="8.85546875" style="52"/>
    <col min="7431" max="7431" width="33.140625" style="52" customWidth="1"/>
    <col min="7432" max="7432" width="13.85546875" style="52" customWidth="1"/>
    <col min="7433" max="7433" width="14.85546875" style="52" customWidth="1"/>
    <col min="7434" max="7686" width="8.85546875" style="52"/>
    <col min="7687" max="7687" width="33.140625" style="52" customWidth="1"/>
    <col min="7688" max="7688" width="13.85546875" style="52" customWidth="1"/>
    <col min="7689" max="7689" width="14.85546875" style="52" customWidth="1"/>
    <col min="7690" max="7942" width="8.85546875" style="52"/>
    <col min="7943" max="7943" width="33.140625" style="52" customWidth="1"/>
    <col min="7944" max="7944" width="13.85546875" style="52" customWidth="1"/>
    <col min="7945" max="7945" width="14.85546875" style="52" customWidth="1"/>
    <col min="7946" max="8198" width="8.85546875" style="52"/>
    <col min="8199" max="8199" width="33.140625" style="52" customWidth="1"/>
    <col min="8200" max="8200" width="13.85546875" style="52" customWidth="1"/>
    <col min="8201" max="8201" width="14.85546875" style="52" customWidth="1"/>
    <col min="8202" max="8454" width="8.85546875" style="52"/>
    <col min="8455" max="8455" width="33.140625" style="52" customWidth="1"/>
    <col min="8456" max="8456" width="13.85546875" style="52" customWidth="1"/>
    <col min="8457" max="8457" width="14.85546875" style="52" customWidth="1"/>
    <col min="8458" max="8710" width="8.85546875" style="52"/>
    <col min="8711" max="8711" width="33.140625" style="52" customWidth="1"/>
    <col min="8712" max="8712" width="13.85546875" style="52" customWidth="1"/>
    <col min="8713" max="8713" width="14.85546875" style="52" customWidth="1"/>
    <col min="8714" max="8966" width="8.85546875" style="52"/>
    <col min="8967" max="8967" width="33.140625" style="52" customWidth="1"/>
    <col min="8968" max="8968" width="13.85546875" style="52" customWidth="1"/>
    <col min="8969" max="8969" width="14.85546875" style="52" customWidth="1"/>
    <col min="8970" max="9222" width="8.85546875" style="52"/>
    <col min="9223" max="9223" width="33.140625" style="52" customWidth="1"/>
    <col min="9224" max="9224" width="13.85546875" style="52" customWidth="1"/>
    <col min="9225" max="9225" width="14.85546875" style="52" customWidth="1"/>
    <col min="9226" max="9478" width="8.85546875" style="52"/>
    <col min="9479" max="9479" width="33.140625" style="52" customWidth="1"/>
    <col min="9480" max="9480" width="13.85546875" style="52" customWidth="1"/>
    <col min="9481" max="9481" width="14.85546875" style="52" customWidth="1"/>
    <col min="9482" max="9734" width="8.85546875" style="52"/>
    <col min="9735" max="9735" width="33.140625" style="52" customWidth="1"/>
    <col min="9736" max="9736" width="13.85546875" style="52" customWidth="1"/>
    <col min="9737" max="9737" width="14.85546875" style="52" customWidth="1"/>
    <col min="9738" max="9990" width="8.85546875" style="52"/>
    <col min="9991" max="9991" width="33.140625" style="52" customWidth="1"/>
    <col min="9992" max="9992" width="13.85546875" style="52" customWidth="1"/>
    <col min="9993" max="9993" width="14.85546875" style="52" customWidth="1"/>
    <col min="9994" max="10246" width="8.85546875" style="52"/>
    <col min="10247" max="10247" width="33.140625" style="52" customWidth="1"/>
    <col min="10248" max="10248" width="13.85546875" style="52" customWidth="1"/>
    <col min="10249" max="10249" width="14.85546875" style="52" customWidth="1"/>
    <col min="10250" max="10502" width="8.85546875" style="52"/>
    <col min="10503" max="10503" width="33.140625" style="52" customWidth="1"/>
    <col min="10504" max="10504" width="13.85546875" style="52" customWidth="1"/>
    <col min="10505" max="10505" width="14.85546875" style="52" customWidth="1"/>
    <col min="10506" max="10758" width="8.85546875" style="52"/>
    <col min="10759" max="10759" width="33.140625" style="52" customWidth="1"/>
    <col min="10760" max="10760" width="13.85546875" style="52" customWidth="1"/>
    <col min="10761" max="10761" width="14.85546875" style="52" customWidth="1"/>
    <col min="10762" max="11014" width="8.85546875" style="52"/>
    <col min="11015" max="11015" width="33.140625" style="52" customWidth="1"/>
    <col min="11016" max="11016" width="13.85546875" style="52" customWidth="1"/>
    <col min="11017" max="11017" width="14.85546875" style="52" customWidth="1"/>
    <col min="11018" max="11270" width="8.85546875" style="52"/>
    <col min="11271" max="11271" width="33.140625" style="52" customWidth="1"/>
    <col min="11272" max="11272" width="13.85546875" style="52" customWidth="1"/>
    <col min="11273" max="11273" width="14.85546875" style="52" customWidth="1"/>
    <col min="11274" max="11526" width="8.85546875" style="52"/>
    <col min="11527" max="11527" width="33.140625" style="52" customWidth="1"/>
    <col min="11528" max="11528" width="13.85546875" style="52" customWidth="1"/>
    <col min="11529" max="11529" width="14.85546875" style="52" customWidth="1"/>
    <col min="11530" max="11782" width="8.85546875" style="52"/>
    <col min="11783" max="11783" width="33.140625" style="52" customWidth="1"/>
    <col min="11784" max="11784" width="13.85546875" style="52" customWidth="1"/>
    <col min="11785" max="11785" width="14.85546875" style="52" customWidth="1"/>
    <col min="11786" max="12038" width="8.85546875" style="52"/>
    <col min="12039" max="12039" width="33.140625" style="52" customWidth="1"/>
    <col min="12040" max="12040" width="13.85546875" style="52" customWidth="1"/>
    <col min="12041" max="12041" width="14.85546875" style="52" customWidth="1"/>
    <col min="12042" max="12294" width="8.85546875" style="52"/>
    <col min="12295" max="12295" width="33.140625" style="52" customWidth="1"/>
    <col min="12296" max="12296" width="13.85546875" style="52" customWidth="1"/>
    <col min="12297" max="12297" width="14.85546875" style="52" customWidth="1"/>
    <col min="12298" max="12550" width="8.85546875" style="52"/>
    <col min="12551" max="12551" width="33.140625" style="52" customWidth="1"/>
    <col min="12552" max="12552" width="13.85546875" style="52" customWidth="1"/>
    <col min="12553" max="12553" width="14.85546875" style="52" customWidth="1"/>
    <col min="12554" max="12806" width="8.85546875" style="52"/>
    <col min="12807" max="12807" width="33.140625" style="52" customWidth="1"/>
    <col min="12808" max="12808" width="13.85546875" style="52" customWidth="1"/>
    <col min="12809" max="12809" width="14.85546875" style="52" customWidth="1"/>
    <col min="12810" max="13062" width="8.85546875" style="52"/>
    <col min="13063" max="13063" width="33.140625" style="52" customWidth="1"/>
    <col min="13064" max="13064" width="13.85546875" style="52" customWidth="1"/>
    <col min="13065" max="13065" width="14.85546875" style="52" customWidth="1"/>
    <col min="13066" max="13318" width="8.85546875" style="52"/>
    <col min="13319" max="13319" width="33.140625" style="52" customWidth="1"/>
    <col min="13320" max="13320" width="13.85546875" style="52" customWidth="1"/>
    <col min="13321" max="13321" width="14.85546875" style="52" customWidth="1"/>
    <col min="13322" max="13574" width="8.85546875" style="52"/>
    <col min="13575" max="13575" width="33.140625" style="52" customWidth="1"/>
    <col min="13576" max="13576" width="13.85546875" style="52" customWidth="1"/>
    <col min="13577" max="13577" width="14.85546875" style="52" customWidth="1"/>
    <col min="13578" max="13830" width="8.85546875" style="52"/>
    <col min="13831" max="13831" width="33.140625" style="52" customWidth="1"/>
    <col min="13832" max="13832" width="13.85546875" style="52" customWidth="1"/>
    <col min="13833" max="13833" width="14.85546875" style="52" customWidth="1"/>
    <col min="13834" max="14086" width="8.85546875" style="52"/>
    <col min="14087" max="14087" width="33.140625" style="52" customWidth="1"/>
    <col min="14088" max="14088" width="13.85546875" style="52" customWidth="1"/>
    <col min="14089" max="14089" width="14.85546875" style="52" customWidth="1"/>
    <col min="14090" max="14342" width="8.85546875" style="52"/>
    <col min="14343" max="14343" width="33.140625" style="52" customWidth="1"/>
    <col min="14344" max="14344" width="13.85546875" style="52" customWidth="1"/>
    <col min="14345" max="14345" width="14.85546875" style="52" customWidth="1"/>
    <col min="14346" max="14598" width="8.85546875" style="52"/>
    <col min="14599" max="14599" width="33.140625" style="52" customWidth="1"/>
    <col min="14600" max="14600" width="13.85546875" style="52" customWidth="1"/>
    <col min="14601" max="14601" width="14.85546875" style="52" customWidth="1"/>
    <col min="14602" max="14854" width="8.85546875" style="52"/>
    <col min="14855" max="14855" width="33.140625" style="52" customWidth="1"/>
    <col min="14856" max="14856" width="13.85546875" style="52" customWidth="1"/>
    <col min="14857" max="14857" width="14.85546875" style="52" customWidth="1"/>
    <col min="14858" max="15110" width="8.85546875" style="52"/>
    <col min="15111" max="15111" width="33.140625" style="52" customWidth="1"/>
    <col min="15112" max="15112" width="13.85546875" style="52" customWidth="1"/>
    <col min="15113" max="15113" width="14.85546875" style="52" customWidth="1"/>
    <col min="15114" max="15366" width="8.85546875" style="52"/>
    <col min="15367" max="15367" width="33.140625" style="52" customWidth="1"/>
    <col min="15368" max="15368" width="13.85546875" style="52" customWidth="1"/>
    <col min="15369" max="15369" width="14.85546875" style="52" customWidth="1"/>
    <col min="15370" max="15622" width="8.85546875" style="52"/>
    <col min="15623" max="15623" width="33.140625" style="52" customWidth="1"/>
    <col min="15624" max="15624" width="13.85546875" style="52" customWidth="1"/>
    <col min="15625" max="15625" width="14.85546875" style="52" customWidth="1"/>
    <col min="15626" max="15878" width="8.85546875" style="52"/>
    <col min="15879" max="15879" width="33.140625" style="52" customWidth="1"/>
    <col min="15880" max="15880" width="13.85546875" style="52" customWidth="1"/>
    <col min="15881" max="15881" width="14.85546875" style="52" customWidth="1"/>
    <col min="15882" max="16134" width="8.85546875" style="52"/>
    <col min="16135" max="16135" width="33.140625" style="52" customWidth="1"/>
    <col min="16136" max="16136" width="13.85546875" style="52" customWidth="1"/>
    <col min="16137" max="16137" width="14.85546875" style="52" customWidth="1"/>
    <col min="16138" max="16384" width="8.85546875" style="52"/>
  </cols>
  <sheetData>
    <row r="1" spans="1:37" x14ac:dyDescent="0.25">
      <c r="A1" s="494" t="s">
        <v>240</v>
      </c>
      <c r="B1" s="494"/>
    </row>
    <row r="2" spans="1:37" ht="15.75" thickBot="1" x14ac:dyDescent="0.3">
      <c r="A2" s="104" t="s">
        <v>5</v>
      </c>
      <c r="B2" s="104" t="s">
        <v>241</v>
      </c>
    </row>
    <row r="3" spans="1:37" ht="15.75" thickTop="1" x14ac:dyDescent="0.25">
      <c r="A3" s="105">
        <v>99701</v>
      </c>
      <c r="B3" s="52" t="s">
        <v>242</v>
      </c>
    </row>
    <row r="4" spans="1:37" x14ac:dyDescent="0.25">
      <c r="A4" s="105">
        <v>99703</v>
      </c>
      <c r="B4" s="52" t="s">
        <v>243</v>
      </c>
    </row>
    <row r="5" spans="1:37" x14ac:dyDescent="0.25">
      <c r="A5" s="105">
        <v>99705</v>
      </c>
      <c r="B5" s="52" t="s">
        <v>218</v>
      </c>
    </row>
    <row r="6" spans="1:37" x14ac:dyDescent="0.25">
      <c r="A6" s="105">
        <v>99709</v>
      </c>
      <c r="B6" s="52" t="s">
        <v>244</v>
      </c>
    </row>
    <row r="7" spans="1:37" x14ac:dyDescent="0.25">
      <c r="A7" s="105">
        <v>99712</v>
      </c>
      <c r="B7" s="52" t="s">
        <v>245</v>
      </c>
    </row>
    <row r="8" spans="1:37" x14ac:dyDescent="0.25">
      <c r="A8" s="105">
        <v>99775</v>
      </c>
      <c r="B8" s="52" t="s">
        <v>246</v>
      </c>
    </row>
    <row r="9" spans="1:37" x14ac:dyDescent="0.25">
      <c r="A9" s="105"/>
    </row>
    <row r="11" spans="1:37" ht="15.75" x14ac:dyDescent="0.25">
      <c r="A11" s="507" t="s">
        <v>247</v>
      </c>
      <c r="B11" s="507"/>
      <c r="C11" s="507"/>
      <c r="D11" s="507"/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</row>
    <row r="12" spans="1:37" x14ac:dyDescent="0.25">
      <c r="V12" s="494">
        <v>2022</v>
      </c>
      <c r="W12" s="494"/>
      <c r="AE12" s="106"/>
      <c r="AG12" s="107" t="s">
        <v>1371</v>
      </c>
      <c r="AJ12" s="107" t="s">
        <v>582</v>
      </c>
    </row>
    <row r="13" spans="1:37" x14ac:dyDescent="0.25">
      <c r="D13" s="107" t="s">
        <v>248</v>
      </c>
      <c r="V13" s="105" t="s">
        <v>249</v>
      </c>
      <c r="W13" s="105" t="s">
        <v>250</v>
      </c>
      <c r="AB13" s="494" t="s">
        <v>251</v>
      </c>
      <c r="AC13" s="494"/>
      <c r="AD13" s="494"/>
      <c r="AE13" s="494"/>
      <c r="AF13" s="494"/>
      <c r="AG13" s="96">
        <v>0.68227118291301903</v>
      </c>
      <c r="AH13" t="s">
        <v>252</v>
      </c>
      <c r="AJ13" s="96">
        <v>0</v>
      </c>
      <c r="AK13" t="s">
        <v>252</v>
      </c>
    </row>
    <row r="14" spans="1:37" ht="14.45" customHeight="1" x14ac:dyDescent="0.25">
      <c r="A14" s="108"/>
      <c r="B14" s="107" t="s">
        <v>253</v>
      </c>
      <c r="D14" s="107" t="s">
        <v>254</v>
      </c>
      <c r="F14" s="494" t="s">
        <v>255</v>
      </c>
      <c r="G14" s="494"/>
      <c r="H14" s="494"/>
      <c r="I14" s="494"/>
      <c r="J14" s="494"/>
      <c r="K14" s="494"/>
      <c r="L14" s="494"/>
      <c r="M14" s="494"/>
      <c r="N14" s="494"/>
      <c r="O14" s="107"/>
      <c r="P14" s="107"/>
      <c r="Q14" s="107"/>
      <c r="R14" s="107"/>
      <c r="S14" s="107"/>
      <c r="T14" s="107"/>
      <c r="U14" s="107"/>
      <c r="V14" s="105" t="s">
        <v>256</v>
      </c>
      <c r="W14" s="105" t="s">
        <v>257</v>
      </c>
      <c r="AC14" s="494" t="s">
        <v>258</v>
      </c>
      <c r="AD14" s="494"/>
      <c r="AE14" s="494" t="s">
        <v>259</v>
      </c>
      <c r="AF14" s="494"/>
      <c r="AG14" s="96">
        <v>0.31772881708698097</v>
      </c>
      <c r="AH14" t="s">
        <v>260</v>
      </c>
      <c r="AJ14" s="96">
        <v>1</v>
      </c>
      <c r="AK14" t="s">
        <v>260</v>
      </c>
    </row>
    <row r="15" spans="1:37" x14ac:dyDescent="0.25">
      <c r="A15" s="109" t="s">
        <v>23</v>
      </c>
      <c r="B15" s="110" t="s">
        <v>261</v>
      </c>
      <c r="C15" s="110" t="s">
        <v>254</v>
      </c>
      <c r="D15" s="110" t="s">
        <v>96</v>
      </c>
      <c r="E15" s="111" t="s">
        <v>262</v>
      </c>
      <c r="F15" s="110">
        <v>2010</v>
      </c>
      <c r="G15" s="110">
        <v>2011</v>
      </c>
      <c r="H15" s="110">
        <v>2012</v>
      </c>
      <c r="I15" s="110">
        <v>2013</v>
      </c>
      <c r="J15" s="110">
        <v>2014</v>
      </c>
      <c r="K15" s="110">
        <v>2015</v>
      </c>
      <c r="L15" s="110">
        <v>2016</v>
      </c>
      <c r="M15" s="110">
        <v>2017</v>
      </c>
      <c r="N15" s="110">
        <v>2018</v>
      </c>
      <c r="O15" s="110">
        <v>2019</v>
      </c>
      <c r="P15" s="110">
        <v>2020</v>
      </c>
      <c r="Q15" s="110">
        <v>2021</v>
      </c>
      <c r="R15" s="110">
        <v>2022</v>
      </c>
      <c r="S15" s="110"/>
      <c r="T15" s="110"/>
      <c r="U15" s="110"/>
      <c r="V15" s="111" t="s">
        <v>263</v>
      </c>
      <c r="W15" s="111" t="s">
        <v>264</v>
      </c>
      <c r="AB15" s="110" t="s">
        <v>9</v>
      </c>
      <c r="AC15" s="110" t="s">
        <v>265</v>
      </c>
      <c r="AD15" s="110" t="s">
        <v>18</v>
      </c>
      <c r="AE15" s="110" t="s">
        <v>265</v>
      </c>
      <c r="AF15" s="110" t="s">
        <v>18</v>
      </c>
      <c r="AG15" s="110" t="s">
        <v>266</v>
      </c>
      <c r="AJ15" s="110" t="s">
        <v>266</v>
      </c>
    </row>
    <row r="16" spans="1:37" x14ac:dyDescent="0.25">
      <c r="A16" s="52" t="s">
        <v>267</v>
      </c>
      <c r="B16" s="112">
        <v>3413</v>
      </c>
      <c r="C16" s="52" t="s">
        <v>268</v>
      </c>
      <c r="D16" s="113">
        <v>1</v>
      </c>
      <c r="E16" s="114">
        <f t="shared" ref="E16:E22" si="0">AVERAGE(F16:K16)</f>
        <v>0.19841666666666669</v>
      </c>
      <c r="F16" s="115">
        <v>0.17499999999999999</v>
      </c>
      <c r="G16" s="115">
        <v>0.1976</v>
      </c>
      <c r="H16" s="115">
        <v>0.22770000000000001</v>
      </c>
      <c r="I16" s="115">
        <v>0.20300000000000001</v>
      </c>
      <c r="J16" s="115">
        <v>0.2072</v>
      </c>
      <c r="K16" s="115">
        <v>0.18</v>
      </c>
      <c r="L16" s="115">
        <v>0.19989999999999999</v>
      </c>
      <c r="M16" s="115">
        <v>0.21099999999999999</v>
      </c>
      <c r="N16" s="115">
        <v>0.20050000000000001</v>
      </c>
      <c r="O16" s="115">
        <v>0.23330000000000001</v>
      </c>
      <c r="P16" s="115">
        <v>0.22309999999999999</v>
      </c>
      <c r="Q16" s="115">
        <v>0.23150000000000001</v>
      </c>
      <c r="R16" s="115">
        <v>0.25419999999999998</v>
      </c>
      <c r="S16" s="115"/>
      <c r="T16" s="115"/>
      <c r="V16" s="116">
        <f>R16*10^5/(B16*D16)</f>
        <v>7.4479929680632866</v>
      </c>
      <c r="W16" s="117">
        <f>10^5/V16</f>
        <v>13426.435877262</v>
      </c>
      <c r="AA16" s="105" t="s">
        <v>269</v>
      </c>
      <c r="AB16" s="105">
        <v>2000</v>
      </c>
      <c r="AC16" s="118">
        <v>1.3720000000000001</v>
      </c>
      <c r="AD16" s="105" t="s">
        <v>270</v>
      </c>
      <c r="AE16" s="118">
        <v>1.3120000000000001</v>
      </c>
      <c r="AF16" s="105" t="s">
        <v>271</v>
      </c>
      <c r="AG16" s="119">
        <f>AE16*$AG$13+AC16*$AG$14</f>
        <v>1.331063729025219</v>
      </c>
      <c r="AJ16" s="119">
        <f>AE16*$AJ$13+AC16*$AJ$14</f>
        <v>1.3720000000000001</v>
      </c>
    </row>
    <row r="17" spans="1:36" x14ac:dyDescent="0.25">
      <c r="A17" s="52" t="s">
        <v>272</v>
      </c>
      <c r="B17" s="112">
        <v>1000000</v>
      </c>
      <c r="C17" s="52" t="s">
        <v>273</v>
      </c>
      <c r="D17" s="113">
        <v>1</v>
      </c>
      <c r="E17" s="114">
        <f t="shared" si="0"/>
        <v>23.474999999999998</v>
      </c>
      <c r="F17" s="114">
        <v>23.4</v>
      </c>
      <c r="G17" s="114">
        <v>17.93</v>
      </c>
      <c r="H17" s="114">
        <v>27.03</v>
      </c>
      <c r="I17" s="114">
        <v>27.03</v>
      </c>
      <c r="J17" s="114">
        <v>27.03</v>
      </c>
      <c r="K17" s="114">
        <v>18.43</v>
      </c>
      <c r="L17" s="114">
        <v>18.43</v>
      </c>
      <c r="M17" s="114">
        <v>21.05</v>
      </c>
      <c r="N17" s="114">
        <v>24.41</v>
      </c>
      <c r="O17" s="114">
        <v>24.41</v>
      </c>
      <c r="P17" s="114">
        <v>22.49</v>
      </c>
      <c r="Q17" s="114">
        <v>25.26</v>
      </c>
      <c r="R17" s="114">
        <v>34.799999999999997</v>
      </c>
      <c r="S17" s="114"/>
      <c r="T17" s="114"/>
      <c r="V17" s="116">
        <f t="shared" ref="V17:V27" si="1">R17*10^5/(B17*D17)</f>
        <v>3.4799999999999995</v>
      </c>
      <c r="W17" s="117">
        <f t="shared" ref="W17:W27" si="2">10^5/V17</f>
        <v>28735.632183908048</v>
      </c>
      <c r="AA17" s="105" t="s">
        <v>269</v>
      </c>
      <c r="AB17" s="105">
        <v>2001</v>
      </c>
      <c r="AC17" s="118">
        <v>1.343</v>
      </c>
      <c r="AD17" s="105" t="s">
        <v>274</v>
      </c>
      <c r="AE17" s="118">
        <v>1.2829999999999999</v>
      </c>
      <c r="AF17" s="105" t="s">
        <v>275</v>
      </c>
      <c r="AG17" s="119">
        <f t="shared" ref="AG17:AG35" si="3">AE17*$AG$13+AC17*$AG$14</f>
        <v>1.3020637290252188</v>
      </c>
      <c r="AJ17" s="119">
        <f t="shared" ref="AJ17:AJ35" si="4">AE17*$AJ$13+AC17*$AJ$14</f>
        <v>1.343</v>
      </c>
    </row>
    <row r="18" spans="1:36" x14ac:dyDescent="0.25">
      <c r="A18" s="52" t="s">
        <v>276</v>
      </c>
      <c r="B18" s="112">
        <v>1066000</v>
      </c>
      <c r="C18" s="52" t="s">
        <v>277</v>
      </c>
      <c r="D18" s="113">
        <v>1</v>
      </c>
      <c r="E18" s="114">
        <f t="shared" si="0"/>
        <v>12.526666666666666</v>
      </c>
      <c r="F18" s="114">
        <v>10.5</v>
      </c>
      <c r="G18" s="114">
        <v>10.5</v>
      </c>
      <c r="H18" s="114">
        <v>10.5</v>
      </c>
      <c r="I18" s="114">
        <v>10.5</v>
      </c>
      <c r="J18" s="114">
        <v>15</v>
      </c>
      <c r="K18" s="114">
        <v>18.16</v>
      </c>
      <c r="L18" s="114">
        <v>18.16</v>
      </c>
      <c r="M18" s="114">
        <v>19.59</v>
      </c>
      <c r="N18" s="114">
        <v>19.59</v>
      </c>
      <c r="O18" s="114">
        <v>19.59</v>
      </c>
      <c r="P18" s="114">
        <v>19.59</v>
      </c>
      <c r="Q18" s="114">
        <v>19.59</v>
      </c>
      <c r="R18" s="114">
        <v>19.59</v>
      </c>
      <c r="S18" s="114"/>
      <c r="T18" s="114"/>
      <c r="V18" s="116">
        <f t="shared" si="1"/>
        <v>1.8377110694183865</v>
      </c>
      <c r="W18" s="117">
        <f t="shared" si="2"/>
        <v>54415.518121490561</v>
      </c>
      <c r="AA18" s="105" t="s">
        <v>269</v>
      </c>
      <c r="AB18" s="105">
        <v>2002</v>
      </c>
      <c r="AC18" s="118">
        <v>1.212</v>
      </c>
      <c r="AD18" s="105" t="s">
        <v>278</v>
      </c>
      <c r="AE18" s="118">
        <v>1.175</v>
      </c>
      <c r="AF18" s="105" t="s">
        <v>279</v>
      </c>
      <c r="AG18" s="119">
        <f t="shared" si="3"/>
        <v>1.1867559662322182</v>
      </c>
      <c r="AJ18" s="119">
        <f t="shared" si="4"/>
        <v>1.212</v>
      </c>
    </row>
    <row r="19" spans="1:36" x14ac:dyDescent="0.25">
      <c r="A19" s="52" t="s">
        <v>280</v>
      </c>
      <c r="B19" s="112">
        <v>135000</v>
      </c>
      <c r="C19" s="52" t="s">
        <v>281</v>
      </c>
      <c r="D19" s="113">
        <v>0.85</v>
      </c>
      <c r="E19" s="114">
        <f t="shared" si="0"/>
        <v>3.4064166666666669</v>
      </c>
      <c r="F19" s="114">
        <v>3.1</v>
      </c>
      <c r="G19" s="114">
        <v>3.8525</v>
      </c>
      <c r="H19" s="114">
        <v>3.867</v>
      </c>
      <c r="I19" s="114">
        <v>3.7320000000000002</v>
      </c>
      <c r="J19" s="114">
        <v>3.452</v>
      </c>
      <c r="K19" s="114">
        <v>2.4350000000000001</v>
      </c>
      <c r="L19" s="114">
        <v>2.3940000000000001</v>
      </c>
      <c r="M19" s="114">
        <v>2.7829999999999999</v>
      </c>
      <c r="N19" s="114">
        <v>2.9279999999999999</v>
      </c>
      <c r="O19" s="114">
        <v>3.008</v>
      </c>
      <c r="P19" s="114">
        <v>2.6230000000000002</v>
      </c>
      <c r="Q19" s="114">
        <v>3.39</v>
      </c>
      <c r="R19" s="114">
        <v>4.34</v>
      </c>
      <c r="S19" s="114"/>
      <c r="T19" s="114"/>
      <c r="V19" s="116">
        <f t="shared" si="1"/>
        <v>3.7821350762527235</v>
      </c>
      <c r="W19" s="117">
        <f t="shared" si="2"/>
        <v>26440.092165898615</v>
      </c>
      <c r="AA19" s="105" t="s">
        <v>269</v>
      </c>
      <c r="AB19" s="105">
        <v>2003</v>
      </c>
      <c r="AC19" s="118">
        <v>1.2729999999999999</v>
      </c>
      <c r="AD19" s="105" t="s">
        <v>282</v>
      </c>
      <c r="AE19" s="118">
        <v>1.224</v>
      </c>
      <c r="AF19" s="105" t="s">
        <v>283</v>
      </c>
      <c r="AG19" s="119">
        <f t="shared" si="3"/>
        <v>1.239568712037262</v>
      </c>
      <c r="AJ19" s="119">
        <f t="shared" si="4"/>
        <v>1.2729999999999999</v>
      </c>
    </row>
    <row r="20" spans="1:36" x14ac:dyDescent="0.25">
      <c r="A20" s="52" t="s">
        <v>66</v>
      </c>
      <c r="B20" s="112">
        <v>1010000</v>
      </c>
      <c r="C20" s="52" t="s">
        <v>284</v>
      </c>
      <c r="D20" s="113">
        <v>0.85</v>
      </c>
      <c r="E20" s="114">
        <f t="shared" si="0"/>
        <v>23.349999999999998</v>
      </c>
      <c r="F20" s="114">
        <v>23.35</v>
      </c>
      <c r="G20" s="114">
        <v>23.35</v>
      </c>
      <c r="H20" s="114">
        <v>23.35</v>
      </c>
      <c r="I20" s="114">
        <v>23.35</v>
      </c>
      <c r="J20" s="114">
        <v>23.35</v>
      </c>
      <c r="K20" s="114">
        <v>23.35</v>
      </c>
      <c r="L20" s="114">
        <v>20.2</v>
      </c>
      <c r="M20" s="114">
        <v>20.2</v>
      </c>
      <c r="N20" s="114">
        <v>20.81</v>
      </c>
      <c r="O20" s="114">
        <v>20.81</v>
      </c>
      <c r="P20" s="114">
        <v>20.81</v>
      </c>
      <c r="Q20" s="114">
        <v>20.81</v>
      </c>
      <c r="R20" s="114">
        <v>21.85</v>
      </c>
      <c r="S20" s="114"/>
      <c r="T20" s="114"/>
      <c r="V20" s="116">
        <f t="shared" si="1"/>
        <v>2.5451368666278391</v>
      </c>
      <c r="W20" s="117">
        <f t="shared" si="2"/>
        <v>39290.617848970251</v>
      </c>
      <c r="AA20" s="105" t="s">
        <v>269</v>
      </c>
      <c r="AB20" s="105">
        <v>2004</v>
      </c>
      <c r="AC20" s="118">
        <v>1.8240000000000001</v>
      </c>
      <c r="AD20" s="105" t="s">
        <v>285</v>
      </c>
      <c r="AE20" s="118">
        <v>1.8089999999999999</v>
      </c>
      <c r="AF20" s="105" t="s">
        <v>286</v>
      </c>
      <c r="AG20" s="119">
        <f t="shared" si="3"/>
        <v>1.8137659322563047</v>
      </c>
      <c r="AJ20" s="119">
        <f t="shared" si="4"/>
        <v>1.8240000000000001</v>
      </c>
    </row>
    <row r="21" spans="1:36" x14ac:dyDescent="0.25">
      <c r="A21" s="52" t="s">
        <v>65</v>
      </c>
      <c r="B21" s="112">
        <v>91333</v>
      </c>
      <c r="C21" s="52" t="s">
        <v>281</v>
      </c>
      <c r="D21" s="113">
        <v>0.85</v>
      </c>
      <c r="E21" s="114">
        <f t="shared" si="0"/>
        <v>3.8056666666666668</v>
      </c>
      <c r="F21" s="114">
        <v>3.54</v>
      </c>
      <c r="G21" s="114">
        <v>4.07</v>
      </c>
      <c r="H21" s="114">
        <v>4.117</v>
      </c>
      <c r="I21" s="114">
        <v>2.8069999999999999</v>
      </c>
      <c r="J21" s="114">
        <v>4.4400000000000004</v>
      </c>
      <c r="K21" s="114">
        <v>3.86</v>
      </c>
      <c r="L21" s="114">
        <v>3.88</v>
      </c>
      <c r="M21" s="114">
        <v>4.34</v>
      </c>
      <c r="N21" s="114">
        <v>3.43</v>
      </c>
      <c r="O21" s="114">
        <v>4.3499999999999996</v>
      </c>
      <c r="P21" s="114">
        <v>3.91</v>
      </c>
      <c r="Q21" s="114">
        <v>4.1399999999999997</v>
      </c>
      <c r="R21" s="114">
        <v>5.22</v>
      </c>
      <c r="S21" s="114"/>
      <c r="T21" s="114"/>
      <c r="V21" s="116">
        <f t="shared" si="1"/>
        <v>6.7239403836381539</v>
      </c>
      <c r="W21" s="117">
        <f t="shared" si="2"/>
        <v>14872.231800766283</v>
      </c>
      <c r="AA21" s="105" t="s">
        <v>269</v>
      </c>
      <c r="AB21" s="105">
        <v>2005</v>
      </c>
      <c r="AC21" s="118">
        <v>2.544</v>
      </c>
      <c r="AD21" s="105" t="s">
        <v>287</v>
      </c>
      <c r="AE21" s="118">
        <v>2.5230000000000001</v>
      </c>
      <c r="AF21" s="105" t="s">
        <v>288</v>
      </c>
      <c r="AG21" s="119">
        <f t="shared" si="3"/>
        <v>2.5296723051588268</v>
      </c>
      <c r="AJ21" s="119">
        <f t="shared" si="4"/>
        <v>2.544</v>
      </c>
    </row>
    <row r="22" spans="1:36" x14ac:dyDescent="0.25">
      <c r="A22" s="52" t="s">
        <v>289</v>
      </c>
      <c r="B22" s="112">
        <v>16000000</v>
      </c>
      <c r="C22" s="52" t="s">
        <v>290</v>
      </c>
      <c r="D22" s="113">
        <v>0.85</v>
      </c>
      <c r="E22" s="114">
        <f t="shared" si="0"/>
        <v>290.5</v>
      </c>
      <c r="F22" s="114">
        <v>295</v>
      </c>
      <c r="G22" s="114">
        <v>295</v>
      </c>
      <c r="H22" s="114">
        <v>282</v>
      </c>
      <c r="I22" s="114">
        <v>282</v>
      </c>
      <c r="J22" s="114">
        <v>294.5</v>
      </c>
      <c r="K22" s="114">
        <v>294.5</v>
      </c>
      <c r="L22" s="114">
        <v>292</v>
      </c>
      <c r="M22" s="114">
        <v>272</v>
      </c>
      <c r="N22" s="114">
        <v>272</v>
      </c>
      <c r="O22" s="114">
        <v>294.5</v>
      </c>
      <c r="P22" s="114">
        <v>277.67</v>
      </c>
      <c r="Q22" s="114">
        <v>291</v>
      </c>
      <c r="R22" s="114">
        <v>335.67</v>
      </c>
      <c r="S22" s="114"/>
      <c r="T22" s="114"/>
      <c r="V22" s="116">
        <f t="shared" si="1"/>
        <v>2.4681617647058824</v>
      </c>
      <c r="W22" s="117">
        <f t="shared" si="2"/>
        <v>40515.982959454224</v>
      </c>
      <c r="X22" s="52" t="s">
        <v>291</v>
      </c>
      <c r="Z22" s="120"/>
      <c r="AA22" s="105" t="s">
        <v>269</v>
      </c>
      <c r="AB22" s="105">
        <v>2006</v>
      </c>
      <c r="AC22" s="118">
        <v>2.4940000000000002</v>
      </c>
      <c r="AD22" s="105" t="s">
        <v>292</v>
      </c>
      <c r="AE22" s="118">
        <v>2.4790000000000001</v>
      </c>
      <c r="AF22" s="105" t="s">
        <v>293</v>
      </c>
      <c r="AG22" s="119">
        <f t="shared" si="3"/>
        <v>2.483765932256305</v>
      </c>
      <c r="AJ22" s="119">
        <f t="shared" si="4"/>
        <v>2.4940000000000002</v>
      </c>
    </row>
    <row r="23" spans="1:36" x14ac:dyDescent="0.25">
      <c r="A23" s="52" t="s">
        <v>294</v>
      </c>
      <c r="B23" s="49">
        <f>23600000</f>
        <v>23600000</v>
      </c>
      <c r="C23" s="52" t="s">
        <v>295</v>
      </c>
      <c r="D23" s="113">
        <v>0.7</v>
      </c>
      <c r="E23" s="114">
        <f>AVERAGE(F23:K23)</f>
        <v>264.43</v>
      </c>
      <c r="F23" s="114">
        <v>185</v>
      </c>
      <c r="G23" s="114">
        <v>250</v>
      </c>
      <c r="H23" s="114">
        <v>325</v>
      </c>
      <c r="I23" s="114">
        <v>272.33</v>
      </c>
      <c r="J23" s="114">
        <v>260.5</v>
      </c>
      <c r="K23" s="114">
        <v>293.75</v>
      </c>
      <c r="L23" s="114">
        <v>277</v>
      </c>
      <c r="M23" s="114">
        <v>277.77999999999997</v>
      </c>
      <c r="N23" s="114">
        <v>285</v>
      </c>
      <c r="O23" s="114">
        <v>290.63</v>
      </c>
      <c r="P23" s="114">
        <v>281.25</v>
      </c>
      <c r="Q23" s="114">
        <v>339.17</v>
      </c>
      <c r="R23" s="114">
        <v>369.58</v>
      </c>
      <c r="S23" s="114"/>
      <c r="T23" s="114"/>
      <c r="V23" s="116">
        <f t="shared" si="1"/>
        <v>2.2371670702179181</v>
      </c>
      <c r="W23" s="117">
        <f t="shared" si="2"/>
        <v>44699.388495048428</v>
      </c>
      <c r="X23" s="49">
        <v>3964.5620734824852</v>
      </c>
      <c r="Y23" s="121">
        <f>B23/X23*2000</f>
        <v>11905476.349002995</v>
      </c>
      <c r="Z23" s="120" t="s">
        <v>290</v>
      </c>
      <c r="AA23" s="105" t="s">
        <v>269</v>
      </c>
      <c r="AB23" s="105">
        <v>2007</v>
      </c>
      <c r="AC23" s="118">
        <v>2.6829999999999998</v>
      </c>
      <c r="AD23" s="105" t="s">
        <v>296</v>
      </c>
      <c r="AE23" s="118">
        <v>2.5979999999999999</v>
      </c>
      <c r="AF23" s="105" t="s">
        <v>297</v>
      </c>
      <c r="AG23" s="119">
        <f t="shared" si="3"/>
        <v>2.6250069494523931</v>
      </c>
      <c r="AJ23" s="119">
        <f t="shared" si="4"/>
        <v>2.6829999999999998</v>
      </c>
    </row>
    <row r="24" spans="1:36" x14ac:dyDescent="0.25">
      <c r="A24" s="52" t="s">
        <v>298</v>
      </c>
      <c r="B24" s="49">
        <f>18100000</f>
        <v>18100000</v>
      </c>
      <c r="C24" s="52" t="s">
        <v>295</v>
      </c>
      <c r="D24" s="113">
        <v>0.7</v>
      </c>
      <c r="E24" s="114">
        <f>AVERAGE(F24:K24)</f>
        <v>272.19499999999999</v>
      </c>
      <c r="F24" s="114">
        <v>165</v>
      </c>
      <c r="G24" s="114">
        <v>250</v>
      </c>
      <c r="H24" s="114">
        <v>327</v>
      </c>
      <c r="I24" s="114">
        <v>340</v>
      </c>
      <c r="J24" s="114">
        <v>276.67</v>
      </c>
      <c r="K24" s="114">
        <v>274.5</v>
      </c>
      <c r="L24" s="114">
        <v>258.33</v>
      </c>
      <c r="M24" s="114">
        <v>280</v>
      </c>
      <c r="N24" s="114">
        <v>229.17</v>
      </c>
      <c r="O24" s="114">
        <v>289.08999999999997</v>
      </c>
      <c r="P24" s="114">
        <v>293.75</v>
      </c>
      <c r="Q24" s="114">
        <v>337.5</v>
      </c>
      <c r="R24" s="114">
        <v>300</v>
      </c>
      <c r="S24" s="114"/>
      <c r="T24" s="114"/>
      <c r="V24" s="116">
        <f t="shared" si="1"/>
        <v>2.367797947908445</v>
      </c>
      <c r="W24" s="117">
        <f t="shared" si="2"/>
        <v>42233.333333333336</v>
      </c>
      <c r="X24" s="49">
        <v>2900.8990781579155</v>
      </c>
      <c r="Y24" s="121">
        <f>B24/X24*2000</f>
        <v>12478889.828524187</v>
      </c>
      <c r="Z24" s="120" t="s">
        <v>290</v>
      </c>
      <c r="AA24" s="105" t="s">
        <v>269</v>
      </c>
      <c r="AB24" s="105">
        <v>2008</v>
      </c>
      <c r="AC24" s="118">
        <v>3.67</v>
      </c>
      <c r="AD24" s="105" t="s">
        <v>299</v>
      </c>
      <c r="AE24" s="118">
        <v>3.67</v>
      </c>
      <c r="AF24" s="105" t="s">
        <v>300</v>
      </c>
      <c r="AG24" s="119">
        <f t="shared" si="3"/>
        <v>3.67</v>
      </c>
      <c r="AJ24" s="119">
        <f t="shared" si="4"/>
        <v>3.67</v>
      </c>
    </row>
    <row r="25" spans="1:36" x14ac:dyDescent="0.25">
      <c r="A25" s="52" t="s">
        <v>301</v>
      </c>
      <c r="B25" s="49">
        <f>16600000</f>
        <v>16600000</v>
      </c>
      <c r="C25" s="52" t="s">
        <v>295</v>
      </c>
      <c r="D25" s="113">
        <v>0.7</v>
      </c>
      <c r="E25" s="114">
        <f>AVERAGE(F25:K25)</f>
        <v>272.19499999999999</v>
      </c>
      <c r="F25" s="114">
        <f t="shared" ref="F25:R25" si="5">F24</f>
        <v>165</v>
      </c>
      <c r="G25" s="114">
        <f t="shared" si="5"/>
        <v>250</v>
      </c>
      <c r="H25" s="114">
        <f t="shared" si="5"/>
        <v>327</v>
      </c>
      <c r="I25" s="114">
        <f t="shared" si="5"/>
        <v>340</v>
      </c>
      <c r="J25" s="114">
        <f t="shared" si="5"/>
        <v>276.67</v>
      </c>
      <c r="K25" s="114">
        <f t="shared" si="5"/>
        <v>274.5</v>
      </c>
      <c r="L25" s="114">
        <f t="shared" si="5"/>
        <v>258.33</v>
      </c>
      <c r="M25" s="114">
        <f t="shared" si="5"/>
        <v>280</v>
      </c>
      <c r="N25" s="114">
        <f t="shared" si="5"/>
        <v>229.17</v>
      </c>
      <c r="O25" s="114">
        <f t="shared" si="5"/>
        <v>289.08999999999997</v>
      </c>
      <c r="P25" s="114">
        <f t="shared" si="5"/>
        <v>293.75</v>
      </c>
      <c r="Q25" s="114">
        <f t="shared" si="5"/>
        <v>337.5</v>
      </c>
      <c r="R25" s="114">
        <f t="shared" si="5"/>
        <v>300</v>
      </c>
      <c r="S25" s="114"/>
      <c r="T25" s="114"/>
      <c r="V25" s="116">
        <f t="shared" si="1"/>
        <v>2.5817555938037864</v>
      </c>
      <c r="W25" s="117">
        <f t="shared" si="2"/>
        <v>38733.333333333336</v>
      </c>
      <c r="X25" s="49">
        <v>2746.1844606561604</v>
      </c>
      <c r="Y25" s="121">
        <f>B25/X25*2000</f>
        <v>12089501.078914179</v>
      </c>
      <c r="Z25" s="120" t="s">
        <v>290</v>
      </c>
      <c r="AA25" s="105" t="s">
        <v>269</v>
      </c>
      <c r="AB25" s="105">
        <v>2009</v>
      </c>
      <c r="AC25" s="118">
        <v>2.7309999999999999</v>
      </c>
      <c r="AD25" s="105" t="s">
        <v>302</v>
      </c>
      <c r="AE25" s="118">
        <v>2.722</v>
      </c>
      <c r="AF25" s="105" t="s">
        <v>303</v>
      </c>
      <c r="AG25" s="119">
        <f t="shared" si="3"/>
        <v>2.7248595593537828</v>
      </c>
      <c r="AJ25" s="119">
        <f t="shared" si="4"/>
        <v>2.7309999999999999</v>
      </c>
    </row>
    <row r="26" spans="1:36" ht="14.45" customHeight="1" x14ac:dyDescent="0.25">
      <c r="A26" s="108" t="s">
        <v>304</v>
      </c>
      <c r="B26" s="121">
        <f>SUMPRODUCT(B23:B25,$J37:$J39)</f>
        <v>20372979.938722931</v>
      </c>
      <c r="C26" s="108" t="s">
        <v>295</v>
      </c>
      <c r="D26" s="122">
        <v>0.7</v>
      </c>
      <c r="E26" s="123">
        <f t="shared" ref="E26:L26" si="6">SUMPRODUCT(E23:E25,$J37:$J39)</f>
        <v>268.59436513969553</v>
      </c>
      <c r="F26" s="123">
        <f t="shared" si="6"/>
        <v>174.27401123066184</v>
      </c>
      <c r="G26" s="123">
        <f t="shared" si="6"/>
        <v>250</v>
      </c>
      <c r="H26" s="123">
        <f t="shared" si="6"/>
        <v>326.0725988769338</v>
      </c>
      <c r="I26" s="123">
        <f t="shared" si="6"/>
        <v>308.62138300105556</v>
      </c>
      <c r="J26" s="123">
        <f t="shared" si="6"/>
        <v>269.17196192000989</v>
      </c>
      <c r="K26" s="123">
        <f t="shared" si="6"/>
        <v>283.42623580951204</v>
      </c>
      <c r="L26" s="123">
        <f t="shared" si="6"/>
        <v>266.98728948382279</v>
      </c>
      <c r="M26" s="123">
        <f>SUMPRODUCT(M23:M25,$J37:$J39)</f>
        <v>278.97058475339651</v>
      </c>
      <c r="N26" s="123">
        <f>SUMPRODUCT(N23:N25,$J37:$J39)</f>
        <v>255.05840235039256</v>
      </c>
      <c r="O26" s="123">
        <f t="shared" ref="O26:R26" si="7">SUMPRODUCT(O23:O25,$J37:$J39)</f>
        <v>289.80409886476093</v>
      </c>
      <c r="P26" s="123">
        <f t="shared" si="7"/>
        <v>287.95374298083635</v>
      </c>
      <c r="Q26" s="123">
        <f t="shared" si="7"/>
        <v>338.27437993776027</v>
      </c>
      <c r="R26" s="123">
        <f t="shared" si="7"/>
        <v>332.26428507147256</v>
      </c>
      <c r="S26" s="123"/>
      <c r="T26" s="123"/>
      <c r="V26" s="116">
        <f t="shared" si="1"/>
        <v>2.3298666459962756</v>
      </c>
      <c r="W26" s="117">
        <f t="shared" si="2"/>
        <v>42920.911448663166</v>
      </c>
      <c r="Y26" s="121">
        <f>SUMPRODUCT(Y23:Y25,K37:K39)</f>
        <v>12106915.95953868</v>
      </c>
      <c r="Z26" s="124" t="s">
        <v>290</v>
      </c>
      <c r="AA26" s="105" t="s">
        <v>269</v>
      </c>
      <c r="AB26" s="105">
        <v>2010</v>
      </c>
      <c r="AC26" s="118">
        <v>3.02</v>
      </c>
      <c r="AD26" s="105" t="s">
        <v>305</v>
      </c>
      <c r="AE26" s="118">
        <v>3</v>
      </c>
      <c r="AF26" s="105" t="s">
        <v>306</v>
      </c>
      <c r="AG26" s="119">
        <f t="shared" si="3"/>
        <v>3.0063545763417396</v>
      </c>
      <c r="AJ26" s="119">
        <f t="shared" si="4"/>
        <v>3.02</v>
      </c>
    </row>
    <row r="27" spans="1:36" ht="14.45" customHeight="1" x14ac:dyDescent="0.25">
      <c r="A27" s="52" t="s">
        <v>307</v>
      </c>
      <c r="B27" s="112">
        <v>15200000</v>
      </c>
      <c r="C27" s="52" t="s">
        <v>290</v>
      </c>
      <c r="D27" s="113">
        <v>0.55000000000000004</v>
      </c>
      <c r="E27" s="114">
        <f>AVERAGE(F27:K27)</f>
        <v>116.66666666666667</v>
      </c>
      <c r="F27" s="114">
        <v>115</v>
      </c>
      <c r="G27" s="114">
        <v>110</v>
      </c>
      <c r="H27" s="114">
        <v>115</v>
      </c>
      <c r="I27" s="114">
        <v>120</v>
      </c>
      <c r="J27" s="114">
        <v>120</v>
      </c>
      <c r="K27" s="114">
        <v>120</v>
      </c>
      <c r="L27" s="114">
        <v>120</v>
      </c>
      <c r="M27" s="114">
        <v>120</v>
      </c>
      <c r="N27" s="114">
        <v>120</v>
      </c>
      <c r="O27" s="114">
        <v>130</v>
      </c>
      <c r="P27" s="114">
        <v>130</v>
      </c>
      <c r="Q27" s="114">
        <v>130</v>
      </c>
      <c r="R27" s="114">
        <v>143</v>
      </c>
      <c r="S27" s="114"/>
      <c r="T27" s="114"/>
      <c r="V27" s="116">
        <f t="shared" si="1"/>
        <v>1.7105263157894735</v>
      </c>
      <c r="W27" s="117">
        <f t="shared" si="2"/>
        <v>58461.538461538468</v>
      </c>
      <c r="AA27" s="105" t="s">
        <v>269</v>
      </c>
      <c r="AB27" s="105">
        <v>2011</v>
      </c>
      <c r="AC27" s="118">
        <v>3.9220000000000002</v>
      </c>
      <c r="AD27" s="105" t="s">
        <v>308</v>
      </c>
      <c r="AE27" s="118">
        <v>3.8519999999999999</v>
      </c>
      <c r="AF27" s="105" t="s">
        <v>309</v>
      </c>
      <c r="AG27" s="119">
        <f t="shared" si="3"/>
        <v>3.8742410171960886</v>
      </c>
      <c r="AJ27" s="119">
        <f t="shared" si="4"/>
        <v>3.9220000000000002</v>
      </c>
    </row>
    <row r="28" spans="1:36" x14ac:dyDescent="0.25">
      <c r="B28" s="112"/>
      <c r="D28" s="113"/>
      <c r="E28" s="114"/>
      <c r="F28" s="114"/>
      <c r="G28" s="114"/>
      <c r="H28" s="114"/>
      <c r="I28" s="114"/>
      <c r="J28" s="114"/>
      <c r="K28" s="114"/>
      <c r="AA28" s="105" t="s">
        <v>269</v>
      </c>
      <c r="AB28" s="105">
        <v>2012</v>
      </c>
      <c r="AC28" s="118">
        <v>4.0549999999999997</v>
      </c>
      <c r="AD28" s="105" t="s">
        <v>310</v>
      </c>
      <c r="AE28" s="118">
        <v>3.9769999999999999</v>
      </c>
      <c r="AF28" s="105" t="s">
        <v>311</v>
      </c>
      <c r="AG28" s="119">
        <f t="shared" si="3"/>
        <v>4.0017828477327839</v>
      </c>
      <c r="AH28" s="114"/>
      <c r="AJ28" s="119">
        <f t="shared" si="4"/>
        <v>4.0549999999999997</v>
      </c>
    </row>
    <row r="29" spans="1:36" x14ac:dyDescent="0.25">
      <c r="A29" s="125" t="s">
        <v>24</v>
      </c>
      <c r="B29" s="112"/>
      <c r="D29" s="113"/>
      <c r="E29" s="114"/>
      <c r="F29" s="114"/>
      <c r="G29" s="114"/>
      <c r="H29" s="114"/>
      <c r="I29" s="114"/>
      <c r="J29" s="114"/>
      <c r="K29" s="114"/>
      <c r="Z29" s="126">
        <f>AVERAGE(AC27:AC31)</f>
        <v>3.6012</v>
      </c>
      <c r="AA29" s="105" t="s">
        <v>269</v>
      </c>
      <c r="AB29" s="105">
        <v>2013</v>
      </c>
      <c r="AC29" s="118">
        <v>3.887</v>
      </c>
      <c r="AD29" s="105" t="s">
        <v>312</v>
      </c>
      <c r="AE29" s="118">
        <v>3.8079999999999998</v>
      </c>
      <c r="AF29" s="105" t="s">
        <v>313</v>
      </c>
      <c r="AG29" s="119">
        <f t="shared" si="3"/>
        <v>3.8331005765498718</v>
      </c>
      <c r="AH29" s="128">
        <f>AVERAGE(AG27:AG31)</f>
        <v>3.5620376341007924</v>
      </c>
      <c r="AI29" s="506" t="s">
        <v>1547</v>
      </c>
      <c r="AJ29" s="119">
        <f t="shared" si="4"/>
        <v>3.887</v>
      </c>
    </row>
    <row r="30" spans="1:36" x14ac:dyDescent="0.25">
      <c r="A30" s="52" t="s">
        <v>314</v>
      </c>
      <c r="B30" s="112"/>
      <c r="D30" s="113"/>
      <c r="E30" s="114"/>
      <c r="F30" s="114"/>
      <c r="G30" s="114"/>
      <c r="H30" s="114" t="s">
        <v>315</v>
      </c>
      <c r="I30" s="114" t="s">
        <v>316</v>
      </c>
      <c r="J30" s="114"/>
      <c r="K30" s="114"/>
      <c r="AA30" s="105" t="s">
        <v>269</v>
      </c>
      <c r="AB30" s="105">
        <v>2014</v>
      </c>
      <c r="AC30" s="118">
        <v>3.806</v>
      </c>
      <c r="AD30" s="105" t="s">
        <v>317</v>
      </c>
      <c r="AE30" s="118">
        <v>3.754</v>
      </c>
      <c r="AF30" s="105" t="s">
        <v>318</v>
      </c>
      <c r="AG30" s="119">
        <f t="shared" si="3"/>
        <v>3.7705218984885231</v>
      </c>
      <c r="AI30" s="506"/>
      <c r="AJ30" s="119">
        <f t="shared" si="4"/>
        <v>3.806</v>
      </c>
    </row>
    <row r="31" spans="1:36" x14ac:dyDescent="0.25">
      <c r="A31" s="52" t="s">
        <v>319</v>
      </c>
      <c r="B31" s="112"/>
      <c r="D31" s="113"/>
      <c r="E31" s="114"/>
      <c r="F31" s="114"/>
      <c r="G31" s="114"/>
      <c r="H31" s="114"/>
      <c r="I31" s="114"/>
      <c r="J31" s="114"/>
      <c r="K31" s="114"/>
      <c r="M31" s="114">
        <f>M26*B37</f>
        <v>469.43929780869769</v>
      </c>
      <c r="P31" s="110" t="s">
        <v>9</v>
      </c>
      <c r="Q31" s="110" t="s">
        <v>260</v>
      </c>
      <c r="R31" s="110" t="s">
        <v>252</v>
      </c>
      <c r="S31" s="110" t="s">
        <v>266</v>
      </c>
      <c r="AA31" s="105" t="s">
        <v>269</v>
      </c>
      <c r="AB31" s="105">
        <v>2015</v>
      </c>
      <c r="AC31" s="118">
        <v>2.3359999999999999</v>
      </c>
      <c r="AD31" s="105" t="s">
        <v>320</v>
      </c>
      <c r="AE31" s="118">
        <v>2.3279999999999998</v>
      </c>
      <c r="AF31" s="105" t="s">
        <v>321</v>
      </c>
      <c r="AG31" s="119">
        <f t="shared" si="3"/>
        <v>2.3305418305366956</v>
      </c>
      <c r="AI31" s="506"/>
      <c r="AJ31" s="119">
        <f t="shared" si="4"/>
        <v>2.3359999999999999</v>
      </c>
    </row>
    <row r="32" spans="1:36" ht="14.25" customHeight="1" x14ac:dyDescent="0.25">
      <c r="A32" s="52" t="s">
        <v>322</v>
      </c>
      <c r="B32" s="112"/>
      <c r="D32" s="113"/>
      <c r="E32" s="114"/>
      <c r="F32" s="114"/>
      <c r="G32" s="114"/>
      <c r="H32" s="114"/>
      <c r="I32" s="114"/>
      <c r="J32" s="114"/>
      <c r="K32" s="114"/>
      <c r="P32" s="105">
        <v>2000</v>
      </c>
      <c r="Q32" s="118">
        <v>1.3720000000000001</v>
      </c>
      <c r="R32" s="118">
        <v>1.3120000000000001</v>
      </c>
      <c r="S32" s="126">
        <f t="shared" ref="S32:S54" si="8">Q32*AG$14+R32*AG$13</f>
        <v>1.331063729025219</v>
      </c>
      <c r="AA32" s="105" t="s">
        <v>269</v>
      </c>
      <c r="AB32" s="105">
        <v>2016</v>
      </c>
      <c r="AC32" s="118">
        <v>2.306</v>
      </c>
      <c r="AD32" s="105" t="s">
        <v>323</v>
      </c>
      <c r="AE32" s="118">
        <v>2.2770000000000001</v>
      </c>
      <c r="AF32" s="105" t="s">
        <v>324</v>
      </c>
      <c r="AG32" s="119">
        <f t="shared" si="3"/>
        <v>2.2862141356955226</v>
      </c>
      <c r="AI32" s="506"/>
      <c r="AJ32" s="119">
        <f t="shared" si="4"/>
        <v>2.306</v>
      </c>
    </row>
    <row r="33" spans="1:36" ht="14.25" customHeight="1" x14ac:dyDescent="0.25">
      <c r="A33" s="52" t="s">
        <v>325</v>
      </c>
      <c r="B33" s="112"/>
      <c r="D33" s="113"/>
      <c r="E33" s="114"/>
      <c r="F33" s="114"/>
      <c r="G33" s="114"/>
      <c r="H33" s="114"/>
      <c r="I33" s="114"/>
      <c r="J33" s="114"/>
      <c r="K33" s="114"/>
      <c r="P33" s="105">
        <v>2001</v>
      </c>
      <c r="Q33" s="118">
        <v>1.343</v>
      </c>
      <c r="R33" s="118">
        <v>1.2829999999999999</v>
      </c>
      <c r="S33" s="126">
        <f t="shared" si="8"/>
        <v>1.3020637290252188</v>
      </c>
      <c r="AA33" s="105" t="s">
        <v>269</v>
      </c>
      <c r="AB33" s="105">
        <v>2017</v>
      </c>
      <c r="AC33" s="118">
        <v>2.6779999999999999</v>
      </c>
      <c r="AD33" s="105" t="s">
        <v>326</v>
      </c>
      <c r="AE33" s="118">
        <v>2.62</v>
      </c>
      <c r="AF33" s="105" t="s">
        <v>327</v>
      </c>
      <c r="AG33" s="119">
        <f t="shared" si="3"/>
        <v>2.638428271391045</v>
      </c>
      <c r="AI33" s="506"/>
      <c r="AJ33" s="119">
        <f t="shared" si="4"/>
        <v>2.6779999999999999</v>
      </c>
    </row>
    <row r="34" spans="1:36" x14ac:dyDescent="0.25">
      <c r="A34" s="52" t="s">
        <v>330</v>
      </c>
      <c r="B34" s="112"/>
      <c r="D34" s="113"/>
      <c r="E34" s="114"/>
      <c r="F34" s="114"/>
      <c r="G34" s="114"/>
      <c r="H34" s="114"/>
      <c r="I34" s="114"/>
      <c r="J34" s="105"/>
      <c r="K34" s="114"/>
      <c r="P34" s="105">
        <v>2002</v>
      </c>
      <c r="Q34" s="118">
        <v>1.212</v>
      </c>
      <c r="R34" s="118">
        <v>1.175</v>
      </c>
      <c r="S34" s="126">
        <f t="shared" si="8"/>
        <v>1.1867559662322182</v>
      </c>
      <c r="AA34" s="105" t="s">
        <v>269</v>
      </c>
      <c r="AB34" s="105">
        <v>2018</v>
      </c>
      <c r="AC34" s="118">
        <v>3.15</v>
      </c>
      <c r="AD34" s="105" t="s">
        <v>1403</v>
      </c>
      <c r="AE34" s="118">
        <v>3.073</v>
      </c>
      <c r="AF34" s="105" t="s">
        <v>1404</v>
      </c>
      <c r="AG34" s="119">
        <f t="shared" si="3"/>
        <v>3.0974651189156974</v>
      </c>
      <c r="AH34" s="105" t="s">
        <v>328</v>
      </c>
      <c r="AI34" s="105" t="s">
        <v>329</v>
      </c>
      <c r="AJ34" s="119">
        <f t="shared" si="4"/>
        <v>3.15</v>
      </c>
    </row>
    <row r="35" spans="1:36" x14ac:dyDescent="0.25">
      <c r="B35" s="112"/>
      <c r="D35" s="113"/>
      <c r="E35" s="114"/>
      <c r="F35" s="114"/>
      <c r="G35" s="114"/>
      <c r="H35" s="114"/>
      <c r="I35" s="114"/>
      <c r="J35" s="511" t="s">
        <v>332</v>
      </c>
      <c r="K35" s="511"/>
      <c r="P35" s="105">
        <v>2003</v>
      </c>
      <c r="Q35" s="118">
        <v>1.2729999999999999</v>
      </c>
      <c r="R35" s="118">
        <v>1.224</v>
      </c>
      <c r="S35" s="126">
        <f t="shared" si="8"/>
        <v>1.239568712037262</v>
      </c>
      <c r="AA35" s="105" t="s">
        <v>269</v>
      </c>
      <c r="AB35" s="105">
        <v>2019</v>
      </c>
      <c r="AC35" s="118">
        <v>2.944</v>
      </c>
      <c r="AD35" s="105" t="s">
        <v>1548</v>
      </c>
      <c r="AE35" s="118">
        <v>2.8740000000000001</v>
      </c>
      <c r="AF35" s="105" t="s">
        <v>1549</v>
      </c>
      <c r="AG35" s="127">
        <f t="shared" si="3"/>
        <v>2.8962410171960888</v>
      </c>
      <c r="AH35" s="128">
        <f>EIAProjections!L7</f>
        <v>2.8962410171960888</v>
      </c>
      <c r="AI35" s="128">
        <f>EIAProjections!M7</f>
        <v>2.8962410171960888</v>
      </c>
      <c r="AJ35" s="119">
        <f t="shared" si="4"/>
        <v>2.944</v>
      </c>
    </row>
    <row r="36" spans="1:36" x14ac:dyDescent="0.25">
      <c r="A36" s="129" t="s">
        <v>333</v>
      </c>
      <c r="B36" s="112"/>
      <c r="D36" s="113"/>
      <c r="E36" s="114"/>
      <c r="F36" s="114"/>
      <c r="G36" s="114"/>
      <c r="H36" s="114"/>
      <c r="I36" s="114"/>
      <c r="J36" s="105" t="s">
        <v>334</v>
      </c>
      <c r="K36" s="105" t="s">
        <v>335</v>
      </c>
      <c r="P36" s="105">
        <v>2004</v>
      </c>
      <c r="Q36" s="118">
        <v>1.8240000000000001</v>
      </c>
      <c r="R36" s="118">
        <v>1.8089999999999999</v>
      </c>
      <c r="S36" s="126">
        <f t="shared" si="8"/>
        <v>1.8137659322563047</v>
      </c>
      <c r="AA36" s="105" t="s">
        <v>331</v>
      </c>
      <c r="AB36" s="105">
        <v>2020</v>
      </c>
      <c r="AC36" s="118">
        <v>2.46</v>
      </c>
      <c r="AD36" s="105" t="s">
        <v>1575</v>
      </c>
      <c r="AE36" s="118">
        <v>2.407</v>
      </c>
      <c r="AF36" s="105" t="s">
        <v>1576</v>
      </c>
      <c r="AG36" s="128">
        <f>EIAProjections!K8</f>
        <v>2.8103743189740982</v>
      </c>
      <c r="AH36" s="128">
        <f>EIAProjections!L8</f>
        <v>3.4201534133109459</v>
      </c>
      <c r="AI36" s="128">
        <f>EIAProjections!M8</f>
        <v>2.2028402112732506</v>
      </c>
      <c r="AJ36" s="119">
        <f>AG36/AG$35*AJ$35</f>
        <v>2.8567173608602943</v>
      </c>
    </row>
    <row r="37" spans="1:36" x14ac:dyDescent="0.25">
      <c r="A37" s="52" t="s">
        <v>75</v>
      </c>
      <c r="B37" s="51">
        <v>1.6827555429317793</v>
      </c>
      <c r="C37" s="52" t="s">
        <v>76</v>
      </c>
      <c r="D37" s="113"/>
      <c r="E37" s="114"/>
      <c r="F37" s="114"/>
      <c r="G37" s="114"/>
      <c r="H37" s="114"/>
      <c r="I37" s="114"/>
      <c r="J37" s="130">
        <v>0.4637005615330928</v>
      </c>
      <c r="K37" s="131">
        <v>0.54623788565977127</v>
      </c>
      <c r="P37" s="105">
        <v>2005</v>
      </c>
      <c r="Q37" s="118">
        <v>2.544</v>
      </c>
      <c r="R37" s="118">
        <v>2.5230000000000001</v>
      </c>
      <c r="S37" s="126">
        <f t="shared" si="8"/>
        <v>2.5296723051588268</v>
      </c>
      <c r="AA37" s="105" t="s">
        <v>331</v>
      </c>
      <c r="AB37" s="105">
        <v>2021</v>
      </c>
      <c r="AC37" s="118">
        <v>3.3340000000000001</v>
      </c>
      <c r="AD37" s="105" t="s">
        <v>1577</v>
      </c>
      <c r="AE37" s="118">
        <v>3.363</v>
      </c>
      <c r="AF37" s="105" t="s">
        <v>1578</v>
      </c>
      <c r="AG37" s="128">
        <f>EIAProjections!K9</f>
        <v>2.860307585698274</v>
      </c>
      <c r="AH37" s="128">
        <f>EIAProjections!L9</f>
        <v>3.6098696216844237</v>
      </c>
      <c r="AI37" s="128">
        <f>EIAProjections!M9</f>
        <v>2.1485342150616171</v>
      </c>
      <c r="AJ37" s="119">
        <f t="shared" ref="AJ37:AJ48" si="9">AG37/AG$35*AJ$35</f>
        <v>2.9074740266084684</v>
      </c>
    </row>
    <row r="38" spans="1:36" x14ac:dyDescent="0.25">
      <c r="A38" s="52" t="s">
        <v>336</v>
      </c>
      <c r="B38" s="112">
        <f>B26/B37</f>
        <v>12106915.959538678</v>
      </c>
      <c r="C38" s="52" t="s">
        <v>337</v>
      </c>
      <c r="D38" s="113"/>
      <c r="E38" s="114"/>
      <c r="F38" s="114"/>
      <c r="G38" s="114"/>
      <c r="H38" s="114"/>
      <c r="I38" s="114"/>
      <c r="J38" s="130">
        <v>0.35138400532752173</v>
      </c>
      <c r="K38" s="131">
        <v>0.30287510904825726</v>
      </c>
      <c r="P38" s="105">
        <v>2006</v>
      </c>
      <c r="Q38" s="118">
        <v>2.4940000000000002</v>
      </c>
      <c r="R38" s="118">
        <v>2.4790000000000001</v>
      </c>
      <c r="S38" s="126">
        <f t="shared" si="8"/>
        <v>2.483765932256305</v>
      </c>
      <c r="AA38" s="105" t="s">
        <v>331</v>
      </c>
      <c r="AB38" s="105">
        <v>2022</v>
      </c>
      <c r="AC38" s="118">
        <v>4.726</v>
      </c>
      <c r="AD38" s="105" t="s">
        <v>1589</v>
      </c>
      <c r="AE38" s="118"/>
      <c r="AF38" s="105"/>
      <c r="AG38" s="128">
        <f>EIAProjections!K10</f>
        <v>2.9247573551739148</v>
      </c>
      <c r="AH38" s="128">
        <f>EIAProjections!L10</f>
        <v>3.8618979207681412</v>
      </c>
      <c r="AI38" s="128">
        <f>EIAProjections!M10</f>
        <v>2.2188257720210918</v>
      </c>
      <c r="AJ38" s="119">
        <f t="shared" si="9"/>
        <v>2.9729865720802464</v>
      </c>
    </row>
    <row r="39" spans="1:36" x14ac:dyDescent="0.25">
      <c r="A39" s="52" t="s">
        <v>336</v>
      </c>
      <c r="B39" s="112">
        <f>B38/2000</f>
        <v>6053.4579797693386</v>
      </c>
      <c r="C39" s="52" t="s">
        <v>338</v>
      </c>
      <c r="D39" s="113"/>
      <c r="E39" s="114"/>
      <c r="F39" s="114"/>
      <c r="G39" s="114"/>
      <c r="H39" s="114"/>
      <c r="I39" s="114"/>
      <c r="J39" s="132">
        <v>0.18491543313938538</v>
      </c>
      <c r="K39" s="133">
        <v>0.15088700529197147</v>
      </c>
      <c r="P39" s="105">
        <v>2007</v>
      </c>
      <c r="Q39" s="118">
        <v>2.6829999999999998</v>
      </c>
      <c r="R39" s="118">
        <v>2.5979999999999999</v>
      </c>
      <c r="S39" s="126">
        <f t="shared" si="8"/>
        <v>2.6250069494523931</v>
      </c>
      <c r="AA39" s="105" t="s">
        <v>331</v>
      </c>
      <c r="AB39" s="105">
        <v>2023</v>
      </c>
      <c r="AG39" s="128">
        <f>EIAProjections!K11</f>
        <v>2.9774981137421901</v>
      </c>
      <c r="AH39" s="128">
        <f>EIAProjections!L11</f>
        <v>4.2036966724231357</v>
      </c>
      <c r="AI39" s="128">
        <f>EIAProjections!M11</f>
        <v>2.2709368586030041</v>
      </c>
      <c r="AJ39" s="119">
        <f t="shared" si="9"/>
        <v>3.0265970251824261</v>
      </c>
    </row>
    <row r="40" spans="1:36" x14ac:dyDescent="0.25">
      <c r="J40" s="134">
        <f>SUM(J37:J39)</f>
        <v>1</v>
      </c>
      <c r="K40" s="134">
        <f>SUM(K37:K39)</f>
        <v>1</v>
      </c>
      <c r="P40" s="105">
        <v>2008</v>
      </c>
      <c r="Q40" s="118">
        <v>3.67</v>
      </c>
      <c r="R40" s="118">
        <v>3.67</v>
      </c>
      <c r="S40" s="126">
        <f t="shared" si="8"/>
        <v>3.67</v>
      </c>
      <c r="AA40" s="105" t="s">
        <v>331</v>
      </c>
      <c r="AB40" s="111">
        <v>2024</v>
      </c>
      <c r="AC40" s="260"/>
      <c r="AD40" s="260"/>
      <c r="AE40" s="260"/>
      <c r="AF40" s="260"/>
      <c r="AG40" s="455">
        <f>EIAProjections!K12</f>
        <v>3.0600505885089224</v>
      </c>
      <c r="AH40" s="455">
        <f>EIAProjections!L12</f>
        <v>4.4012508596312827</v>
      </c>
      <c r="AI40" s="455">
        <f>EIAProjections!M12</f>
        <v>2.3196021702290359</v>
      </c>
      <c r="AJ40" s="457">
        <f t="shared" si="9"/>
        <v>3.1105107893582229</v>
      </c>
    </row>
    <row r="41" spans="1:36" x14ac:dyDescent="0.25">
      <c r="P41" s="105">
        <v>2009</v>
      </c>
      <c r="Q41" s="118">
        <v>2.7309999999999999</v>
      </c>
      <c r="R41" s="118">
        <v>2.722</v>
      </c>
      <c r="S41" s="126">
        <f t="shared" si="8"/>
        <v>2.7248595593537828</v>
      </c>
      <c r="AA41" s="105" t="s">
        <v>331</v>
      </c>
      <c r="AB41" s="105">
        <v>2025</v>
      </c>
      <c r="AG41" s="128">
        <f>EIAProjections!K13</f>
        <v>3.1059959768124172</v>
      </c>
      <c r="AH41" s="128">
        <f>EIAProjections!L13</f>
        <v>4.5267405253957351</v>
      </c>
      <c r="AI41" s="128">
        <f>EIAProjections!M13</f>
        <v>2.3649813439165581</v>
      </c>
      <c r="AJ41" s="119">
        <f t="shared" si="9"/>
        <v>3.1572138166140271</v>
      </c>
    </row>
    <row r="42" spans="1:36" x14ac:dyDescent="0.25">
      <c r="P42" s="105">
        <v>2010</v>
      </c>
      <c r="Q42" s="118">
        <v>3.02</v>
      </c>
      <c r="R42" s="118">
        <v>3</v>
      </c>
      <c r="S42" s="126">
        <f t="shared" si="8"/>
        <v>3.0063545763417396</v>
      </c>
      <c r="AA42" s="105" t="s">
        <v>331</v>
      </c>
      <c r="AB42" s="105">
        <v>2026</v>
      </c>
      <c r="AG42" s="128">
        <f>EIAProjections!K14</f>
        <v>3.1585576239719901</v>
      </c>
      <c r="AH42" s="128">
        <f>EIAProjections!L14</f>
        <v>4.6045220392441228</v>
      </c>
      <c r="AI42" s="128">
        <f>EIAProjections!M14</f>
        <v>2.3779090277889039</v>
      </c>
      <c r="AJ42" s="119">
        <f t="shared" si="9"/>
        <v>3.2106422047623284</v>
      </c>
    </row>
    <row r="43" spans="1:36" x14ac:dyDescent="0.25">
      <c r="P43" s="105">
        <v>2011</v>
      </c>
      <c r="Q43" s="118">
        <v>3.9220000000000002</v>
      </c>
      <c r="R43" s="118">
        <v>3.8519999999999999</v>
      </c>
      <c r="S43" s="126">
        <f t="shared" si="8"/>
        <v>3.8742410171960886</v>
      </c>
      <c r="AA43" s="105" t="s">
        <v>331</v>
      </c>
      <c r="AB43" s="105">
        <v>2027</v>
      </c>
      <c r="AG43" s="128">
        <f>EIAProjections!K15</f>
        <v>3.162308497725387</v>
      </c>
      <c r="AH43" s="128">
        <f>EIAProjections!L15</f>
        <v>4.6099748688167512</v>
      </c>
      <c r="AI43" s="128">
        <f>EIAProjections!M15</f>
        <v>2.3919680810623731</v>
      </c>
      <c r="AJ43" s="119">
        <f t="shared" si="9"/>
        <v>3.2144549303830336</v>
      </c>
    </row>
    <row r="44" spans="1:36" x14ac:dyDescent="0.25">
      <c r="P44" s="105">
        <v>2012</v>
      </c>
      <c r="Q44" s="118">
        <v>4.0549999999999997</v>
      </c>
      <c r="R44" s="118">
        <v>3.9769999999999999</v>
      </c>
      <c r="S44" s="126">
        <f t="shared" si="8"/>
        <v>4.0017828477327839</v>
      </c>
      <c r="AA44" s="105" t="s">
        <v>331</v>
      </c>
      <c r="AB44" s="105">
        <v>2028</v>
      </c>
      <c r="AG44" s="128">
        <f>EIAProjections!K16</f>
        <v>3.2143020755650515</v>
      </c>
      <c r="AH44" s="128">
        <f>EIAProjections!L16</f>
        <v>4.6656571878279474</v>
      </c>
      <c r="AI44" s="128">
        <f>EIAProjections!M16</f>
        <v>2.3875830310416251</v>
      </c>
      <c r="AJ44" s="119">
        <f t="shared" si="9"/>
        <v>3.2673058817545324</v>
      </c>
    </row>
    <row r="45" spans="1:36" x14ac:dyDescent="0.25">
      <c r="P45" s="105">
        <v>2013</v>
      </c>
      <c r="Q45" s="118">
        <v>3.887</v>
      </c>
      <c r="R45" s="118">
        <v>3.8079999999999998</v>
      </c>
      <c r="S45" s="126">
        <f t="shared" si="8"/>
        <v>3.8331005765498718</v>
      </c>
      <c r="AA45" s="105" t="s">
        <v>331</v>
      </c>
      <c r="AB45" s="105">
        <v>2029</v>
      </c>
      <c r="AG45" s="128">
        <f>EIAProjections!K17</f>
        <v>3.2401905630228911</v>
      </c>
      <c r="AH45" s="128">
        <f>EIAProjections!L17</f>
        <v>4.8368335106967848</v>
      </c>
      <c r="AI45" s="128">
        <f>EIAProjections!M17</f>
        <v>2.3927815012172791</v>
      </c>
      <c r="AJ45" s="119">
        <f t="shared" si="9"/>
        <v>3.2936212700883618</v>
      </c>
    </row>
    <row r="46" spans="1:36" x14ac:dyDescent="0.25">
      <c r="A46" s="512" t="s">
        <v>198</v>
      </c>
      <c r="B46" s="512"/>
      <c r="C46" s="512"/>
      <c r="D46" s="512"/>
      <c r="E46" s="512"/>
      <c r="F46" s="512"/>
      <c r="G46" s="512"/>
      <c r="H46" s="512"/>
      <c r="I46"/>
      <c r="J46"/>
      <c r="K46"/>
      <c r="P46" s="105">
        <v>2014</v>
      </c>
      <c r="Q46" s="118">
        <v>3.806</v>
      </c>
      <c r="R46" s="118">
        <v>3.754</v>
      </c>
      <c r="S46" s="126">
        <f t="shared" si="8"/>
        <v>3.7705218984885231</v>
      </c>
      <c r="AA46" s="105" t="s">
        <v>331</v>
      </c>
      <c r="AB46" s="105">
        <v>2030</v>
      </c>
      <c r="AG46" s="128">
        <f>EIAProjections!K18</f>
        <v>3.2757663016187113</v>
      </c>
      <c r="AH46" s="128">
        <f>EIAProjections!L18</f>
        <v>4.8739082475096671</v>
      </c>
      <c r="AI46" s="128">
        <f>EIAProjections!M18</f>
        <v>2.4236725226277915</v>
      </c>
      <c r="AJ46" s="119">
        <f t="shared" si="9"/>
        <v>3.3297836522258439</v>
      </c>
    </row>
    <row r="47" spans="1:36" x14ac:dyDescent="0.25">
      <c r="A47" s="321"/>
      <c r="B47" s="321"/>
      <c r="C47" s="321"/>
      <c r="D47" s="321"/>
      <c r="E47" s="321"/>
      <c r="F47" s="321"/>
      <c r="G47" s="321"/>
      <c r="H47" s="496" t="s">
        <v>1414</v>
      </c>
      <c r="I47" s="496"/>
      <c r="J47"/>
      <c r="K47"/>
      <c r="P47" s="105">
        <v>2015</v>
      </c>
      <c r="Q47" s="118">
        <v>2.3359999999999999</v>
      </c>
      <c r="R47" s="118">
        <v>2.3279999999999998</v>
      </c>
      <c r="S47" s="126">
        <f t="shared" si="8"/>
        <v>2.3305418305366956</v>
      </c>
      <c r="AA47" s="105" t="s">
        <v>331</v>
      </c>
      <c r="AB47" s="105">
        <v>2031</v>
      </c>
      <c r="AG47" s="128">
        <f>EIAProjections!K19</f>
        <v>3.3156746286096532</v>
      </c>
      <c r="AH47" s="128">
        <f>EIAProjections!L19</f>
        <v>4.9497000614709972</v>
      </c>
      <c r="AI47" s="128">
        <f>EIAProjections!M19</f>
        <v>2.4270324512871939</v>
      </c>
      <c r="AJ47" s="119">
        <f t="shared" si="9"/>
        <v>3.3703500670938573</v>
      </c>
    </row>
    <row r="48" spans="1:36" x14ac:dyDescent="0.25">
      <c r="A48"/>
      <c r="B48"/>
      <c r="C48"/>
      <c r="D48"/>
      <c r="E48"/>
      <c r="F48"/>
      <c r="G48" s="2" t="s">
        <v>1411</v>
      </c>
      <c r="H48" s="511" t="s">
        <v>1413</v>
      </c>
      <c r="I48" s="511"/>
      <c r="J48"/>
      <c r="K48"/>
      <c r="P48" s="105">
        <v>2016</v>
      </c>
      <c r="Q48" s="118">
        <v>2.306</v>
      </c>
      <c r="R48" s="118">
        <v>2.2770000000000001</v>
      </c>
      <c r="S48" s="126">
        <f t="shared" si="8"/>
        <v>2.2862141356955226</v>
      </c>
      <c r="AA48" s="105" t="s">
        <v>331</v>
      </c>
      <c r="AB48" s="105">
        <v>2032</v>
      </c>
      <c r="AG48" s="128">
        <f>EIAProjections!K20</f>
        <v>3.3373688355944751</v>
      </c>
      <c r="AH48" s="128">
        <f>EIAProjections!L20</f>
        <v>5.1023192765843586</v>
      </c>
      <c r="AI48" s="128">
        <f>EIAProjections!M20</f>
        <v>2.4395931687378636</v>
      </c>
      <c r="AJ48" s="119">
        <f t="shared" si="9"/>
        <v>3.392402011315387</v>
      </c>
    </row>
    <row r="49" spans="1:28" x14ac:dyDescent="0.25">
      <c r="A49"/>
      <c r="B49"/>
      <c r="C49" s="15" t="s">
        <v>199</v>
      </c>
      <c r="D49" s="67" t="s">
        <v>200</v>
      </c>
      <c r="E49" s="67" t="s">
        <v>201</v>
      </c>
      <c r="F49" s="67" t="s">
        <v>202</v>
      </c>
      <c r="G49" s="67" t="s">
        <v>1412</v>
      </c>
      <c r="H49" s="67" t="s">
        <v>1416</v>
      </c>
      <c r="I49" s="67" t="s">
        <v>1415</v>
      </c>
      <c r="J49"/>
      <c r="K49"/>
      <c r="P49" s="105">
        <v>2017</v>
      </c>
      <c r="Q49" s="118">
        <v>2.6779999999999999</v>
      </c>
      <c r="R49" s="118">
        <v>2.62</v>
      </c>
      <c r="S49" s="126">
        <f t="shared" si="8"/>
        <v>2.638428271391045</v>
      </c>
    </row>
    <row r="50" spans="1:28" x14ac:dyDescent="0.25">
      <c r="A50"/>
      <c r="B50"/>
      <c r="C50" s="68" t="s">
        <v>203</v>
      </c>
      <c r="D50" s="69">
        <v>0.64615384615384608</v>
      </c>
      <c r="E50" s="70">
        <v>3.0333333333333345</v>
      </c>
      <c r="F50" s="70">
        <v>1.4413043478260872</v>
      </c>
      <c r="G50" s="262">
        <f>F50/E50</f>
        <v>0.47515527950310549</v>
      </c>
      <c r="H50" s="398">
        <f>E50/($D50*D50+(1-$D50)*E50)</f>
        <v>2.0346360437117985</v>
      </c>
      <c r="I50" s="398">
        <f>F50/($D50*E50+(1-$D50)*F50)</f>
        <v>0.58352402745995413</v>
      </c>
      <c r="J50"/>
      <c r="K50"/>
      <c r="P50" s="105">
        <v>2018</v>
      </c>
      <c r="Q50" s="118">
        <v>3.15</v>
      </c>
      <c r="R50" s="118">
        <v>3.073</v>
      </c>
      <c r="S50" s="126">
        <f t="shared" si="8"/>
        <v>3.0974651189156974</v>
      </c>
      <c r="AA50" s="52" t="s">
        <v>1550</v>
      </c>
    </row>
    <row r="51" spans="1:28" x14ac:dyDescent="0.25">
      <c r="A51"/>
      <c r="B51"/>
      <c r="C51" s="68" t="s">
        <v>204</v>
      </c>
      <c r="D51" s="69">
        <v>0.30769230769230771</v>
      </c>
      <c r="E51" s="70">
        <v>3.75</v>
      </c>
      <c r="F51" s="70">
        <v>1.9011111111111114</v>
      </c>
      <c r="G51" s="262">
        <f>F51/E51</f>
        <v>0.50696296296296306</v>
      </c>
      <c r="H51" s="399">
        <f>E51/($D51*D51+(1-$D51)*E51)</f>
        <v>1.393622869708631</v>
      </c>
      <c r="I51" s="399">
        <f>F51/($D51*E51+(1-$D51)*F51)</f>
        <v>0.76968061178587499</v>
      </c>
      <c r="J51"/>
      <c r="K51"/>
      <c r="P51" s="105">
        <v>2019</v>
      </c>
      <c r="Q51" s="118">
        <v>2.944</v>
      </c>
      <c r="R51" s="118">
        <v>2.8740000000000001</v>
      </c>
      <c r="S51" s="126">
        <f t="shared" si="8"/>
        <v>2.8962410171960888</v>
      </c>
      <c r="AA51" s="456" t="s">
        <v>1551</v>
      </c>
      <c r="AB51" s="52" t="s">
        <v>1579</v>
      </c>
    </row>
    <row r="52" spans="1:28" x14ac:dyDescent="0.25">
      <c r="A52"/>
      <c r="B52"/>
      <c r="C52"/>
      <c r="D52"/>
      <c r="E52"/>
      <c r="F52"/>
      <c r="G52"/>
      <c r="H52"/>
      <c r="I52"/>
      <c r="J52"/>
      <c r="K52"/>
      <c r="P52" s="105">
        <v>2020</v>
      </c>
      <c r="Q52" s="118">
        <v>2.46</v>
      </c>
      <c r="R52" s="118">
        <v>2.407</v>
      </c>
      <c r="S52" s="126">
        <f t="shared" si="8"/>
        <v>2.4238396273056102</v>
      </c>
      <c r="AA52" s="456" t="s">
        <v>1552</v>
      </c>
      <c r="AB52" s="52" t="s">
        <v>1580</v>
      </c>
    </row>
    <row r="53" spans="1:28" x14ac:dyDescent="0.25">
      <c r="A53" s="512" t="s">
        <v>205</v>
      </c>
      <c r="B53" s="512"/>
      <c r="C53" s="512"/>
      <c r="D53" s="512"/>
      <c r="E53" s="512"/>
      <c r="F53" s="512"/>
      <c r="G53" s="512"/>
      <c r="H53" s="512"/>
      <c r="I53" s="512"/>
      <c r="J53"/>
      <c r="K53"/>
      <c r="P53" s="105">
        <v>2021</v>
      </c>
      <c r="Q53" s="118">
        <v>3.3340000000000001</v>
      </c>
      <c r="R53" s="118">
        <v>3.363</v>
      </c>
      <c r="S53" s="126">
        <f t="shared" si="8"/>
        <v>3.3537858643044776</v>
      </c>
    </row>
    <row r="54" spans="1:28" x14ac:dyDescent="0.25">
      <c r="A54"/>
      <c r="B54"/>
      <c r="C54"/>
      <c r="D54"/>
      <c r="E54"/>
      <c r="F54"/>
      <c r="G54"/>
      <c r="H54"/>
      <c r="I54"/>
      <c r="J54"/>
      <c r="K54"/>
      <c r="P54" s="105">
        <v>2022</v>
      </c>
      <c r="Q54" s="118">
        <v>4.726</v>
      </c>
      <c r="R54" s="118">
        <f>Q54</f>
        <v>4.726</v>
      </c>
      <c r="S54" s="126">
        <f t="shared" si="8"/>
        <v>4.726</v>
      </c>
    </row>
    <row r="55" spans="1:28" x14ac:dyDescent="0.25">
      <c r="A55"/>
      <c r="B55"/>
      <c r="C55"/>
      <c r="D55" s="2" t="s">
        <v>11</v>
      </c>
      <c r="E55" s="2" t="s">
        <v>10</v>
      </c>
      <c r="F55" s="2" t="s">
        <v>12</v>
      </c>
      <c r="G55"/>
      <c r="H55"/>
      <c r="I55"/>
      <c r="J55"/>
      <c r="K55"/>
    </row>
    <row r="56" spans="1:28" x14ac:dyDescent="0.25">
      <c r="A56" s="15" t="s">
        <v>7</v>
      </c>
      <c r="B56" s="15" t="s">
        <v>21</v>
      </c>
      <c r="C56" s="15" t="s">
        <v>22</v>
      </c>
      <c r="D56" s="15" t="s">
        <v>13</v>
      </c>
      <c r="E56" s="15" t="s">
        <v>206</v>
      </c>
      <c r="F56" s="15" t="s">
        <v>14</v>
      </c>
      <c r="G56" s="497" t="s">
        <v>207</v>
      </c>
      <c r="H56" s="497"/>
      <c r="I56" s="497"/>
      <c r="J56"/>
      <c r="K56"/>
    </row>
    <row r="57" spans="1:28" x14ac:dyDescent="0.25">
      <c r="A57" s="508" t="s">
        <v>208</v>
      </c>
      <c r="B57" s="2" t="s">
        <v>209</v>
      </c>
      <c r="C57" s="2" t="s">
        <v>16</v>
      </c>
      <c r="D57" s="71">
        <v>2.6656646216769024</v>
      </c>
      <c r="E57" s="72">
        <v>5.3806464382512003</v>
      </c>
      <c r="F57" s="73">
        <f>IFERROR($D57/E57,"-")</f>
        <v>0.4954171682284495</v>
      </c>
      <c r="G57" t="s">
        <v>210</v>
      </c>
      <c r="H57"/>
      <c r="I57"/>
      <c r="J57"/>
      <c r="K57"/>
    </row>
    <row r="58" spans="1:28" x14ac:dyDescent="0.25">
      <c r="A58" s="509"/>
      <c r="B58" s="2" t="s">
        <v>209</v>
      </c>
      <c r="C58" s="2" t="s">
        <v>16</v>
      </c>
      <c r="D58" s="71">
        <v>2</v>
      </c>
      <c r="E58" s="72">
        <v>5.3806464382512003</v>
      </c>
      <c r="F58" s="73">
        <f>IFERROR($D58/E58,"-")</f>
        <v>0.37170254967543143</v>
      </c>
      <c r="G58" t="s">
        <v>211</v>
      </c>
      <c r="H58"/>
      <c r="I58"/>
      <c r="J58"/>
      <c r="K58"/>
    </row>
    <row r="59" spans="1:28" x14ac:dyDescent="0.25">
      <c r="A59" s="509"/>
      <c r="B59" s="2" t="s">
        <v>209</v>
      </c>
      <c r="C59" s="2" t="s">
        <v>15</v>
      </c>
      <c r="D59" s="71">
        <v>2</v>
      </c>
      <c r="E59" s="72">
        <v>5.107054122659048</v>
      </c>
      <c r="F59" s="73">
        <f>IFERROR($D59/E59,"-")</f>
        <v>0.39161519575960091</v>
      </c>
      <c r="G59" t="s">
        <v>211</v>
      </c>
      <c r="H59"/>
      <c r="I59"/>
      <c r="J59"/>
      <c r="K59"/>
    </row>
    <row r="60" spans="1:28" x14ac:dyDescent="0.25">
      <c r="A60" s="509"/>
      <c r="B60" s="2" t="s">
        <v>209</v>
      </c>
      <c r="C60" s="2" t="s">
        <v>16</v>
      </c>
      <c r="D60" s="74">
        <f>F$6</f>
        <v>0</v>
      </c>
      <c r="E60" s="75">
        <f>E$14</f>
        <v>0</v>
      </c>
      <c r="F60" s="73" t="str">
        <f>IFERROR($D60/E60,"-")</f>
        <v>-</v>
      </c>
      <c r="G60" t="s">
        <v>212</v>
      </c>
      <c r="H60"/>
      <c r="I60"/>
      <c r="J60"/>
      <c r="K60"/>
    </row>
    <row r="61" spans="1:28" x14ac:dyDescent="0.25">
      <c r="A61" s="509"/>
      <c r="B61" s="2" t="s">
        <v>209</v>
      </c>
      <c r="C61" s="2" t="s">
        <v>15</v>
      </c>
      <c r="D61" s="74">
        <f>F$6</f>
        <v>0</v>
      </c>
      <c r="E61" s="75" t="str">
        <f>E$15</f>
        <v>MultYrAvg</v>
      </c>
      <c r="F61" s="73" t="str">
        <f>IFERROR($D61/E61,"-")</f>
        <v>-</v>
      </c>
      <c r="G61" t="s">
        <v>212</v>
      </c>
      <c r="H61"/>
      <c r="I61"/>
      <c r="J61"/>
      <c r="K61" t="s">
        <v>216</v>
      </c>
    </row>
    <row r="62" spans="1:28" x14ac:dyDescent="0.25">
      <c r="A62" s="510"/>
      <c r="B62" s="15" t="s">
        <v>142</v>
      </c>
      <c r="C62" s="15" t="s">
        <v>213</v>
      </c>
      <c r="D62" s="76">
        <v>5.1000000000000005</v>
      </c>
      <c r="E62" s="77"/>
      <c r="F62" s="78">
        <v>0.28666666666666668</v>
      </c>
      <c r="G62" s="5" t="s">
        <v>210</v>
      </c>
      <c r="H62" s="5"/>
      <c r="I62" s="5"/>
      <c r="J62"/>
      <c r="K62" s="14">
        <f>D62/F62</f>
        <v>17.790697674418606</v>
      </c>
    </row>
    <row r="63" spans="1:28" x14ac:dyDescent="0.25">
      <c r="A63" s="508" t="s">
        <v>214</v>
      </c>
      <c r="B63" s="79" t="s">
        <v>209</v>
      </c>
      <c r="C63" s="79" t="s">
        <v>16</v>
      </c>
      <c r="D63" s="80">
        <v>2</v>
      </c>
      <c r="E63" s="81">
        <f>E$14</f>
        <v>0</v>
      </c>
      <c r="F63" s="82" t="str">
        <f>IFERROR($D63/E63,"-")</f>
        <v>-</v>
      </c>
      <c r="G63" s="83" t="s">
        <v>211</v>
      </c>
      <c r="H63" s="83"/>
      <c r="I63" s="83"/>
      <c r="J63"/>
      <c r="K63"/>
    </row>
    <row r="64" spans="1:28" x14ac:dyDescent="0.25">
      <c r="A64" s="509"/>
      <c r="B64" s="2" t="s">
        <v>209</v>
      </c>
      <c r="C64" s="2" t="s">
        <v>15</v>
      </c>
      <c r="D64" s="71">
        <v>2</v>
      </c>
      <c r="E64" s="75" t="str">
        <f>E$15</f>
        <v>MultYrAvg</v>
      </c>
      <c r="F64" s="73" t="str">
        <f>IFERROR($D64/E64,"-")</f>
        <v>-</v>
      </c>
      <c r="G64" t="s">
        <v>211</v>
      </c>
      <c r="H64"/>
      <c r="I64"/>
      <c r="J64"/>
      <c r="K64"/>
    </row>
    <row r="65" spans="1:11" x14ac:dyDescent="0.25">
      <c r="A65" s="509"/>
      <c r="B65" s="2" t="s">
        <v>209</v>
      </c>
      <c r="C65" s="2" t="s">
        <v>16</v>
      </c>
      <c r="D65" s="74">
        <f>F$6</f>
        <v>0</v>
      </c>
      <c r="E65" s="75">
        <f>E$14</f>
        <v>0</v>
      </c>
      <c r="F65" s="73" t="str">
        <f>IFERROR($D65/E65,"-")</f>
        <v>-</v>
      </c>
      <c r="G65" t="s">
        <v>212</v>
      </c>
      <c r="H65"/>
      <c r="I65"/>
      <c r="J65"/>
      <c r="K65"/>
    </row>
    <row r="66" spans="1:11" x14ac:dyDescent="0.25">
      <c r="A66" s="509"/>
      <c r="B66" s="2" t="s">
        <v>209</v>
      </c>
      <c r="C66" s="2" t="s">
        <v>15</v>
      </c>
      <c r="D66" s="74">
        <f>F$6</f>
        <v>0</v>
      </c>
      <c r="E66" s="75" t="str">
        <f>E$15</f>
        <v>MultYrAvg</v>
      </c>
      <c r="F66" s="73" t="str">
        <f>IFERROR($D66/E66,"-")</f>
        <v>-</v>
      </c>
      <c r="G66" t="s">
        <v>212</v>
      </c>
      <c r="H66"/>
      <c r="I66"/>
      <c r="J66"/>
      <c r="K66"/>
    </row>
    <row r="67" spans="1:11" x14ac:dyDescent="0.25">
      <c r="A67" s="510"/>
      <c r="B67" s="15" t="s">
        <v>142</v>
      </c>
      <c r="C67" s="15" t="s">
        <v>20</v>
      </c>
      <c r="D67" s="84">
        <f>F67/E67</f>
        <v>3.9626816860465115</v>
      </c>
      <c r="E67" s="77">
        <v>5.0470871961339904E-2</v>
      </c>
      <c r="F67" s="85">
        <v>0.2</v>
      </c>
      <c r="G67" s="5" t="s">
        <v>211</v>
      </c>
      <c r="H67" s="5"/>
      <c r="I67" s="5"/>
      <c r="J67"/>
      <c r="K67"/>
    </row>
    <row r="68" spans="1:11" x14ac:dyDescent="0.25">
      <c r="A68" s="508" t="s">
        <v>215</v>
      </c>
      <c r="B68" s="2" t="s">
        <v>209</v>
      </c>
      <c r="C68" s="2" t="s">
        <v>16</v>
      </c>
      <c r="D68" s="71">
        <v>2.5</v>
      </c>
      <c r="E68" s="75">
        <f>E58</f>
        <v>5.3806464382512003</v>
      </c>
      <c r="F68" s="73">
        <f>IFERROR($D68/E68,"-")</f>
        <v>0.46462818709428932</v>
      </c>
      <c r="G68" t="s">
        <v>211</v>
      </c>
      <c r="H68"/>
      <c r="I68"/>
      <c r="J68"/>
      <c r="K68"/>
    </row>
    <row r="69" spans="1:11" x14ac:dyDescent="0.25">
      <c r="A69" s="509"/>
      <c r="B69" s="2" t="s">
        <v>209</v>
      </c>
      <c r="C69" s="2" t="s">
        <v>15</v>
      </c>
      <c r="D69" s="71">
        <v>2.5</v>
      </c>
      <c r="E69" s="75">
        <f>E59</f>
        <v>5.107054122659048</v>
      </c>
      <c r="F69" s="73">
        <f>IFERROR($D69/E69,"-")</f>
        <v>0.48951899469950116</v>
      </c>
      <c r="G69" t="s">
        <v>211</v>
      </c>
      <c r="H69"/>
      <c r="I69"/>
      <c r="J69"/>
      <c r="K69"/>
    </row>
    <row r="70" spans="1:11" x14ac:dyDescent="0.25">
      <c r="A70" s="509"/>
      <c r="B70" s="2" t="s">
        <v>142</v>
      </c>
      <c r="C70" s="2" t="s">
        <v>20</v>
      </c>
      <c r="D70" s="86">
        <f>F70/E70</f>
        <v>6.3402906976744182</v>
      </c>
      <c r="E70" s="87">
        <v>5.0470871961339904E-2</v>
      </c>
      <c r="F70" s="88">
        <v>0.32</v>
      </c>
      <c r="G70" t="s">
        <v>212</v>
      </c>
      <c r="H70"/>
      <c r="I70"/>
      <c r="J70"/>
      <c r="K70"/>
    </row>
    <row r="71" spans="1:11" x14ac:dyDescent="0.25">
      <c r="A71" s="509"/>
      <c r="B71" s="2" t="s">
        <v>209</v>
      </c>
      <c r="C71" s="2" t="s">
        <v>16</v>
      </c>
      <c r="D71" s="74">
        <f>F$7</f>
        <v>0</v>
      </c>
      <c r="E71" s="75">
        <f>E63</f>
        <v>0</v>
      </c>
      <c r="F71" s="73" t="str">
        <f>IFERROR($D71/E71,"-")</f>
        <v>-</v>
      </c>
      <c r="G71" t="s">
        <v>212</v>
      </c>
      <c r="H71"/>
      <c r="I71"/>
      <c r="J71"/>
      <c r="K71"/>
    </row>
    <row r="72" spans="1:11" x14ac:dyDescent="0.25">
      <c r="A72" s="510"/>
      <c r="B72" s="15" t="s">
        <v>209</v>
      </c>
      <c r="C72" s="15" t="s">
        <v>15</v>
      </c>
      <c r="D72" s="76">
        <f>F$7</f>
        <v>0</v>
      </c>
      <c r="E72" s="89" t="str">
        <f>E64</f>
        <v>MultYrAvg</v>
      </c>
      <c r="F72" s="78" t="str">
        <f>IFERROR($D72/E72,"-")</f>
        <v>-</v>
      </c>
      <c r="G72" s="5" t="s">
        <v>211</v>
      </c>
      <c r="H72" s="5"/>
      <c r="I72" s="5"/>
      <c r="J72"/>
      <c r="K72"/>
    </row>
  </sheetData>
  <sheetProtection algorithmName="SHA-512" hashValue="siJaX2hUd4I9zcB7IxThmLeHGG+OR5ywoOeZGvBoK5M6b2LK6h+w3WkoUoVlmpC1XTk55VmiDyWiRor2jRc9wg==" saltValue="bSWP0tK0Y6J7jZmS97Habw==" spinCount="100000" sheet="1" objects="1" scenarios="1"/>
  <mergeCells count="17">
    <mergeCell ref="A68:A72"/>
    <mergeCell ref="J35:K35"/>
    <mergeCell ref="A46:H46"/>
    <mergeCell ref="A53:I53"/>
    <mergeCell ref="G56:I56"/>
    <mergeCell ref="A57:A62"/>
    <mergeCell ref="A63:A67"/>
    <mergeCell ref="H47:I47"/>
    <mergeCell ref="H48:I48"/>
    <mergeCell ref="AI29:AI33"/>
    <mergeCell ref="A1:B1"/>
    <mergeCell ref="A11:AF11"/>
    <mergeCell ref="V12:W12"/>
    <mergeCell ref="AB13:AF13"/>
    <mergeCell ref="AC14:AD14"/>
    <mergeCell ref="AE14:AF14"/>
    <mergeCell ref="F14:N14"/>
  </mergeCells>
  <printOptions headings="1" gridLines="1"/>
  <pageMargins left="0.25" right="0.25" top="0.75" bottom="0.75" header="0.3" footer="0.3"/>
  <pageSetup scale="45" fitToWidth="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3"/>
  <dimension ref="A1:N38"/>
  <sheetViews>
    <sheetView workbookViewId="0">
      <pane ySplit="6" topLeftCell="A7" activePane="bottomLeft" state="frozen"/>
      <selection activeCell="AG38" sqref="AG38"/>
      <selection pane="bottomLeft" activeCell="A7" sqref="A7"/>
    </sheetView>
  </sheetViews>
  <sheetFormatPr defaultRowHeight="15" x14ac:dyDescent="0.25"/>
  <cols>
    <col min="1" max="13" width="14.42578125" customWidth="1"/>
  </cols>
  <sheetData>
    <row r="1" spans="1:14" x14ac:dyDescent="0.25">
      <c r="A1" s="91" t="s">
        <v>1430</v>
      </c>
    </row>
    <row r="2" spans="1:14" x14ac:dyDescent="0.25">
      <c r="A2" s="468" t="s">
        <v>1581</v>
      </c>
    </row>
    <row r="3" spans="1:14" x14ac:dyDescent="0.25">
      <c r="A3" t="s">
        <v>1553</v>
      </c>
      <c r="D3" t="s">
        <v>1431</v>
      </c>
      <c r="E3" s="49">
        <v>138500</v>
      </c>
      <c r="F3" t="s">
        <v>51</v>
      </c>
      <c r="G3" s="35" t="s">
        <v>1432</v>
      </c>
    </row>
    <row r="4" spans="1:14" x14ac:dyDescent="0.25">
      <c r="A4" t="s">
        <v>1436</v>
      </c>
      <c r="D4" t="s">
        <v>1431</v>
      </c>
      <c r="E4" s="49">
        <f>G4*10^6/M4</f>
        <v>137452.38095238095</v>
      </c>
      <c r="F4" t="s">
        <v>51</v>
      </c>
      <c r="G4" s="309">
        <v>5.7729999999999997</v>
      </c>
      <c r="H4" t="s">
        <v>1433</v>
      </c>
      <c r="I4" s="90" t="s">
        <v>1434</v>
      </c>
      <c r="M4">
        <v>42</v>
      </c>
      <c r="N4" t="s">
        <v>1435</v>
      </c>
    </row>
    <row r="5" spans="1:14" x14ac:dyDescent="0.25">
      <c r="A5" t="s">
        <v>1582</v>
      </c>
    </row>
    <row r="6" spans="1:14" s="405" customFormat="1" ht="32.1" customHeight="1" x14ac:dyDescent="0.25">
      <c r="A6" s="411" t="s">
        <v>9</v>
      </c>
      <c r="B6" s="16" t="s">
        <v>1583</v>
      </c>
      <c r="C6" s="16" t="s">
        <v>1584</v>
      </c>
      <c r="D6" s="16" t="s">
        <v>1585</v>
      </c>
      <c r="E6" s="412" t="s">
        <v>1586</v>
      </c>
      <c r="F6" s="412" t="s">
        <v>1587</v>
      </c>
      <c r="G6" s="412" t="s">
        <v>1588</v>
      </c>
      <c r="H6" s="16" t="s">
        <v>1437</v>
      </c>
      <c r="I6" s="16" t="s">
        <v>1438</v>
      </c>
      <c r="J6" s="16" t="s">
        <v>1439</v>
      </c>
      <c r="K6" s="454" t="s">
        <v>1440</v>
      </c>
      <c r="L6" s="454" t="s">
        <v>1441</v>
      </c>
      <c r="M6" s="454" t="s">
        <v>1442</v>
      </c>
    </row>
    <row r="7" spans="1:14" x14ac:dyDescent="0.25">
      <c r="A7" s="17">
        <v>2019</v>
      </c>
      <c r="B7">
        <v>21.861912</v>
      </c>
      <c r="C7">
        <v>21.861912</v>
      </c>
      <c r="D7">
        <v>21.861912</v>
      </c>
      <c r="E7" s="414">
        <f t="shared" ref="E7:G38" si="0">B7*$E$4/10^6</f>
        <v>3.0049718565714283</v>
      </c>
      <c r="F7" s="413">
        <f t="shared" si="0"/>
        <v>3.0049718565714283</v>
      </c>
      <c r="G7" s="413">
        <f t="shared" si="0"/>
        <v>3.0049718565714283</v>
      </c>
      <c r="H7" s="291"/>
      <c r="I7" s="298"/>
      <c r="J7" s="298"/>
      <c r="K7" s="127">
        <f>Lookup!AG35</f>
        <v>2.8962410171960888</v>
      </c>
      <c r="L7" s="415">
        <f>$K7</f>
        <v>2.8962410171960888</v>
      </c>
      <c r="M7" s="415">
        <f>$K7</f>
        <v>2.8962410171960888</v>
      </c>
    </row>
    <row r="8" spans="1:14" x14ac:dyDescent="0.25">
      <c r="A8" s="17">
        <v>2020</v>
      </c>
      <c r="B8">
        <v>21.213757999999999</v>
      </c>
      <c r="C8">
        <v>25.816599</v>
      </c>
      <c r="D8">
        <v>16.627863000000001</v>
      </c>
      <c r="E8" s="413">
        <f t="shared" si="0"/>
        <v>2.9158815460476184</v>
      </c>
      <c r="F8" s="413">
        <f t="shared" si="0"/>
        <v>3.5485530006428569</v>
      </c>
      <c r="G8" s="413">
        <f t="shared" si="0"/>
        <v>2.2855393595000004</v>
      </c>
      <c r="H8" s="291">
        <f t="shared" ref="H8:J23" si="1">(B8-B7)/B7</f>
        <v>-2.9647635577345736E-2</v>
      </c>
      <c r="I8" s="298">
        <f t="shared" si="1"/>
        <v>0.18089392181251118</v>
      </c>
      <c r="J8" s="298">
        <f t="shared" si="1"/>
        <v>-0.23941405490974435</v>
      </c>
      <c r="K8" s="415">
        <f t="shared" ref="K8:M23" si="2">K7+(K7*H8)</f>
        <v>2.8103743189740982</v>
      </c>
      <c r="L8" s="415">
        <f t="shared" si="2"/>
        <v>3.4201534133109459</v>
      </c>
      <c r="M8" s="415">
        <f t="shared" si="2"/>
        <v>2.2028402112732506</v>
      </c>
    </row>
    <row r="9" spans="1:14" x14ac:dyDescent="0.25">
      <c r="A9" s="17">
        <v>2021</v>
      </c>
      <c r="B9">
        <v>21.590672999999999</v>
      </c>
      <c r="C9">
        <v>27.248647999999999</v>
      </c>
      <c r="D9">
        <v>16.217941</v>
      </c>
      <c r="E9" s="413">
        <f t="shared" si="0"/>
        <v>2.9676894102142852</v>
      </c>
      <c r="F9" s="413">
        <f t="shared" si="0"/>
        <v>3.7453915453333333</v>
      </c>
      <c r="G9" s="413">
        <f t="shared" si="0"/>
        <v>2.229194604595238</v>
      </c>
      <c r="H9" s="291">
        <f t="shared" si="1"/>
        <v>1.7767479010555337E-2</v>
      </c>
      <c r="I9" s="298">
        <f t="shared" si="1"/>
        <v>5.5470087287639989E-2</v>
      </c>
      <c r="J9" s="298">
        <f t="shared" si="1"/>
        <v>-2.4652716948654296E-2</v>
      </c>
      <c r="K9" s="415">
        <f t="shared" si="2"/>
        <v>2.860307585698274</v>
      </c>
      <c r="L9" s="415">
        <f t="shared" si="2"/>
        <v>3.6098696216844237</v>
      </c>
      <c r="M9" s="415">
        <f t="shared" si="2"/>
        <v>2.1485342150616171</v>
      </c>
    </row>
    <row r="10" spans="1:14" x14ac:dyDescent="0.25">
      <c r="A10" s="17">
        <v>2022</v>
      </c>
      <c r="B10">
        <v>22.077164</v>
      </c>
      <c r="C10">
        <v>29.151052</v>
      </c>
      <c r="D10">
        <v>16.748528</v>
      </c>
      <c r="E10" s="413">
        <f t="shared" si="0"/>
        <v>3.0345587564761902</v>
      </c>
      <c r="F10" s="413">
        <f t="shared" si="0"/>
        <v>4.0068815046666666</v>
      </c>
      <c r="G10" s="413">
        <f t="shared" si="0"/>
        <v>2.3021250510476188</v>
      </c>
      <c r="H10" s="291">
        <f t="shared" si="1"/>
        <v>2.2532461123374935E-2</v>
      </c>
      <c r="I10" s="298">
        <f t="shared" si="1"/>
        <v>6.9816454746672224E-2</v>
      </c>
      <c r="J10" s="298">
        <f t="shared" si="1"/>
        <v>3.2716051932856371E-2</v>
      </c>
      <c r="K10" s="415">
        <f t="shared" si="2"/>
        <v>2.9247573551739148</v>
      </c>
      <c r="L10" s="415">
        <f t="shared" si="2"/>
        <v>3.8618979207681412</v>
      </c>
      <c r="M10" s="415">
        <f t="shared" si="2"/>
        <v>2.2188257720210918</v>
      </c>
    </row>
    <row r="11" spans="1:14" x14ac:dyDescent="0.25">
      <c r="A11" s="17">
        <v>2023</v>
      </c>
      <c r="B11">
        <v>22.475270999999999</v>
      </c>
      <c r="C11">
        <v>31.731076999999999</v>
      </c>
      <c r="D11">
        <v>17.141881999999999</v>
      </c>
      <c r="E11" s="413">
        <f t="shared" si="0"/>
        <v>3.0892795114999996</v>
      </c>
      <c r="F11" s="413">
        <f t="shared" si="0"/>
        <v>4.3615120838333334</v>
      </c>
      <c r="G11" s="413">
        <f t="shared" si="0"/>
        <v>2.3561924949047617</v>
      </c>
      <c r="H11" s="291">
        <f t="shared" si="1"/>
        <v>1.8032524467363632E-2</v>
      </c>
      <c r="I11" s="298">
        <f t="shared" si="1"/>
        <v>8.8505382241436739E-2</v>
      </c>
      <c r="J11" s="298">
        <f t="shared" si="1"/>
        <v>2.3485884849104272E-2</v>
      </c>
      <c r="K11" s="415">
        <f t="shared" si="2"/>
        <v>2.9774981137421901</v>
      </c>
      <c r="L11" s="415">
        <f t="shared" si="2"/>
        <v>4.2036966724231357</v>
      </c>
      <c r="M11" s="415">
        <f t="shared" si="2"/>
        <v>2.2709368586030041</v>
      </c>
    </row>
    <row r="12" spans="1:14" x14ac:dyDescent="0.25">
      <c r="A12" s="17">
        <v>2024</v>
      </c>
      <c r="B12">
        <v>23.098407999999999</v>
      </c>
      <c r="C12">
        <v>33.222290000000001</v>
      </c>
      <c r="D12">
        <v>17.509226000000002</v>
      </c>
      <c r="E12" s="413">
        <f t="shared" si="0"/>
        <v>3.1749311758095238</v>
      </c>
      <c r="F12" s="413">
        <f t="shared" si="0"/>
        <v>4.5664828611904769</v>
      </c>
      <c r="G12" s="413">
        <f t="shared" si="0"/>
        <v>2.4066848023333334</v>
      </c>
      <c r="H12" s="291">
        <f t="shared" si="1"/>
        <v>2.7725449895576335E-2</v>
      </c>
      <c r="I12" s="298">
        <f t="shared" si="1"/>
        <v>4.6995347809971971E-2</v>
      </c>
      <c r="J12" s="298">
        <f t="shared" si="1"/>
        <v>2.1429618988160273E-2</v>
      </c>
      <c r="K12" s="415">
        <f t="shared" si="2"/>
        <v>3.0600505885089224</v>
      </c>
      <c r="L12" s="415">
        <f t="shared" si="2"/>
        <v>4.4012508596312827</v>
      </c>
      <c r="M12" s="415">
        <f t="shared" si="2"/>
        <v>2.3196021702290359</v>
      </c>
    </row>
    <row r="13" spans="1:14" x14ac:dyDescent="0.25">
      <c r="A13" s="17">
        <v>2025</v>
      </c>
      <c r="B13">
        <v>23.445221</v>
      </c>
      <c r="C13">
        <v>34.169533000000001</v>
      </c>
      <c r="D13">
        <v>17.851765</v>
      </c>
      <c r="E13" s="413">
        <f t="shared" si="0"/>
        <v>3.2226014484047618</v>
      </c>
      <c r="F13" s="413">
        <f t="shared" si="0"/>
        <v>4.6966836668809524</v>
      </c>
      <c r="G13" s="413">
        <f t="shared" si="0"/>
        <v>2.4537676034523805</v>
      </c>
      <c r="H13" s="291">
        <f t="shared" si="1"/>
        <v>1.5014584554918284E-2</v>
      </c>
      <c r="I13" s="298">
        <f t="shared" si="1"/>
        <v>2.85122729348278E-2</v>
      </c>
      <c r="J13" s="298">
        <f t="shared" si="1"/>
        <v>1.9563343348243868E-2</v>
      </c>
      <c r="K13" s="415">
        <f t="shared" si="2"/>
        <v>3.1059959768124172</v>
      </c>
      <c r="L13" s="415">
        <f t="shared" si="2"/>
        <v>4.5267405253957351</v>
      </c>
      <c r="M13" s="415">
        <f t="shared" si="2"/>
        <v>2.3649813439165581</v>
      </c>
    </row>
    <row r="14" spans="1:14" x14ac:dyDescent="0.25">
      <c r="A14" s="17">
        <v>2026</v>
      </c>
      <c r="B14">
        <v>23.841975999999999</v>
      </c>
      <c r="C14">
        <v>34.756656999999997</v>
      </c>
      <c r="D14">
        <v>17.949348000000001</v>
      </c>
      <c r="E14" s="413">
        <f t="shared" si="0"/>
        <v>3.2771363678095233</v>
      </c>
      <c r="F14" s="413">
        <f t="shared" si="0"/>
        <v>4.7773852585952374</v>
      </c>
      <c r="G14" s="413">
        <f t="shared" si="0"/>
        <v>2.4671806191428569</v>
      </c>
      <c r="H14" s="291">
        <f t="shared" si="1"/>
        <v>1.6922638519807465E-2</v>
      </c>
      <c r="I14" s="298">
        <f t="shared" si="1"/>
        <v>1.7182675572416976E-2</v>
      </c>
      <c r="J14" s="298">
        <f t="shared" si="1"/>
        <v>5.4662942291700675E-3</v>
      </c>
      <c r="K14" s="415">
        <f t="shared" si="2"/>
        <v>3.1585576239719901</v>
      </c>
      <c r="L14" s="415">
        <f t="shared" si="2"/>
        <v>4.6045220392441228</v>
      </c>
      <c r="M14" s="415">
        <f t="shared" si="2"/>
        <v>2.3779090277889039</v>
      </c>
    </row>
    <row r="15" spans="1:14" x14ac:dyDescent="0.25">
      <c r="A15" s="17">
        <v>2027</v>
      </c>
      <c r="B15">
        <v>23.870289</v>
      </c>
      <c r="C15">
        <v>34.797817000000002</v>
      </c>
      <c r="D15">
        <v>18.055471000000001</v>
      </c>
      <c r="E15" s="413">
        <f t="shared" si="0"/>
        <v>3.2810280570714281</v>
      </c>
      <c r="F15" s="413">
        <f t="shared" si="0"/>
        <v>4.7830427985952388</v>
      </c>
      <c r="G15" s="413">
        <f t="shared" si="0"/>
        <v>2.4817674781666668</v>
      </c>
      <c r="H15" s="291">
        <f t="shared" si="1"/>
        <v>1.1875274096409081E-3</v>
      </c>
      <c r="I15" s="298">
        <f t="shared" si="1"/>
        <v>1.1842335699893396E-3</v>
      </c>
      <c r="J15" s="298">
        <f t="shared" si="1"/>
        <v>5.912359602142662E-3</v>
      </c>
      <c r="K15" s="415">
        <f t="shared" si="2"/>
        <v>3.162308497725387</v>
      </c>
      <c r="L15" s="415">
        <f t="shared" si="2"/>
        <v>4.6099748688167512</v>
      </c>
      <c r="M15" s="415">
        <f t="shared" si="2"/>
        <v>2.3919680810623731</v>
      </c>
    </row>
    <row r="16" spans="1:14" x14ac:dyDescent="0.25">
      <c r="A16" s="17">
        <v>2028</v>
      </c>
      <c r="B16">
        <v>24.262756</v>
      </c>
      <c r="C16">
        <v>35.218128</v>
      </c>
      <c r="D16">
        <v>18.022371</v>
      </c>
      <c r="E16" s="413">
        <f t="shared" si="0"/>
        <v>3.3349735806666665</v>
      </c>
      <c r="F16" s="413">
        <f t="shared" si="0"/>
        <v>4.8408155462857136</v>
      </c>
      <c r="G16" s="413">
        <f t="shared" si="0"/>
        <v>2.4772178043571427</v>
      </c>
      <c r="H16" s="291">
        <f t="shared" si="1"/>
        <v>1.6441652633531163E-2</v>
      </c>
      <c r="I16" s="298">
        <f t="shared" si="1"/>
        <v>1.2078659991803454E-2</v>
      </c>
      <c r="J16" s="298">
        <f t="shared" si="1"/>
        <v>-1.8332393544317406E-3</v>
      </c>
      <c r="K16" s="415">
        <f t="shared" si="2"/>
        <v>3.2143020755650515</v>
      </c>
      <c r="L16" s="415">
        <f t="shared" si="2"/>
        <v>4.6656571878279474</v>
      </c>
      <c r="M16" s="415">
        <f t="shared" si="2"/>
        <v>2.3875830310416251</v>
      </c>
    </row>
    <row r="17" spans="1:13" x14ac:dyDescent="0.25">
      <c r="A17" s="17">
        <v>2029</v>
      </c>
      <c r="B17">
        <v>24.458172000000001</v>
      </c>
      <c r="C17">
        <v>36.510230999999997</v>
      </c>
      <c r="D17">
        <v>18.061610999999999</v>
      </c>
      <c r="E17" s="413">
        <f t="shared" si="0"/>
        <v>3.361833975142857</v>
      </c>
      <c r="F17" s="413">
        <f t="shared" si="0"/>
        <v>5.0184181800714285</v>
      </c>
      <c r="G17" s="413">
        <f t="shared" si="0"/>
        <v>2.4826114357857141</v>
      </c>
      <c r="H17" s="291">
        <f t="shared" si="1"/>
        <v>8.0541551009292427E-3</v>
      </c>
      <c r="I17" s="298">
        <f t="shared" si="1"/>
        <v>3.6688576973767525E-2</v>
      </c>
      <c r="J17" s="298">
        <f t="shared" si="1"/>
        <v>2.1772939864571372E-3</v>
      </c>
      <c r="K17" s="415">
        <f t="shared" si="2"/>
        <v>3.2401905630228911</v>
      </c>
      <c r="L17" s="415">
        <f t="shared" si="2"/>
        <v>4.8368335106967848</v>
      </c>
      <c r="M17" s="415">
        <f t="shared" si="2"/>
        <v>2.3927815012172791</v>
      </c>
    </row>
    <row r="18" spans="1:13" x14ac:dyDescent="0.25">
      <c r="A18" s="17">
        <v>2030</v>
      </c>
      <c r="B18">
        <v>24.726711000000002</v>
      </c>
      <c r="C18">
        <v>36.790084999999998</v>
      </c>
      <c r="D18">
        <v>18.294788</v>
      </c>
      <c r="E18" s="413">
        <f t="shared" si="0"/>
        <v>3.3987453000714285</v>
      </c>
      <c r="F18" s="413">
        <f t="shared" si="0"/>
        <v>5.0568847786904758</v>
      </c>
      <c r="G18" s="413">
        <f t="shared" si="0"/>
        <v>2.5146621696190476</v>
      </c>
      <c r="H18" s="291">
        <f t="shared" si="1"/>
        <v>1.0979520464571126E-2</v>
      </c>
      <c r="I18" s="298">
        <f t="shared" si="1"/>
        <v>7.6650843430708581E-3</v>
      </c>
      <c r="J18" s="298">
        <f t="shared" si="1"/>
        <v>1.2910088695853394E-2</v>
      </c>
      <c r="K18" s="415">
        <f t="shared" si="2"/>
        <v>3.2757663016187113</v>
      </c>
      <c r="L18" s="415">
        <f t="shared" si="2"/>
        <v>4.8739082475096671</v>
      </c>
      <c r="M18" s="415">
        <f t="shared" si="2"/>
        <v>2.4236725226277915</v>
      </c>
    </row>
    <row r="19" spans="1:13" x14ac:dyDescent="0.25">
      <c r="A19" s="17">
        <v>2031</v>
      </c>
      <c r="B19">
        <v>25.027954000000001</v>
      </c>
      <c r="C19">
        <v>37.362189999999998</v>
      </c>
      <c r="D19">
        <v>18.320150000000002</v>
      </c>
      <c r="E19" s="413">
        <f t="shared" si="0"/>
        <v>3.4401518676666667</v>
      </c>
      <c r="F19" s="413">
        <f t="shared" si="0"/>
        <v>5.1355219730952371</v>
      </c>
      <c r="G19" s="413">
        <f t="shared" si="0"/>
        <v>2.5181482369047621</v>
      </c>
      <c r="H19" s="291">
        <f t="shared" si="1"/>
        <v>1.2182898081350143E-2</v>
      </c>
      <c r="I19" s="298">
        <f t="shared" si="1"/>
        <v>1.5550521288548275E-2</v>
      </c>
      <c r="J19" s="298">
        <f t="shared" si="1"/>
        <v>1.3862964686992391E-3</v>
      </c>
      <c r="K19" s="415">
        <f t="shared" si="2"/>
        <v>3.3156746286096532</v>
      </c>
      <c r="L19" s="415">
        <f t="shared" si="2"/>
        <v>4.9497000614709972</v>
      </c>
      <c r="M19" s="415">
        <f t="shared" si="2"/>
        <v>2.4270324512871939</v>
      </c>
    </row>
    <row r="20" spans="1:13" x14ac:dyDescent="0.25">
      <c r="A20" s="17">
        <v>2032</v>
      </c>
      <c r="B20">
        <v>25.19171</v>
      </c>
      <c r="C20">
        <v>38.514217000000002</v>
      </c>
      <c r="D20">
        <v>18.414963</v>
      </c>
      <c r="E20" s="413">
        <f t="shared" si="0"/>
        <v>3.4626605197619047</v>
      </c>
      <c r="F20" s="413">
        <f t="shared" si="0"/>
        <v>5.2938708271666668</v>
      </c>
      <c r="G20" s="413">
        <f t="shared" si="0"/>
        <v>2.5311805094999995</v>
      </c>
      <c r="H20" s="291">
        <f t="shared" si="1"/>
        <v>6.5429239641402303E-3</v>
      </c>
      <c r="I20" s="298">
        <f t="shared" si="1"/>
        <v>3.0834033015730716E-2</v>
      </c>
      <c r="J20" s="298">
        <f t="shared" si="1"/>
        <v>5.1753397215633318E-3</v>
      </c>
      <c r="K20" s="415">
        <f t="shared" si="2"/>
        <v>3.3373688355944751</v>
      </c>
      <c r="L20" s="415">
        <f t="shared" si="2"/>
        <v>5.1023192765843586</v>
      </c>
      <c r="M20" s="415">
        <f t="shared" si="2"/>
        <v>2.4395931687378636</v>
      </c>
    </row>
    <row r="21" spans="1:13" x14ac:dyDescent="0.25">
      <c r="A21" s="17">
        <v>2033</v>
      </c>
      <c r="B21">
        <v>25.604320999999999</v>
      </c>
      <c r="C21">
        <v>38.666339999999998</v>
      </c>
      <c r="D21">
        <v>18.507895000000001</v>
      </c>
      <c r="E21" s="413">
        <f t="shared" si="0"/>
        <v>3.5193748841190473</v>
      </c>
      <c r="F21" s="413">
        <f t="shared" si="0"/>
        <v>5.3147804957142855</v>
      </c>
      <c r="G21" s="413">
        <f t="shared" si="0"/>
        <v>2.5439542341666668</v>
      </c>
      <c r="H21" s="291">
        <f t="shared" si="1"/>
        <v>1.6378840499513461E-2</v>
      </c>
      <c r="I21" s="298">
        <f t="shared" si="1"/>
        <v>3.9497882041843405E-3</v>
      </c>
      <c r="J21" s="298">
        <f t="shared" si="1"/>
        <v>5.0465482879330859E-3</v>
      </c>
      <c r="K21" s="415">
        <f t="shared" si="2"/>
        <v>3.3920310674407239</v>
      </c>
      <c r="L21" s="415">
        <f t="shared" si="2"/>
        <v>5.1224723570769939</v>
      </c>
      <c r="M21" s="415">
        <f t="shared" si="2"/>
        <v>2.4519046934668109</v>
      </c>
    </row>
    <row r="22" spans="1:13" x14ac:dyDescent="0.25">
      <c r="A22" s="17">
        <v>2034</v>
      </c>
      <c r="B22">
        <v>25.827660000000002</v>
      </c>
      <c r="C22">
        <v>38.799568000000001</v>
      </c>
      <c r="D22">
        <v>18.552076</v>
      </c>
      <c r="E22" s="413">
        <f t="shared" si="0"/>
        <v>3.5500733614285713</v>
      </c>
      <c r="F22" s="413">
        <f t="shared" si="0"/>
        <v>5.3330930015238094</v>
      </c>
      <c r="G22" s="413">
        <f t="shared" si="0"/>
        <v>2.5500270178095237</v>
      </c>
      <c r="H22" s="291">
        <f t="shared" si="1"/>
        <v>8.7227073898973086E-3</v>
      </c>
      <c r="I22" s="298">
        <f t="shared" si="1"/>
        <v>3.4455808333553827E-3</v>
      </c>
      <c r="J22" s="298">
        <f t="shared" si="1"/>
        <v>2.3871434325728694E-3</v>
      </c>
      <c r="K22" s="415">
        <f t="shared" si="2"/>
        <v>3.4216187618994502</v>
      </c>
      <c r="L22" s="415">
        <f t="shared" si="2"/>
        <v>5.1401222496499308</v>
      </c>
      <c r="M22" s="415">
        <f t="shared" si="2"/>
        <v>2.4577577416531149</v>
      </c>
    </row>
    <row r="23" spans="1:13" x14ac:dyDescent="0.25">
      <c r="A23" s="17">
        <v>2035</v>
      </c>
      <c r="B23">
        <v>26.060524000000001</v>
      </c>
      <c r="C23">
        <v>39.136130999999999</v>
      </c>
      <c r="D23">
        <v>18.645575999999998</v>
      </c>
      <c r="E23" s="413">
        <f t="shared" si="0"/>
        <v>3.5820810726666665</v>
      </c>
      <c r="F23" s="413">
        <f t="shared" si="0"/>
        <v>5.3793543872142857</v>
      </c>
      <c r="G23" s="413">
        <f t="shared" si="0"/>
        <v>2.5628788154285713</v>
      </c>
      <c r="H23" s="291">
        <f t="shared" si="1"/>
        <v>9.0160703679698154E-3</v>
      </c>
      <c r="I23" s="298">
        <f t="shared" si="1"/>
        <v>8.6744007046675922E-3</v>
      </c>
      <c r="J23" s="298">
        <f t="shared" si="1"/>
        <v>5.0398672364213477E-3</v>
      </c>
      <c r="K23" s="415">
        <f t="shared" si="2"/>
        <v>3.4524683174291013</v>
      </c>
      <c r="L23" s="415">
        <f t="shared" si="2"/>
        <v>5.1847097297143714</v>
      </c>
      <c r="M23" s="415">
        <f t="shared" si="2"/>
        <v>2.4701445143703333</v>
      </c>
    </row>
    <row r="24" spans="1:13" x14ac:dyDescent="0.25">
      <c r="A24" s="17">
        <v>2036</v>
      </c>
      <c r="B24">
        <v>26.341099</v>
      </c>
      <c r="C24">
        <v>39.586638999999998</v>
      </c>
      <c r="D24">
        <v>18.662631999999999</v>
      </c>
      <c r="E24" s="413">
        <f t="shared" si="0"/>
        <v>3.6206467744523807</v>
      </c>
      <c r="F24" s="413">
        <f t="shared" si="0"/>
        <v>5.4412777844523808</v>
      </c>
      <c r="G24" s="413">
        <f t="shared" si="0"/>
        <v>2.5652232032380953</v>
      </c>
      <c r="H24" s="291">
        <f t="shared" ref="H24:J38" si="3">(B24-B23)/B23</f>
        <v>1.0766283901275313E-2</v>
      </c>
      <c r="I24" s="298">
        <f t="shared" si="3"/>
        <v>1.1511306521331893E-2</v>
      </c>
      <c r="J24" s="298">
        <f t="shared" si="3"/>
        <v>9.1474782007271768E-4</v>
      </c>
      <c r="K24" s="415">
        <f t="shared" ref="K24:M38" si="4">K23+(K23*H24)</f>
        <v>3.4896385714947011</v>
      </c>
      <c r="L24" s="415">
        <f t="shared" si="4"/>
        <v>5.244392512637245</v>
      </c>
      <c r="M24" s="415">
        <f t="shared" si="4"/>
        <v>2.4724040736801181</v>
      </c>
    </row>
    <row r="25" spans="1:13" x14ac:dyDescent="0.25">
      <c r="A25" s="17">
        <v>2037</v>
      </c>
      <c r="B25">
        <v>26.460857000000001</v>
      </c>
      <c r="C25">
        <v>39.901179999999997</v>
      </c>
      <c r="D25">
        <v>18.785288000000001</v>
      </c>
      <c r="E25" s="413">
        <f t="shared" si="0"/>
        <v>3.6371077966904761</v>
      </c>
      <c r="F25" s="413">
        <f t="shared" si="0"/>
        <v>5.4845121938095236</v>
      </c>
      <c r="G25" s="413">
        <f t="shared" si="0"/>
        <v>2.5820825624761907</v>
      </c>
      <c r="H25" s="291">
        <f t="shared" si="3"/>
        <v>4.5464314150294536E-3</v>
      </c>
      <c r="I25" s="298">
        <f t="shared" si="3"/>
        <v>7.9456353948108207E-3</v>
      </c>
      <c r="J25" s="298">
        <f t="shared" si="3"/>
        <v>6.572277693735952E-3</v>
      </c>
      <c r="K25" s="415">
        <f t="shared" si="4"/>
        <v>3.505503973923243</v>
      </c>
      <c r="L25" s="415">
        <f t="shared" si="4"/>
        <v>5.286062543409936</v>
      </c>
      <c r="M25" s="415">
        <f t="shared" si="4"/>
        <v>2.4886533998234679</v>
      </c>
    </row>
    <row r="26" spans="1:13" x14ac:dyDescent="0.25">
      <c r="A26" s="17">
        <v>2038</v>
      </c>
      <c r="B26">
        <v>26.696634</v>
      </c>
      <c r="C26">
        <v>40.262993000000002</v>
      </c>
      <c r="D26">
        <v>18.745228000000001</v>
      </c>
      <c r="E26" s="413">
        <f t="shared" si="0"/>
        <v>3.6695159067142855</v>
      </c>
      <c r="F26" s="413">
        <f t="shared" si="0"/>
        <v>5.5342442521190476</v>
      </c>
      <c r="G26" s="413">
        <f t="shared" si="0"/>
        <v>2.5765762200952382</v>
      </c>
      <c r="H26" s="291">
        <f t="shared" si="3"/>
        <v>8.9104067944586526E-3</v>
      </c>
      <c r="I26" s="298">
        <f t="shared" si="3"/>
        <v>9.0677268191067303E-3</v>
      </c>
      <c r="J26" s="298">
        <f t="shared" si="3"/>
        <v>-2.1325198740631724E-3</v>
      </c>
      <c r="K26" s="415">
        <f t="shared" si="4"/>
        <v>3.5367394403504906</v>
      </c>
      <c r="L26" s="415">
        <f t="shared" si="4"/>
        <v>5.3339951145022901</v>
      </c>
      <c r="M26" s="415">
        <f t="shared" si="4"/>
        <v>2.4833462969886893</v>
      </c>
    </row>
    <row r="27" spans="1:13" x14ac:dyDescent="0.25">
      <c r="A27" s="17">
        <v>2039</v>
      </c>
      <c r="B27">
        <v>26.944527000000001</v>
      </c>
      <c r="C27">
        <v>40.613444999999999</v>
      </c>
      <c r="D27">
        <v>18.838063999999999</v>
      </c>
      <c r="E27" s="413">
        <f t="shared" si="0"/>
        <v>3.7035893897857144</v>
      </c>
      <c r="F27" s="413">
        <f t="shared" si="0"/>
        <v>5.5824147139285714</v>
      </c>
      <c r="G27" s="413">
        <f t="shared" si="0"/>
        <v>2.589336749333333</v>
      </c>
      <c r="H27" s="291">
        <f t="shared" si="3"/>
        <v>9.2855526280954098E-3</v>
      </c>
      <c r="I27" s="298">
        <f t="shared" si="3"/>
        <v>8.7040722481807817E-3</v>
      </c>
      <c r="J27" s="298">
        <f t="shared" si="3"/>
        <v>4.9525137811072964E-3</v>
      </c>
      <c r="K27" s="415">
        <f t="shared" si="4"/>
        <v>3.5695800205557258</v>
      </c>
      <c r="L27" s="415">
        <f t="shared" si="4"/>
        <v>5.3804225933503611</v>
      </c>
      <c r="M27" s="415">
        <f t="shared" si="4"/>
        <v>2.4956451037477874</v>
      </c>
    </row>
    <row r="28" spans="1:13" x14ac:dyDescent="0.25">
      <c r="A28" s="17">
        <v>2040</v>
      </c>
      <c r="B28">
        <v>27.020529</v>
      </c>
      <c r="C28">
        <v>41.007984</v>
      </c>
      <c r="D28">
        <v>18.914065999999998</v>
      </c>
      <c r="E28" s="413">
        <f t="shared" si="0"/>
        <v>3.7140360456428572</v>
      </c>
      <c r="F28" s="413">
        <f t="shared" si="0"/>
        <v>5.6366450388571421</v>
      </c>
      <c r="G28" s="413">
        <f t="shared" si="0"/>
        <v>2.5997834051904758</v>
      </c>
      <c r="H28" s="291">
        <f t="shared" si="3"/>
        <v>2.8206841411615433E-3</v>
      </c>
      <c r="I28" s="298">
        <f t="shared" si="3"/>
        <v>9.7144923312957512E-3</v>
      </c>
      <c r="J28" s="298">
        <f t="shared" si="3"/>
        <v>4.0344910177605841E-3</v>
      </c>
      <c r="K28" s="415">
        <f t="shared" si="4"/>
        <v>3.5796486783103143</v>
      </c>
      <c r="L28" s="415">
        <f t="shared" si="4"/>
        <v>5.4326906673725937</v>
      </c>
      <c r="M28" s="415">
        <f t="shared" si="4"/>
        <v>2.5057137615023759</v>
      </c>
    </row>
    <row r="29" spans="1:13" x14ac:dyDescent="0.25">
      <c r="A29" s="17">
        <v>2041</v>
      </c>
      <c r="B29">
        <v>27.225944999999999</v>
      </c>
      <c r="C29">
        <v>41.313071999999998</v>
      </c>
      <c r="D29">
        <v>18.935400000000001</v>
      </c>
      <c r="E29" s="413">
        <f t="shared" si="0"/>
        <v>3.7422709639285712</v>
      </c>
      <c r="F29" s="413">
        <f t="shared" si="0"/>
        <v>5.6785801108571423</v>
      </c>
      <c r="G29" s="413">
        <f t="shared" si="0"/>
        <v>2.6027158142857143</v>
      </c>
      <c r="H29" s="291">
        <f t="shared" si="3"/>
        <v>7.6022197788947659E-3</v>
      </c>
      <c r="I29" s="298">
        <f t="shared" si="3"/>
        <v>7.4397219819437553E-3</v>
      </c>
      <c r="J29" s="298">
        <f t="shared" si="3"/>
        <v>1.127943616142773E-3</v>
      </c>
      <c r="K29" s="415">
        <f t="shared" si="4"/>
        <v>3.6068619542940596</v>
      </c>
      <c r="L29" s="415">
        <f t="shared" si="4"/>
        <v>5.473108375551746</v>
      </c>
      <c r="M29" s="415">
        <f t="shared" si="4"/>
        <v>2.5085400653435435</v>
      </c>
    </row>
    <row r="30" spans="1:13" x14ac:dyDescent="0.25">
      <c r="A30" s="17">
        <v>2042</v>
      </c>
      <c r="B30">
        <v>27.619002999999999</v>
      </c>
      <c r="C30">
        <v>41.545929000000001</v>
      </c>
      <c r="D30">
        <v>18.977591</v>
      </c>
      <c r="E30" s="413">
        <f t="shared" si="0"/>
        <v>3.7962977218809524</v>
      </c>
      <c r="F30" s="413">
        <f t="shared" si="0"/>
        <v>5.7105868599285712</v>
      </c>
      <c r="G30" s="413">
        <f t="shared" si="0"/>
        <v>2.6085150676904765</v>
      </c>
      <c r="H30" s="291">
        <f t="shared" si="3"/>
        <v>1.4436890987622282E-2</v>
      </c>
      <c r="I30" s="298">
        <f t="shared" si="3"/>
        <v>5.636400023702008E-3</v>
      </c>
      <c r="J30" s="298">
        <f t="shared" si="3"/>
        <v>2.2281546732574424E-3</v>
      </c>
      <c r="K30" s="415">
        <f t="shared" si="4"/>
        <v>3.6589338271356051</v>
      </c>
      <c r="L30" s="415">
        <f t="shared" si="4"/>
        <v>5.5039570037294299</v>
      </c>
      <c r="M30" s="415">
        <f t="shared" si="4"/>
        <v>2.5141294806131924</v>
      </c>
    </row>
    <row r="31" spans="1:13" x14ac:dyDescent="0.25">
      <c r="A31" s="17">
        <v>2043</v>
      </c>
      <c r="B31">
        <v>27.788853</v>
      </c>
      <c r="C31">
        <v>41.892262000000002</v>
      </c>
      <c r="D31">
        <v>18.994478000000001</v>
      </c>
      <c r="E31" s="413">
        <f t="shared" si="0"/>
        <v>3.8196440087857138</v>
      </c>
      <c r="F31" s="413">
        <f t="shared" si="0"/>
        <v>5.7581911553809526</v>
      </c>
      <c r="G31" s="413">
        <f t="shared" si="0"/>
        <v>2.6108362260476192</v>
      </c>
      <c r="H31" s="291">
        <f t="shared" si="3"/>
        <v>6.1497513143396335E-3</v>
      </c>
      <c r="I31" s="298">
        <f t="shared" si="3"/>
        <v>8.3361476885015929E-3</v>
      </c>
      <c r="J31" s="298">
        <f t="shared" si="3"/>
        <v>8.8983896849713644E-4</v>
      </c>
      <c r="K31" s="415">
        <f t="shared" si="4"/>
        <v>3.681435360248114</v>
      </c>
      <c r="L31" s="415">
        <f t="shared" si="4"/>
        <v>5.5498388021836815</v>
      </c>
      <c r="M31" s="415">
        <f t="shared" si="4"/>
        <v>2.5163666509968894</v>
      </c>
    </row>
    <row r="32" spans="1:13" x14ac:dyDescent="0.25">
      <c r="A32" s="17">
        <v>2044</v>
      </c>
      <c r="B32">
        <v>28.011841</v>
      </c>
      <c r="C32">
        <v>42.237453000000002</v>
      </c>
      <c r="D32">
        <v>19.100901</v>
      </c>
      <c r="E32" s="413">
        <f t="shared" si="0"/>
        <v>3.8502942403095237</v>
      </c>
      <c r="F32" s="413">
        <f t="shared" si="0"/>
        <v>5.8056384802142853</v>
      </c>
      <c r="G32" s="413">
        <f t="shared" si="0"/>
        <v>2.6254643207857145</v>
      </c>
      <c r="H32" s="291">
        <f t="shared" si="3"/>
        <v>8.0243686200362728E-3</v>
      </c>
      <c r="I32" s="298">
        <f t="shared" si="3"/>
        <v>8.2399704269967514E-3</v>
      </c>
      <c r="J32" s="298">
        <f t="shared" si="3"/>
        <v>5.6028388882284359E-3</v>
      </c>
      <c r="K32" s="415">
        <f t="shared" si="4"/>
        <v>3.710976554629581</v>
      </c>
      <c r="L32" s="415">
        <f t="shared" si="4"/>
        <v>5.5955693097882744</v>
      </c>
      <c r="M32" s="415">
        <f t="shared" si="4"/>
        <v>2.5304654479261357</v>
      </c>
    </row>
    <row r="33" spans="1:13" x14ac:dyDescent="0.25">
      <c r="A33" s="17">
        <v>2045</v>
      </c>
      <c r="B33">
        <v>28.461365000000001</v>
      </c>
      <c r="C33">
        <v>42.584662999999999</v>
      </c>
      <c r="D33">
        <v>19.177112999999999</v>
      </c>
      <c r="E33" s="413">
        <f t="shared" si="0"/>
        <v>3.9120823844047616</v>
      </c>
      <c r="F33" s="413">
        <f t="shared" si="0"/>
        <v>5.8533633214047613</v>
      </c>
      <c r="G33" s="413">
        <f t="shared" si="0"/>
        <v>2.6359398416428572</v>
      </c>
      <c r="H33" s="291">
        <f t="shared" si="3"/>
        <v>1.6047642138194353E-2</v>
      </c>
      <c r="I33" s="298">
        <f t="shared" si="3"/>
        <v>8.22042939000126E-3</v>
      </c>
      <c r="J33" s="298">
        <f t="shared" si="3"/>
        <v>3.9899688501604282E-3</v>
      </c>
      <c r="K33" s="415">
        <f t="shared" si="4"/>
        <v>3.7705289783615061</v>
      </c>
      <c r="L33" s="415">
        <f t="shared" si="4"/>
        <v>5.641567292196247</v>
      </c>
      <c r="M33" s="415">
        <f t="shared" si="4"/>
        <v>2.5405619262397683</v>
      </c>
    </row>
    <row r="34" spans="1:13" x14ac:dyDescent="0.25">
      <c r="A34" s="17">
        <v>2046</v>
      </c>
      <c r="B34">
        <v>28.485320999999999</v>
      </c>
      <c r="C34">
        <v>42.677753000000003</v>
      </c>
      <c r="D34">
        <v>19.160322000000001</v>
      </c>
      <c r="E34" s="413">
        <f t="shared" si="0"/>
        <v>3.9153751936428569</v>
      </c>
      <c r="F34" s="413">
        <f t="shared" si="0"/>
        <v>5.8661587635476184</v>
      </c>
      <c r="G34" s="413">
        <f t="shared" si="0"/>
        <v>2.6336318787142856</v>
      </c>
      <c r="H34" s="291">
        <f t="shared" si="3"/>
        <v>8.4170242713230061E-4</v>
      </c>
      <c r="I34" s="298">
        <f t="shared" si="3"/>
        <v>2.1859982783004215E-3</v>
      </c>
      <c r="J34" s="298">
        <f t="shared" si="3"/>
        <v>-8.7557496271716093E-4</v>
      </c>
      <c r="K34" s="415">
        <f t="shared" si="4"/>
        <v>3.7737026417541655</v>
      </c>
      <c r="L34" s="415">
        <f t="shared" si="4"/>
        <v>5.6538997485839042</v>
      </c>
      <c r="M34" s="415">
        <f t="shared" si="4"/>
        <v>2.5383374738259201</v>
      </c>
    </row>
    <row r="35" spans="1:13" x14ac:dyDescent="0.25">
      <c r="A35" s="17">
        <v>2047</v>
      </c>
      <c r="B35">
        <v>28.905394000000001</v>
      </c>
      <c r="C35">
        <v>42.915832999999999</v>
      </c>
      <c r="D35">
        <v>19.195734000000002</v>
      </c>
      <c r="E35" s="413">
        <f t="shared" si="0"/>
        <v>3.9731152276666668</v>
      </c>
      <c r="F35" s="413">
        <f t="shared" si="0"/>
        <v>5.8988834264047609</v>
      </c>
      <c r="G35" s="413">
        <f t="shared" si="0"/>
        <v>2.6384993424285716</v>
      </c>
      <c r="H35" s="291">
        <f t="shared" si="3"/>
        <v>1.4746998989409392E-2</v>
      </c>
      <c r="I35" s="298">
        <f t="shared" si="3"/>
        <v>5.5785504921029112E-3</v>
      </c>
      <c r="J35" s="298">
        <f t="shared" si="3"/>
        <v>1.8481944092589304E-3</v>
      </c>
      <c r="K35" s="415">
        <f t="shared" si="4"/>
        <v>3.8293534307984456</v>
      </c>
      <c r="L35" s="415">
        <f t="shared" si="4"/>
        <v>5.6854403138086678</v>
      </c>
      <c r="M35" s="415">
        <f t="shared" si="4"/>
        <v>2.5430288149538578</v>
      </c>
    </row>
    <row r="36" spans="1:13" x14ac:dyDescent="0.25">
      <c r="A36" s="17">
        <v>2048</v>
      </c>
      <c r="B36">
        <v>29.221525</v>
      </c>
      <c r="C36">
        <v>43.210087000000001</v>
      </c>
      <c r="D36">
        <v>19.211704000000001</v>
      </c>
      <c r="E36" s="413">
        <f t="shared" si="0"/>
        <v>4.0165681863095237</v>
      </c>
      <c r="F36" s="413">
        <f t="shared" si="0"/>
        <v>5.9393293393095234</v>
      </c>
      <c r="G36" s="413">
        <f t="shared" si="0"/>
        <v>2.6406944569523811</v>
      </c>
      <c r="H36" s="291">
        <f t="shared" si="3"/>
        <v>1.0936747653396408E-2</v>
      </c>
      <c r="I36" s="298">
        <f t="shared" si="3"/>
        <v>6.8565370733920565E-3</v>
      </c>
      <c r="J36" s="298">
        <f t="shared" si="3"/>
        <v>8.3195568348672533E-4</v>
      </c>
      <c r="K36" s="415">
        <f t="shared" si="4"/>
        <v>3.8712341029467559</v>
      </c>
      <c r="L36" s="415">
        <f t="shared" si="4"/>
        <v>5.7244227460988544</v>
      </c>
      <c r="M36" s="415">
        <f t="shared" si="4"/>
        <v>2.545144502229729</v>
      </c>
    </row>
    <row r="37" spans="1:13" x14ac:dyDescent="0.25">
      <c r="A37" s="17">
        <v>2049</v>
      </c>
      <c r="B37">
        <v>29.462378999999999</v>
      </c>
      <c r="C37">
        <v>43.369553000000003</v>
      </c>
      <c r="D37">
        <v>19.247071999999999</v>
      </c>
      <c r="E37" s="413">
        <f t="shared" si="0"/>
        <v>4.049674142071428</v>
      </c>
      <c r="F37" s="413">
        <f t="shared" si="0"/>
        <v>5.9612483206904763</v>
      </c>
      <c r="G37" s="413">
        <f t="shared" si="0"/>
        <v>2.6455558727619048</v>
      </c>
      <c r="H37" s="291">
        <f t="shared" si="3"/>
        <v>8.2423487480546894E-3</v>
      </c>
      <c r="I37" s="298">
        <f t="shared" si="3"/>
        <v>3.6904808823921571E-3</v>
      </c>
      <c r="J37" s="298">
        <f t="shared" si="3"/>
        <v>1.8409611141207614E-3</v>
      </c>
      <c r="K37" s="415">
        <f t="shared" si="4"/>
        <v>3.9031421645086057</v>
      </c>
      <c r="L37" s="415">
        <f t="shared" si="4"/>
        <v>5.7455486188060627</v>
      </c>
      <c r="M37" s="415">
        <f t="shared" si="4"/>
        <v>2.549830014288152</v>
      </c>
    </row>
    <row r="38" spans="1:13" x14ac:dyDescent="0.25">
      <c r="A38" s="17">
        <v>2050</v>
      </c>
      <c r="B38">
        <v>29.603778999999999</v>
      </c>
      <c r="C38">
        <v>43.380817</v>
      </c>
      <c r="D38">
        <v>19.333057</v>
      </c>
      <c r="E38" s="413">
        <f t="shared" si="0"/>
        <v>4.0691099087380946</v>
      </c>
      <c r="F38" s="413">
        <f t="shared" si="0"/>
        <v>5.9627965843095243</v>
      </c>
      <c r="G38" s="413">
        <f t="shared" si="0"/>
        <v>2.6573747157380954</v>
      </c>
      <c r="H38" s="291">
        <f t="shared" si="3"/>
        <v>4.799340881467884E-3</v>
      </c>
      <c r="I38" s="298">
        <f t="shared" si="3"/>
        <v>2.5972137642269572E-4</v>
      </c>
      <c r="J38" s="298">
        <f t="shared" si="3"/>
        <v>4.467432760681774E-3</v>
      </c>
      <c r="K38" s="415">
        <f t="shared" si="4"/>
        <v>3.9218746742649131</v>
      </c>
      <c r="L38" s="415">
        <f t="shared" si="4"/>
        <v>5.7470408606016425</v>
      </c>
      <c r="M38" s="415">
        <f t="shared" si="4"/>
        <v>2.5612212084281527</v>
      </c>
    </row>
  </sheetData>
  <sheetProtection algorithmName="SHA-512" hashValue="Vqo+3yYZ6ECOR9u2tq3wK03r/YbvIzdff1VmeTgM5BMMKcAI3gRMmQnA5H0u7Fs7YER2lTFuRbA1RII/diPPkQ==" saltValue="mpPWyJbLjW+dch5OcYC3Og==" spinCount="100000" sheet="1" objects="1" scenarios="1"/>
  <hyperlinks>
    <hyperlink ref="A2" r:id="rId1" location="/?id=3-AEO2022&amp;region=1-9&amp;cases=ref2022~highprice~lowprice&amp;start=2020&amp;end=2050&amp;f=A&amp;sourcekey=0" xr:uid="{D564CBFF-18D5-4E8D-A8D3-9EECEE4D2435}"/>
    <hyperlink ref="G3" r:id="rId2" xr:uid="{040F946B-2FFE-40FD-AEEA-E4966B85B6F5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/>
  <dimension ref="A1:Y145"/>
  <sheetViews>
    <sheetView zoomScale="84" zoomScaleNormal="84" workbookViewId="0">
      <selection sqref="A1:E1"/>
    </sheetView>
  </sheetViews>
  <sheetFormatPr defaultColWidth="9.140625" defaultRowHeight="15" x14ac:dyDescent="0.25"/>
  <cols>
    <col min="1" max="1" width="48.85546875" customWidth="1"/>
    <col min="2" max="2" width="14.5703125" customWidth="1"/>
    <col min="3" max="4" width="11.85546875" customWidth="1"/>
    <col min="5" max="5" width="53.140625" customWidth="1"/>
    <col min="6" max="6" width="13.5703125" customWidth="1"/>
    <col min="7" max="9" width="12.5703125" customWidth="1"/>
    <col min="10" max="11" width="9.140625" customWidth="1"/>
    <col min="17" max="17" width="93.42578125" customWidth="1"/>
  </cols>
  <sheetData>
    <row r="1" spans="1:25" ht="15.75" x14ac:dyDescent="0.25">
      <c r="A1" s="514" t="s">
        <v>25</v>
      </c>
      <c r="B1" s="514"/>
      <c r="C1" s="514"/>
      <c r="D1" s="514"/>
      <c r="E1" s="514"/>
      <c r="F1" s="18"/>
    </row>
    <row r="2" spans="1:25" ht="16.5" thickBot="1" x14ac:dyDescent="0.3">
      <c r="A2" s="7" t="s">
        <v>26</v>
      </c>
      <c r="B2" s="7"/>
      <c r="C2" s="7" t="s">
        <v>27</v>
      </c>
      <c r="D2" s="7" t="s">
        <v>28</v>
      </c>
      <c r="E2" s="7" t="s">
        <v>8</v>
      </c>
      <c r="R2" s="515" t="s">
        <v>29</v>
      </c>
      <c r="S2" s="515"/>
      <c r="T2" s="515"/>
      <c r="U2" s="515"/>
      <c r="V2" s="515"/>
      <c r="W2" s="515"/>
      <c r="X2" s="515"/>
      <c r="Y2" s="515"/>
    </row>
    <row r="3" spans="1:25" ht="15.75" thickTop="1" x14ac:dyDescent="0.25">
      <c r="A3" s="2" t="s">
        <v>30</v>
      </c>
      <c r="B3" s="2"/>
      <c r="C3" s="19">
        <v>17.3</v>
      </c>
      <c r="D3" t="s">
        <v>31</v>
      </c>
      <c r="E3" t="s">
        <v>32</v>
      </c>
      <c r="S3" s="20" t="s">
        <v>33</v>
      </c>
      <c r="T3" s="21">
        <v>5.63</v>
      </c>
      <c r="U3" s="22" t="s">
        <v>34</v>
      </c>
    </row>
    <row r="4" spans="1:25" x14ac:dyDescent="0.25">
      <c r="A4" s="2" t="s">
        <v>35</v>
      </c>
      <c r="B4" s="2"/>
      <c r="C4" s="23">
        <v>16.527501810052286</v>
      </c>
      <c r="D4" t="s">
        <v>31</v>
      </c>
      <c r="E4" t="s">
        <v>36</v>
      </c>
      <c r="S4" s="20" t="s">
        <v>37</v>
      </c>
      <c r="T4" s="24">
        <f>90690/14274</f>
        <v>6.3535098781000423</v>
      </c>
      <c r="U4" s="22" t="s">
        <v>34</v>
      </c>
      <c r="Y4" s="25" t="s">
        <v>38</v>
      </c>
    </row>
    <row r="5" spans="1:25" x14ac:dyDescent="0.25">
      <c r="A5" s="2" t="s">
        <v>39</v>
      </c>
      <c r="B5" s="2"/>
      <c r="C5" s="23">
        <v>13.772918175043571</v>
      </c>
      <c r="D5" t="s">
        <v>31</v>
      </c>
      <c r="E5" t="s">
        <v>36</v>
      </c>
      <c r="S5" s="26"/>
      <c r="T5" s="26"/>
      <c r="U5" s="26"/>
      <c r="V5" s="26"/>
      <c r="W5" s="27" t="s">
        <v>40</v>
      </c>
      <c r="X5" s="27" t="s">
        <v>41</v>
      </c>
      <c r="Y5" s="27" t="s">
        <v>42</v>
      </c>
    </row>
    <row r="6" spans="1:25" x14ac:dyDescent="0.25">
      <c r="A6" s="2" t="s">
        <v>43</v>
      </c>
      <c r="B6" s="2"/>
      <c r="C6" s="23">
        <v>12.109899970363385</v>
      </c>
      <c r="D6" t="s">
        <v>31</v>
      </c>
      <c r="E6" t="s">
        <v>36</v>
      </c>
      <c r="S6" s="20" t="s">
        <v>44</v>
      </c>
      <c r="T6" s="28">
        <v>14274</v>
      </c>
      <c r="U6" s="22" t="s">
        <v>45</v>
      </c>
      <c r="V6" s="26"/>
      <c r="W6" s="25">
        <v>1</v>
      </c>
      <c r="X6" s="29">
        <v>73.946236559139791</v>
      </c>
      <c r="Y6" s="30">
        <v>1.9237725625309692</v>
      </c>
    </row>
    <row r="7" spans="1:25" x14ac:dyDescent="0.25">
      <c r="A7" s="2" t="s">
        <v>46</v>
      </c>
      <c r="B7" s="2"/>
      <c r="C7" s="23">
        <v>12.141821186058127</v>
      </c>
      <c r="D7" t="s">
        <v>31</v>
      </c>
      <c r="E7" t="s">
        <v>36</v>
      </c>
      <c r="S7" s="20" t="s">
        <v>47</v>
      </c>
      <c r="T7" s="31">
        <v>63.084095063985373</v>
      </c>
      <c r="U7" s="26"/>
      <c r="V7" s="26"/>
      <c r="W7" s="25">
        <v>2</v>
      </c>
      <c r="X7" s="29">
        <v>69.470588235294116</v>
      </c>
      <c r="Y7" s="30">
        <v>1.807334866096399</v>
      </c>
    </row>
    <row r="8" spans="1:25" x14ac:dyDescent="0.25">
      <c r="A8" s="2" t="s">
        <v>48</v>
      </c>
      <c r="B8" s="2"/>
      <c r="C8" s="23">
        <v>12.07221084835353</v>
      </c>
      <c r="D8" t="s">
        <v>31</v>
      </c>
      <c r="E8" t="s">
        <v>36</v>
      </c>
      <c r="S8" s="20" t="s">
        <v>49</v>
      </c>
      <c r="T8" s="32">
        <v>13.881967213114756</v>
      </c>
      <c r="U8" s="26"/>
      <c r="V8" s="26"/>
      <c r="W8" s="25">
        <v>3</v>
      </c>
      <c r="X8" s="29">
        <v>59.827956989247312</v>
      </c>
      <c r="Y8" s="30">
        <v>1.5564738313105004</v>
      </c>
    </row>
    <row r="9" spans="1:25" x14ac:dyDescent="0.25">
      <c r="A9" s="2" t="s">
        <v>50</v>
      </c>
      <c r="B9" s="2"/>
      <c r="C9" s="33">
        <v>125000</v>
      </c>
      <c r="D9" t="s">
        <v>51</v>
      </c>
      <c r="E9" t="s">
        <v>52</v>
      </c>
      <c r="S9" s="20" t="s">
        <v>53</v>
      </c>
      <c r="T9" s="34">
        <v>38.438138686131403</v>
      </c>
      <c r="U9" s="26"/>
      <c r="V9" s="26"/>
      <c r="W9" s="25">
        <v>4</v>
      </c>
      <c r="X9" s="29">
        <v>32.068888888888885</v>
      </c>
      <c r="Y9" s="30">
        <v>0.83429869356445807</v>
      </c>
    </row>
    <row r="10" spans="1:25" x14ac:dyDescent="0.25">
      <c r="A10" s="2" t="s">
        <v>54</v>
      </c>
      <c r="C10" s="33">
        <v>138500</v>
      </c>
      <c r="D10" t="s">
        <v>51</v>
      </c>
      <c r="E10" t="s">
        <v>55</v>
      </c>
      <c r="S10" s="26"/>
      <c r="T10" s="26"/>
      <c r="U10" s="26"/>
      <c r="V10" s="26"/>
      <c r="W10" s="25">
        <v>5</v>
      </c>
      <c r="X10" s="29">
        <v>14.520430107526881</v>
      </c>
      <c r="Y10" s="30">
        <v>0.37776101038851539</v>
      </c>
    </row>
    <row r="11" spans="1:25" x14ac:dyDescent="0.25">
      <c r="A11" s="2" t="s">
        <v>56</v>
      </c>
      <c r="B11" s="2"/>
      <c r="C11" s="33">
        <v>135000</v>
      </c>
      <c r="D11" t="s">
        <v>51</v>
      </c>
      <c r="E11" s="35" t="s">
        <v>57</v>
      </c>
      <c r="S11" s="36" t="s">
        <v>58</v>
      </c>
      <c r="T11" s="26"/>
      <c r="U11" s="26"/>
      <c r="V11" s="26"/>
      <c r="W11" s="25">
        <v>6</v>
      </c>
      <c r="X11" s="29">
        <v>6.0477777777777773</v>
      </c>
      <c r="Y11" s="30">
        <v>0.15733794570963017</v>
      </c>
    </row>
    <row r="12" spans="1:25" x14ac:dyDescent="0.25">
      <c r="A12" s="2" t="s">
        <v>59</v>
      </c>
      <c r="B12" s="2"/>
      <c r="C12" s="33">
        <v>136995</v>
      </c>
      <c r="D12" t="s">
        <v>51</v>
      </c>
      <c r="E12" t="s">
        <v>60</v>
      </c>
      <c r="S12" s="26"/>
      <c r="T12" s="37" t="s">
        <v>61</v>
      </c>
      <c r="U12" s="38" t="s">
        <v>62</v>
      </c>
      <c r="V12" s="25"/>
      <c r="W12" s="25">
        <v>7</v>
      </c>
      <c r="X12" s="29">
        <v>4.2473118279569899</v>
      </c>
      <c r="Y12" s="30">
        <v>0.11049733345931843</v>
      </c>
    </row>
    <row r="13" spans="1:25" x14ac:dyDescent="0.25">
      <c r="A13" s="2" t="s">
        <v>63</v>
      </c>
      <c r="B13" s="2"/>
      <c r="C13" s="33">
        <v>135000</v>
      </c>
      <c r="D13" t="s">
        <v>51</v>
      </c>
      <c r="E13" s="35" t="s">
        <v>64</v>
      </c>
      <c r="S13" s="39" t="s">
        <v>33</v>
      </c>
      <c r="T13" s="40">
        <v>355.16345521023766</v>
      </c>
      <c r="U13" s="41">
        <v>78.155475409836072</v>
      </c>
      <c r="V13" s="42"/>
      <c r="W13" s="25">
        <v>8</v>
      </c>
      <c r="X13" s="29">
        <v>9.1344086021505362</v>
      </c>
      <c r="Y13" s="30">
        <v>0.23763920195871135</v>
      </c>
    </row>
    <row r="14" spans="1:25" x14ac:dyDescent="0.25">
      <c r="A14" s="2" t="s">
        <v>65</v>
      </c>
      <c r="B14" s="2"/>
      <c r="C14" s="33">
        <v>91333</v>
      </c>
      <c r="D14" t="s">
        <v>51</v>
      </c>
      <c r="E14" s="35" t="s">
        <v>57</v>
      </c>
      <c r="S14" s="39" t="s">
        <v>37</v>
      </c>
      <c r="T14" s="40">
        <v>400.80542114003316</v>
      </c>
      <c r="U14" s="41">
        <v>88.199215815985511</v>
      </c>
      <c r="V14" s="42"/>
      <c r="W14" s="25">
        <v>9</v>
      </c>
      <c r="X14" s="29">
        <v>17.731111111111112</v>
      </c>
      <c r="Y14" s="30">
        <v>0.46128953474816797</v>
      </c>
    </row>
    <row r="15" spans="1:25" x14ac:dyDescent="0.25">
      <c r="A15" s="2" t="s">
        <v>66</v>
      </c>
      <c r="B15" s="2"/>
      <c r="C15" s="33">
        <v>1015</v>
      </c>
      <c r="D15" t="s">
        <v>67</v>
      </c>
      <c r="E15" s="35" t="s">
        <v>68</v>
      </c>
      <c r="S15" s="26"/>
      <c r="T15" s="26"/>
      <c r="U15" s="26"/>
      <c r="V15" s="26"/>
      <c r="W15" s="25">
        <v>10</v>
      </c>
      <c r="X15" s="29">
        <v>42.064516129032256</v>
      </c>
      <c r="Y15" s="30">
        <v>1.094343211374313</v>
      </c>
    </row>
    <row r="16" spans="1:25" x14ac:dyDescent="0.25">
      <c r="A16" s="2" t="s">
        <v>69</v>
      </c>
      <c r="B16" s="2"/>
      <c r="C16" s="19">
        <v>15.2</v>
      </c>
      <c r="D16" s="43" t="s">
        <v>31</v>
      </c>
      <c r="E16" t="s">
        <v>57</v>
      </c>
      <c r="S16" s="44" t="s">
        <v>70</v>
      </c>
      <c r="T16" s="45">
        <v>182</v>
      </c>
      <c r="U16" s="46">
        <v>183</v>
      </c>
      <c r="V16" s="26"/>
      <c r="W16" s="25">
        <v>11</v>
      </c>
      <c r="X16" s="29">
        <v>64.677777777777777</v>
      </c>
      <c r="Y16" s="30">
        <v>1.6826459341829088</v>
      </c>
    </row>
    <row r="17" spans="1:25" x14ac:dyDescent="0.25">
      <c r="A17" s="2" t="s">
        <v>3</v>
      </c>
      <c r="B17" s="2"/>
      <c r="C17" s="33">
        <v>3413</v>
      </c>
      <c r="D17" s="47" t="s">
        <v>71</v>
      </c>
      <c r="E17" t="s">
        <v>57</v>
      </c>
      <c r="S17" s="26"/>
      <c r="T17" s="26"/>
      <c r="U17" s="26"/>
      <c r="V17" s="26"/>
      <c r="W17" s="25">
        <v>12</v>
      </c>
      <c r="X17" s="29">
        <v>69.118279569892479</v>
      </c>
      <c r="Y17" s="30">
        <v>1.7981692644974654</v>
      </c>
    </row>
    <row r="18" spans="1:25" x14ac:dyDescent="0.25">
      <c r="A18" s="48" t="s">
        <v>72</v>
      </c>
      <c r="B18" s="48"/>
      <c r="C18" s="2"/>
      <c r="D18" s="47"/>
      <c r="F18" s="49"/>
      <c r="S18" s="20" t="s">
        <v>73</v>
      </c>
      <c r="T18" s="28">
        <v>33441</v>
      </c>
      <c r="U18" s="36" t="s">
        <v>74</v>
      </c>
      <c r="V18" s="26"/>
      <c r="W18" s="26"/>
      <c r="X18" s="50">
        <v>462.85528357579585</v>
      </c>
      <c r="Y18" s="50">
        <v>12.041563389821357</v>
      </c>
    </row>
    <row r="19" spans="1:25" x14ac:dyDescent="0.25">
      <c r="A19" s="1" t="s">
        <v>75</v>
      </c>
      <c r="B19" s="1"/>
      <c r="C19" s="51">
        <v>1.6827555429317793</v>
      </c>
      <c r="D19" s="52" t="s">
        <v>76</v>
      </c>
      <c r="S19" s="20" t="s">
        <v>77</v>
      </c>
      <c r="T19" s="28">
        <v>25130</v>
      </c>
      <c r="U19" s="36" t="s">
        <v>78</v>
      </c>
    </row>
    <row r="21" spans="1:25" ht="15.75" x14ac:dyDescent="0.25">
      <c r="A21" s="514" t="s">
        <v>79</v>
      </c>
      <c r="B21" s="514"/>
      <c r="C21" s="514"/>
      <c r="D21" s="514"/>
      <c r="E21" s="514"/>
      <c r="F21" s="18"/>
    </row>
    <row r="23" spans="1:25" ht="15.75" thickBot="1" x14ac:dyDescent="0.3">
      <c r="A23" s="7" t="s">
        <v>26</v>
      </c>
      <c r="B23" s="7"/>
      <c r="C23" s="7" t="s">
        <v>17</v>
      </c>
      <c r="D23" s="7" t="s">
        <v>28</v>
      </c>
      <c r="E23" s="7" t="s">
        <v>80</v>
      </c>
      <c r="S23" s="53"/>
      <c r="T23" s="53"/>
      <c r="U23" s="54" t="s">
        <v>81</v>
      </c>
      <c r="V23" s="53"/>
      <c r="W23" s="53"/>
    </row>
    <row r="24" spans="1:25" ht="15.75" thickTop="1" x14ac:dyDescent="0.25">
      <c r="A24" t="str">
        <f>A4</f>
        <v>Fairbanks Wood - Oven Dry, 0% Moisture</v>
      </c>
      <c r="C24" s="55">
        <v>200</v>
      </c>
      <c r="D24" t="s">
        <v>82</v>
      </c>
      <c r="E24" s="35" t="s">
        <v>68</v>
      </c>
      <c r="T24" s="1" t="s">
        <v>83</v>
      </c>
      <c r="U24" s="56">
        <v>0.98</v>
      </c>
    </row>
    <row r="25" spans="1:25" x14ac:dyDescent="0.25">
      <c r="A25" t="str">
        <f>A11</f>
        <v>Fuel Oil #1/#2 Weighted (76% #2 24% #1)*</v>
      </c>
      <c r="C25" s="57">
        <v>2.7</v>
      </c>
      <c r="D25" t="s">
        <v>84</v>
      </c>
      <c r="E25" s="35" t="s">
        <v>68</v>
      </c>
      <c r="T25" s="1" t="s">
        <v>85</v>
      </c>
      <c r="U25" s="56">
        <f>1-U24</f>
        <v>2.0000000000000018E-2</v>
      </c>
    </row>
    <row r="26" spans="1:25" x14ac:dyDescent="0.25">
      <c r="A26" t="str">
        <f>A13</f>
        <v>Kerosene</v>
      </c>
      <c r="C26" s="57">
        <f>C25</f>
        <v>2.7</v>
      </c>
      <c r="D26" t="s">
        <v>84</v>
      </c>
      <c r="E26" t="s">
        <v>86</v>
      </c>
    </row>
    <row r="27" spans="1:25" x14ac:dyDescent="0.25">
      <c r="A27" t="str">
        <f>A14</f>
        <v>Propane</v>
      </c>
      <c r="C27" s="57">
        <v>2.74</v>
      </c>
      <c r="D27" t="s">
        <v>84</v>
      </c>
      <c r="E27" s="35" t="s">
        <v>68</v>
      </c>
    </row>
    <row r="28" spans="1:25" x14ac:dyDescent="0.25">
      <c r="A28" t="str">
        <f>A15</f>
        <v>Natural Gas</v>
      </c>
      <c r="C28" s="58">
        <v>2.335</v>
      </c>
      <c r="D28" t="s">
        <v>87</v>
      </c>
      <c r="E28" s="35" t="s">
        <v>68</v>
      </c>
    </row>
    <row r="29" spans="1:25" x14ac:dyDescent="0.25">
      <c r="A29" t="str">
        <f>A16</f>
        <v>Coal</v>
      </c>
    </row>
    <row r="30" spans="1:25" x14ac:dyDescent="0.25">
      <c r="A30" t="str">
        <f>A17</f>
        <v>Electric</v>
      </c>
      <c r="C30" s="58">
        <v>0.18026</v>
      </c>
      <c r="D30" s="47" t="s">
        <v>88</v>
      </c>
    </row>
    <row r="33" spans="1:17" ht="15.75" x14ac:dyDescent="0.25">
      <c r="A33" s="505" t="s">
        <v>89</v>
      </c>
      <c r="B33" s="505"/>
      <c r="C33" s="505"/>
      <c r="D33" s="505"/>
      <c r="E33" s="505"/>
      <c r="F33" s="505"/>
      <c r="G33" s="505"/>
      <c r="H33" s="505"/>
      <c r="I33" s="505"/>
      <c r="J33" s="505"/>
      <c r="K33" s="505"/>
      <c r="L33" s="505"/>
      <c r="M33" s="505"/>
      <c r="N33" s="505"/>
      <c r="O33" s="505"/>
      <c r="P33" s="505"/>
      <c r="Q33" s="505"/>
    </row>
    <row r="35" spans="1:17" x14ac:dyDescent="0.25">
      <c r="D35" s="2" t="s">
        <v>90</v>
      </c>
      <c r="E35" s="2"/>
      <c r="F35" s="2" t="s">
        <v>91</v>
      </c>
      <c r="H35" s="2" t="s">
        <v>462</v>
      </c>
      <c r="J35" s="503" t="s">
        <v>92</v>
      </c>
      <c r="K35" s="503"/>
      <c r="L35" s="503"/>
      <c r="M35" s="503"/>
      <c r="N35" s="503"/>
      <c r="O35" s="503"/>
      <c r="P35" s="503"/>
    </row>
    <row r="36" spans="1:17" ht="15.75" thickBot="1" x14ac:dyDescent="0.3">
      <c r="A36" s="53" t="s">
        <v>93</v>
      </c>
      <c r="B36" s="7" t="s">
        <v>94</v>
      </c>
      <c r="C36" s="7" t="s">
        <v>95</v>
      </c>
      <c r="D36" s="7" t="s">
        <v>96</v>
      </c>
      <c r="E36" s="7" t="s">
        <v>97</v>
      </c>
      <c r="F36" s="7" t="s">
        <v>98</v>
      </c>
      <c r="G36" s="53"/>
      <c r="H36" s="7" t="s">
        <v>1530</v>
      </c>
      <c r="I36" s="53"/>
      <c r="J36" s="7" t="s">
        <v>99</v>
      </c>
      <c r="K36" s="7" t="s">
        <v>100</v>
      </c>
      <c r="L36" s="7" t="s">
        <v>101</v>
      </c>
      <c r="M36" s="7" t="s">
        <v>102</v>
      </c>
      <c r="N36" s="7" t="s">
        <v>103</v>
      </c>
      <c r="O36" s="7" t="s">
        <v>104</v>
      </c>
      <c r="P36" s="7" t="s">
        <v>105</v>
      </c>
      <c r="Q36" s="53" t="s">
        <v>106</v>
      </c>
    </row>
    <row r="37" spans="1:17" ht="15.75" thickTop="1" x14ac:dyDescent="0.25">
      <c r="A37" t="s">
        <v>107</v>
      </c>
      <c r="B37" s="59" t="s">
        <v>108</v>
      </c>
      <c r="C37" s="2">
        <v>2104008100</v>
      </c>
      <c r="D37" s="60">
        <v>7.0000000000000007E-2</v>
      </c>
      <c r="E37" t="s">
        <v>109</v>
      </c>
      <c r="F37" s="42">
        <f>N37*947.8171*453600/10^6</f>
        <v>859.85967312000002</v>
      </c>
      <c r="H37" s="10" t="s">
        <v>1531</v>
      </c>
      <c r="J37" s="9">
        <v>13.236994219653178</v>
      </c>
      <c r="K37" s="9">
        <v>0.15028901734104047</v>
      </c>
      <c r="L37" s="9">
        <v>2.3121387283236993E-2</v>
      </c>
      <c r="M37" s="9">
        <v>2</v>
      </c>
      <c r="N37" s="9">
        <v>2</v>
      </c>
      <c r="O37" s="9">
        <v>0.10404624277456648</v>
      </c>
      <c r="P37" s="9">
        <v>14.60115606936416</v>
      </c>
      <c r="Q37" t="s">
        <v>110</v>
      </c>
    </row>
    <row r="38" spans="1:17" ht="15" customHeight="1" x14ac:dyDescent="0.25">
      <c r="A38" t="s">
        <v>111</v>
      </c>
      <c r="B38" s="59" t="s">
        <v>112</v>
      </c>
      <c r="C38" s="2">
        <v>2104008210</v>
      </c>
      <c r="D38" s="60">
        <v>0.4</v>
      </c>
      <c r="E38" t="s">
        <v>109</v>
      </c>
      <c r="F38" s="42">
        <f t="shared" ref="F38:F49" si="0">N38*947.8171*453600/10^6</f>
        <v>760.45393056277464</v>
      </c>
      <c r="H38" s="10" t="s">
        <v>1531</v>
      </c>
      <c r="J38" s="6">
        <v>3.0635838150289016</v>
      </c>
      <c r="K38" s="6">
        <v>0.16184971098265893</v>
      </c>
      <c r="L38" s="6">
        <v>2.3121387283236993E-2</v>
      </c>
      <c r="M38" s="6">
        <v>1.7687861271676302</v>
      </c>
      <c r="N38" s="6">
        <v>1.7687861271676302</v>
      </c>
      <c r="O38" s="6">
        <v>9.8265895953757218E-2</v>
      </c>
      <c r="P38" s="6">
        <v>13.341040462427745</v>
      </c>
      <c r="Q38" t="s">
        <v>113</v>
      </c>
    </row>
    <row r="39" spans="1:17" x14ac:dyDescent="0.25">
      <c r="A39" t="s">
        <v>114</v>
      </c>
      <c r="B39" s="59" t="s">
        <v>115</v>
      </c>
      <c r="C39" s="2">
        <v>2104008220</v>
      </c>
      <c r="D39" s="60">
        <v>0.66</v>
      </c>
      <c r="E39" t="s">
        <v>109</v>
      </c>
      <c r="F39" s="42">
        <f t="shared" si="0"/>
        <v>298.21722767167626</v>
      </c>
      <c r="H39" s="10" t="s">
        <v>1531</v>
      </c>
      <c r="J39" s="6">
        <v>0.69364161849710981</v>
      </c>
      <c r="K39" s="6">
        <v>0.11560693641618497</v>
      </c>
      <c r="L39" s="6">
        <v>2.3121387283236993E-2</v>
      </c>
      <c r="M39" s="6">
        <v>0.69364161849710981</v>
      </c>
      <c r="N39" s="6">
        <v>0.69364161849710981</v>
      </c>
      <c r="O39" s="6">
        <v>5.2023121387283239E-2</v>
      </c>
      <c r="P39" s="6">
        <v>8.1387283236994215</v>
      </c>
      <c r="Q39" t="s">
        <v>116</v>
      </c>
    </row>
    <row r="40" spans="1:17" x14ac:dyDescent="0.25">
      <c r="A40" t="s">
        <v>117</v>
      </c>
      <c r="B40" s="59" t="s">
        <v>118</v>
      </c>
      <c r="C40" s="2">
        <v>2104008230</v>
      </c>
      <c r="D40" s="60">
        <v>0.7</v>
      </c>
      <c r="E40" t="s">
        <v>109</v>
      </c>
      <c r="F40" s="42">
        <f t="shared" si="0"/>
        <v>323.06866331098263</v>
      </c>
      <c r="H40" s="10" t="s">
        <v>1531</v>
      </c>
      <c r="J40" s="6">
        <v>0.86705202312138729</v>
      </c>
      <c r="K40" s="6">
        <v>0.11560693641618497</v>
      </c>
      <c r="L40" s="6">
        <v>2.3121387283236993E-2</v>
      </c>
      <c r="M40" s="6">
        <v>0.75144508670520227</v>
      </c>
      <c r="N40" s="6">
        <v>0.75144508670520227</v>
      </c>
      <c r="O40" s="6">
        <v>5.2023121387283239E-2</v>
      </c>
      <c r="P40" s="6">
        <v>6.1849710982658959</v>
      </c>
      <c r="Q40" t="s">
        <v>119</v>
      </c>
    </row>
    <row r="41" spans="1:17" x14ac:dyDescent="0.25">
      <c r="A41" t="s">
        <v>120</v>
      </c>
      <c r="B41" s="59" t="s">
        <v>121</v>
      </c>
      <c r="C41" s="2">
        <v>2104008310</v>
      </c>
      <c r="D41" s="60">
        <v>0.54</v>
      </c>
      <c r="E41" t="s">
        <v>122</v>
      </c>
      <c r="F41" s="42">
        <f t="shared" si="0"/>
        <v>301.74686180116254</v>
      </c>
      <c r="H41" s="10" t="s">
        <v>1531</v>
      </c>
      <c r="J41" s="6">
        <v>3.0635838150289016</v>
      </c>
      <c r="K41" s="445">
        <v>8.3938880536453639E-2</v>
      </c>
      <c r="L41" s="6">
        <v>2.3121387283236993E-2</v>
      </c>
      <c r="M41" s="446">
        <v>0.70185140955913039</v>
      </c>
      <c r="N41" s="446">
        <v>0.70185140955913039</v>
      </c>
      <c r="O41" s="447">
        <v>2.2949626892147957E-2</v>
      </c>
      <c r="P41" s="445">
        <v>7.0040833351833571</v>
      </c>
      <c r="Q41" s="448" t="s">
        <v>123</v>
      </c>
    </row>
    <row r="42" spans="1:17" x14ac:dyDescent="0.25">
      <c r="A42" t="s">
        <v>124</v>
      </c>
      <c r="B42" s="59" t="s">
        <v>125</v>
      </c>
      <c r="C42" s="2">
        <v>2104008320</v>
      </c>
      <c r="D42" s="60">
        <v>0.68</v>
      </c>
      <c r="E42" t="s">
        <v>122</v>
      </c>
      <c r="F42" s="42">
        <f t="shared" si="0"/>
        <v>196.95074035379199</v>
      </c>
      <c r="H42" s="10" t="s">
        <v>1531</v>
      </c>
      <c r="J42" s="6">
        <v>0.69364161849710981</v>
      </c>
      <c r="K42" s="445">
        <v>9.2996510765176413E-2</v>
      </c>
      <c r="L42" s="6">
        <v>2.3121387283236993E-2</v>
      </c>
      <c r="M42" s="446">
        <v>0.45809972606147792</v>
      </c>
      <c r="N42" s="446">
        <v>0.45809972606147792</v>
      </c>
      <c r="O42" s="447">
        <v>1.4435938518844138E-2</v>
      </c>
      <c r="P42" s="445">
        <v>7.1468756353823277</v>
      </c>
      <c r="Q42" s="448" t="s">
        <v>126</v>
      </c>
    </row>
    <row r="43" spans="1:17" x14ac:dyDescent="0.25">
      <c r="A43" t="s">
        <v>127</v>
      </c>
      <c r="B43" s="59" t="s">
        <v>128</v>
      </c>
      <c r="C43" s="2">
        <v>2104008330</v>
      </c>
      <c r="D43" s="60">
        <v>0.72</v>
      </c>
      <c r="E43" t="s">
        <v>122</v>
      </c>
      <c r="F43" s="42">
        <f t="shared" si="0"/>
        <v>218.5343831322898</v>
      </c>
      <c r="H43" s="10" t="s">
        <v>1531</v>
      </c>
      <c r="J43" s="6">
        <v>0.86705202312138729</v>
      </c>
      <c r="K43" s="445">
        <v>9.2996510765176413E-2</v>
      </c>
      <c r="L43" s="6">
        <v>2.3121387283236993E-2</v>
      </c>
      <c r="M43" s="446">
        <v>0.50830243576684553</v>
      </c>
      <c r="N43" s="446">
        <v>0.50830243576684553</v>
      </c>
      <c r="O43" s="447">
        <v>1.4435938518844138E-2</v>
      </c>
      <c r="P43" s="445">
        <v>7.1468756353823277</v>
      </c>
      <c r="Q43" s="448" t="s">
        <v>129</v>
      </c>
    </row>
    <row r="44" spans="1:17" x14ac:dyDescent="0.25">
      <c r="A44" t="s">
        <v>130</v>
      </c>
      <c r="B44" s="59" t="s">
        <v>131</v>
      </c>
      <c r="C44" s="2">
        <v>2104008410</v>
      </c>
      <c r="D44" s="60">
        <v>0.56000000000000005</v>
      </c>
      <c r="E44" t="s">
        <v>132</v>
      </c>
      <c r="F44" s="42">
        <f t="shared" si="0"/>
        <v>76.998467817053225</v>
      </c>
      <c r="H44" s="10" t="s">
        <v>1531</v>
      </c>
      <c r="J44" s="6">
        <v>0.13872832369942195</v>
      </c>
      <c r="K44" s="445">
        <v>0.24226286864265861</v>
      </c>
      <c r="L44" s="449">
        <v>1.9361667823589102E-2</v>
      </c>
      <c r="M44" s="445">
        <v>0.17909542736819919</v>
      </c>
      <c r="N44" s="445">
        <v>0.17909542736819919</v>
      </c>
      <c r="O44" s="445">
        <v>4.3491146348737025E-3</v>
      </c>
      <c r="P44" s="445">
        <v>0.6009377650746468</v>
      </c>
      <c r="Q44" s="448" t="s">
        <v>133</v>
      </c>
    </row>
    <row r="45" spans="1:17" x14ac:dyDescent="0.25">
      <c r="A45" t="s">
        <v>134</v>
      </c>
      <c r="B45" s="59" t="s">
        <v>135</v>
      </c>
      <c r="C45" s="2">
        <v>2104008420</v>
      </c>
      <c r="D45" s="60">
        <v>0.78</v>
      </c>
      <c r="E45" t="s">
        <v>136</v>
      </c>
      <c r="F45" s="42">
        <f t="shared" si="0"/>
        <v>76.998467817053225</v>
      </c>
      <c r="H45" s="10" t="s">
        <v>1531</v>
      </c>
      <c r="J45" s="6">
        <v>0.13872832369942195</v>
      </c>
      <c r="K45" s="445">
        <v>0.24226286864265861</v>
      </c>
      <c r="L45" s="449">
        <v>1.9361667823589102E-2</v>
      </c>
      <c r="M45" s="445">
        <v>0.17909542736819919</v>
      </c>
      <c r="N45" s="445">
        <v>0.17909542736819919</v>
      </c>
      <c r="O45" s="445">
        <v>4.3491146348737025E-3</v>
      </c>
      <c r="P45" s="445">
        <v>0.6009377650746468</v>
      </c>
      <c r="Q45" s="448" t="s">
        <v>133</v>
      </c>
    </row>
    <row r="46" spans="1:17" x14ac:dyDescent="0.25">
      <c r="A46" t="s">
        <v>137</v>
      </c>
      <c r="B46" s="59" t="s">
        <v>138</v>
      </c>
      <c r="C46" s="2">
        <v>2104008610</v>
      </c>
      <c r="D46" s="60">
        <v>0.43</v>
      </c>
      <c r="E46" t="s">
        <v>139</v>
      </c>
      <c r="F46" s="42">
        <f t="shared" si="0"/>
        <v>245.28744914903737</v>
      </c>
      <c r="H46" s="10" t="s">
        <v>1531</v>
      </c>
      <c r="J46" s="61">
        <v>2.6242774566473992</v>
      </c>
      <c r="K46" s="450">
        <v>9.3221590153625633E-2</v>
      </c>
      <c r="L46" s="61">
        <v>2.3121387283236997E-2</v>
      </c>
      <c r="M46" s="445">
        <v>0.57052902192519883</v>
      </c>
      <c r="N46" s="445">
        <v>0.57052902192519883</v>
      </c>
      <c r="O46" s="445">
        <v>1.4090090727345279E-2</v>
      </c>
      <c r="P46" s="450">
        <v>3.5011945946243972</v>
      </c>
      <c r="Q46" t="s">
        <v>140</v>
      </c>
    </row>
    <row r="47" spans="1:17" x14ac:dyDescent="0.25">
      <c r="A47" t="s">
        <v>141</v>
      </c>
      <c r="B47" s="59" t="s">
        <v>142</v>
      </c>
      <c r="C47" s="2">
        <v>2104008610</v>
      </c>
      <c r="D47" s="60">
        <v>0.43</v>
      </c>
      <c r="E47" t="s">
        <v>139</v>
      </c>
      <c r="F47" s="42">
        <f t="shared" si="0"/>
        <v>274.50872631481133</v>
      </c>
      <c r="H47" s="10" t="s">
        <v>1531</v>
      </c>
      <c r="J47" s="61">
        <v>3.0635838150289016</v>
      </c>
      <c r="K47" s="450">
        <v>8.5312348847689498E-2</v>
      </c>
      <c r="L47" s="61">
        <v>2.3121387283236993E-2</v>
      </c>
      <c r="M47" s="446">
        <v>0.63849657076894117</v>
      </c>
      <c r="N47" s="446">
        <v>0.63849657076894117</v>
      </c>
      <c r="O47" s="447">
        <v>1.5797910839809734E-2</v>
      </c>
      <c r="P47" s="450">
        <v>3.1964903472506632</v>
      </c>
      <c r="Q47" s="448" t="s">
        <v>143</v>
      </c>
    </row>
    <row r="48" spans="1:17" x14ac:dyDescent="0.25">
      <c r="A48" t="s">
        <v>144</v>
      </c>
      <c r="B48" t="s">
        <v>145</v>
      </c>
      <c r="C48" s="2">
        <v>2104008610</v>
      </c>
      <c r="D48" s="60">
        <v>0.43</v>
      </c>
      <c r="E48" t="s">
        <v>139</v>
      </c>
      <c r="F48" s="42">
        <f t="shared" si="0"/>
        <v>241.87417626421546</v>
      </c>
      <c r="H48" s="10" t="s">
        <v>1531</v>
      </c>
      <c r="J48" s="61">
        <v>0.69364161849710981</v>
      </c>
      <c r="K48" s="450">
        <v>0.12485855537737023</v>
      </c>
      <c r="L48" s="61">
        <v>2.3121387283236993E-2</v>
      </c>
      <c r="M48" s="446">
        <v>0.56258988257136255</v>
      </c>
      <c r="N48" s="446">
        <v>0.56258988257136255</v>
      </c>
      <c r="O48" s="447">
        <v>7.2588102774874515E-3</v>
      </c>
      <c r="P48" s="450">
        <v>6.2110058976074933</v>
      </c>
      <c r="Q48" s="448" t="s">
        <v>146</v>
      </c>
    </row>
    <row r="49" spans="1:17" x14ac:dyDescent="0.25">
      <c r="A49" t="s">
        <v>147</v>
      </c>
      <c r="B49" t="s">
        <v>148</v>
      </c>
      <c r="C49" s="2">
        <v>2104008640</v>
      </c>
      <c r="D49" s="60">
        <v>0.43</v>
      </c>
      <c r="E49" t="s">
        <v>139</v>
      </c>
      <c r="F49" s="42">
        <f t="shared" si="0"/>
        <v>128.40234048594152</v>
      </c>
      <c r="H49" s="10" t="s">
        <v>1531</v>
      </c>
      <c r="J49" s="61">
        <v>0.86705202312138729</v>
      </c>
      <c r="K49" s="450">
        <v>0.12485855537737023</v>
      </c>
      <c r="L49" s="61">
        <v>2.3121387283236993E-2</v>
      </c>
      <c r="M49" s="446">
        <v>0.29865882655022946</v>
      </c>
      <c r="N49" s="446">
        <v>0.29865882655022946</v>
      </c>
      <c r="O49" s="447">
        <v>7.2588102774874515E-3</v>
      </c>
      <c r="P49" s="450">
        <v>4.7200115841193302</v>
      </c>
      <c r="Q49" s="448" t="s">
        <v>146</v>
      </c>
    </row>
    <row r="50" spans="1:17" x14ac:dyDescent="0.25">
      <c r="A50" t="s">
        <v>2</v>
      </c>
      <c r="D50" s="60">
        <v>0.85</v>
      </c>
      <c r="E50" t="s">
        <v>223</v>
      </c>
      <c r="L50" s="61">
        <v>2.3121387283236993E-2</v>
      </c>
      <c r="M50" s="6">
        <v>0.32369942196531787</v>
      </c>
      <c r="N50" s="6">
        <v>0.32369942196531787</v>
      </c>
      <c r="P50" s="6">
        <v>8.6127167630057802</v>
      </c>
      <c r="Q50" t="s">
        <v>1533</v>
      </c>
    </row>
    <row r="51" spans="1:17" x14ac:dyDescent="0.25">
      <c r="C51" s="2"/>
      <c r="D51" s="2"/>
      <c r="F51" s="42"/>
      <c r="G51" s="42"/>
      <c r="H51" s="42"/>
      <c r="I51" s="42"/>
      <c r="J51" s="42"/>
      <c r="K51" s="42"/>
      <c r="L51" s="42"/>
      <c r="M51" s="6">
        <f>M47*C$4/C$6</f>
        <v>0.87141539194556972</v>
      </c>
    </row>
    <row r="52" spans="1:17" x14ac:dyDescent="0.25">
      <c r="D52" s="2" t="s">
        <v>90</v>
      </c>
      <c r="E52" s="2" t="s">
        <v>96</v>
      </c>
      <c r="H52" s="2" t="s">
        <v>462</v>
      </c>
      <c r="I52" s="2" t="s">
        <v>12</v>
      </c>
      <c r="J52" s="496" t="s">
        <v>149</v>
      </c>
      <c r="K52" s="496"/>
      <c r="L52" s="496"/>
      <c r="M52" s="496"/>
      <c r="N52" s="496"/>
      <c r="O52" s="496"/>
      <c r="P52" s="496"/>
    </row>
    <row r="53" spans="1:17" ht="15.75" thickBot="1" x14ac:dyDescent="0.3">
      <c r="A53" s="53" t="s">
        <v>150</v>
      </c>
      <c r="B53" s="7" t="s">
        <v>94</v>
      </c>
      <c r="C53" s="7" t="s">
        <v>95</v>
      </c>
      <c r="D53" s="7" t="s">
        <v>96</v>
      </c>
      <c r="E53" s="7" t="s">
        <v>80</v>
      </c>
      <c r="F53" s="7" t="s">
        <v>26</v>
      </c>
      <c r="G53" s="53"/>
      <c r="H53" s="7" t="s">
        <v>1530</v>
      </c>
      <c r="I53" s="7" t="s">
        <v>28</v>
      </c>
      <c r="J53" s="7" t="s">
        <v>99</v>
      </c>
      <c r="K53" s="7" t="s">
        <v>100</v>
      </c>
      <c r="L53" s="7" t="s">
        <v>101</v>
      </c>
      <c r="M53" s="7" t="s">
        <v>102</v>
      </c>
      <c r="N53" s="7" t="s">
        <v>103</v>
      </c>
      <c r="O53" s="7" t="s">
        <v>104</v>
      </c>
      <c r="P53" s="7" t="s">
        <v>105</v>
      </c>
      <c r="Q53" s="53" t="s">
        <v>106</v>
      </c>
    </row>
    <row r="54" spans="1:17" ht="15.75" thickTop="1" x14ac:dyDescent="0.25">
      <c r="A54" t="s">
        <v>151</v>
      </c>
      <c r="B54" s="59" t="s">
        <v>152</v>
      </c>
      <c r="C54" s="2">
        <v>2104004000</v>
      </c>
      <c r="D54" s="60">
        <v>0.81</v>
      </c>
      <c r="E54" t="s">
        <v>153</v>
      </c>
      <c r="F54" s="2" t="s">
        <v>154</v>
      </c>
      <c r="H54" s="444">
        <v>2035</v>
      </c>
      <c r="I54" s="2" t="s">
        <v>155</v>
      </c>
      <c r="J54" s="62">
        <v>5.3125436895281979E-3</v>
      </c>
      <c r="K54" s="451">
        <v>8.3237866177467576E-2</v>
      </c>
      <c r="L54" s="451">
        <v>0.21535233209383497</v>
      </c>
      <c r="M54" s="451">
        <v>3.4020926230572584E-3</v>
      </c>
      <c r="N54" s="451">
        <v>3.4020926230572584E-3</v>
      </c>
      <c r="O54" s="451">
        <v>1.8252226922702193E-4</v>
      </c>
      <c r="P54" s="451">
        <v>3.3368858477819943E-3</v>
      </c>
      <c r="Q54" s="448" t="s">
        <v>156</v>
      </c>
    </row>
    <row r="55" spans="1:17" x14ac:dyDescent="0.25">
      <c r="A55" t="s">
        <v>157</v>
      </c>
      <c r="B55" s="59" t="s">
        <v>158</v>
      </c>
      <c r="C55" s="2">
        <v>2104004000</v>
      </c>
      <c r="D55" s="60">
        <v>0.81</v>
      </c>
      <c r="E55" t="s">
        <v>153</v>
      </c>
      <c r="F55" s="2" t="s">
        <v>50</v>
      </c>
      <c r="H55" s="444">
        <v>896</v>
      </c>
      <c r="I55" s="2" t="s">
        <v>155</v>
      </c>
      <c r="J55" s="62">
        <v>5.703999999999999E-3</v>
      </c>
      <c r="K55" s="451">
        <v>8.9371272298833668E-2</v>
      </c>
      <c r="L55" s="451">
        <v>0.1017856</v>
      </c>
      <c r="M55" s="451">
        <v>3.6527767969550548E-3</v>
      </c>
      <c r="N55" s="451">
        <v>3.6527767969550548E-3</v>
      </c>
      <c r="O55" s="451">
        <v>1.9597147515663872E-4</v>
      </c>
      <c r="P55" s="451">
        <v>3.582765241680083E-3</v>
      </c>
      <c r="Q55" s="448" t="s">
        <v>156</v>
      </c>
    </row>
    <row r="56" spans="1:17" x14ac:dyDescent="0.25">
      <c r="A56" t="s">
        <v>159</v>
      </c>
      <c r="B56" s="59" t="s">
        <v>160</v>
      </c>
      <c r="C56" s="2">
        <v>2104004000</v>
      </c>
      <c r="D56" s="60">
        <v>0.81</v>
      </c>
      <c r="E56" t="s">
        <v>153</v>
      </c>
      <c r="F56" s="2" t="s">
        <v>54</v>
      </c>
      <c r="H56" s="444">
        <v>2566</v>
      </c>
      <c r="I56" s="2" t="s">
        <v>155</v>
      </c>
      <c r="J56" s="62">
        <v>5.1480144404332118E-3</v>
      </c>
      <c r="K56" s="451">
        <v>8.0659993049488871E-2</v>
      </c>
      <c r="L56" s="451">
        <v>0.26308447653429601</v>
      </c>
      <c r="M56" s="451">
        <v>3.2967299611507714E-3</v>
      </c>
      <c r="N56" s="451">
        <v>3.2967299611507714E-3</v>
      </c>
      <c r="O56" s="451">
        <v>1.7686956241573892E-4</v>
      </c>
      <c r="P56" s="451">
        <v>3.2335426368953818E-3</v>
      </c>
      <c r="Q56" s="448" t="s">
        <v>156</v>
      </c>
    </row>
    <row r="57" spans="1:17" x14ac:dyDescent="0.25">
      <c r="A57" t="s">
        <v>161</v>
      </c>
      <c r="B57" s="59" t="s">
        <v>162</v>
      </c>
      <c r="C57" s="2" t="s">
        <v>163</v>
      </c>
      <c r="D57" s="60">
        <v>0.81</v>
      </c>
      <c r="E57" t="s">
        <v>153</v>
      </c>
      <c r="F57" s="2" t="s">
        <v>54</v>
      </c>
      <c r="H57" s="444">
        <v>896</v>
      </c>
      <c r="I57" s="2" t="s">
        <v>155</v>
      </c>
      <c r="J57" s="62">
        <v>5.1480144404332118E-3</v>
      </c>
      <c r="K57" s="62">
        <v>0.1299638989169675</v>
      </c>
      <c r="L57" s="451">
        <v>9.1864259927797828E-2</v>
      </c>
      <c r="M57" s="451">
        <v>3.2967299611507714E-3</v>
      </c>
      <c r="N57" s="451">
        <v>3.2967299611507714E-3</v>
      </c>
      <c r="O57" s="451">
        <v>1.7686956241573892E-4</v>
      </c>
      <c r="P57" s="451">
        <v>3.2335426368953818E-3</v>
      </c>
      <c r="Q57" s="448" t="s">
        <v>164</v>
      </c>
    </row>
    <row r="58" spans="1:17" x14ac:dyDescent="0.25">
      <c r="A58" t="s">
        <v>165</v>
      </c>
      <c r="B58" s="59" t="s">
        <v>166</v>
      </c>
      <c r="C58" s="2">
        <v>2104004000</v>
      </c>
      <c r="D58" s="60">
        <v>0.81</v>
      </c>
      <c r="F58" s="2" t="s">
        <v>167</v>
      </c>
      <c r="H58" s="11"/>
      <c r="I58" s="2" t="s">
        <v>155</v>
      </c>
      <c r="J58" s="62">
        <v>5.2045695098361247E-3</v>
      </c>
      <c r="K58" s="62">
        <v>0.13139165662980401</v>
      </c>
      <c r="L58" s="451">
        <v>0.21097542853096343</v>
      </c>
      <c r="M58" s="62">
        <v>2.9198145917734225E-3</v>
      </c>
      <c r="N58" s="62">
        <v>2.9198145917734225E-3</v>
      </c>
      <c r="O58" s="451">
        <v>1.7881261647928638E-4</v>
      </c>
      <c r="P58" s="451">
        <v>3.2690656973612931E-3</v>
      </c>
      <c r="Q58" s="448" t="s">
        <v>168</v>
      </c>
    </row>
    <row r="59" spans="1:17" x14ac:dyDescent="0.25">
      <c r="A59" t="s">
        <v>169</v>
      </c>
      <c r="B59" s="59" t="s">
        <v>170</v>
      </c>
      <c r="C59" s="2">
        <v>2104007000</v>
      </c>
      <c r="D59" s="60">
        <v>0.81</v>
      </c>
      <c r="F59" s="2" t="s">
        <v>50</v>
      </c>
      <c r="H59" s="444">
        <v>896</v>
      </c>
      <c r="I59" s="2" t="s">
        <v>155</v>
      </c>
      <c r="J59" s="62">
        <v>5.703999999999999E-3</v>
      </c>
      <c r="K59" s="62">
        <v>8.9371272298833668E-2</v>
      </c>
      <c r="L59" s="451">
        <v>0.23122063065279469</v>
      </c>
      <c r="M59" s="62">
        <v>3.6527767969550548E-3</v>
      </c>
      <c r="N59" s="62">
        <v>3.6527767969550548E-3</v>
      </c>
      <c r="O59" s="451">
        <v>1.9597147515663872E-4</v>
      </c>
      <c r="P59" s="451">
        <v>3.582765241680083E-3</v>
      </c>
      <c r="Q59" s="448" t="s">
        <v>171</v>
      </c>
    </row>
    <row r="60" spans="1:17" x14ac:dyDescent="0.25">
      <c r="A60" t="s">
        <v>172</v>
      </c>
      <c r="B60" s="59" t="s">
        <v>173</v>
      </c>
      <c r="C60" s="2">
        <v>2104006010</v>
      </c>
      <c r="D60" s="60">
        <v>0.81</v>
      </c>
      <c r="F60" s="2" t="s">
        <v>66</v>
      </c>
      <c r="H60" s="444" t="s">
        <v>1532</v>
      </c>
      <c r="I60" s="2" t="s">
        <v>174</v>
      </c>
      <c r="J60" s="62">
        <v>5.4187192118226599E-3</v>
      </c>
      <c r="K60" s="62">
        <v>9.2610837438423646E-2</v>
      </c>
      <c r="L60" s="62">
        <v>5.9113300492610833E-4</v>
      </c>
      <c r="M60" s="452">
        <v>4.88E-5</v>
      </c>
      <c r="N60" s="452">
        <v>4.88E-5</v>
      </c>
      <c r="O60" s="62">
        <v>1.9704433497536946E-2</v>
      </c>
      <c r="P60" s="62">
        <v>3.9408866995073892E-2</v>
      </c>
      <c r="Q60" s="453" t="s">
        <v>1534</v>
      </c>
    </row>
    <row r="61" spans="1:17" x14ac:dyDescent="0.25">
      <c r="A61" t="s">
        <v>176</v>
      </c>
      <c r="B61" s="59" t="s">
        <v>177</v>
      </c>
      <c r="C61" s="2">
        <v>2103006000</v>
      </c>
      <c r="D61" s="60">
        <v>0.81</v>
      </c>
      <c r="F61" s="2" t="s">
        <v>66</v>
      </c>
      <c r="H61" s="444" t="s">
        <v>1532</v>
      </c>
      <c r="I61" s="2" t="s">
        <v>174</v>
      </c>
      <c r="J61" s="62">
        <v>5.4187192118226599E-3</v>
      </c>
      <c r="K61" s="62">
        <v>9.8522167487684734E-2</v>
      </c>
      <c r="L61" s="62">
        <v>5.9113300492610833E-4</v>
      </c>
      <c r="M61" s="62">
        <v>7.4876847290640397E-3</v>
      </c>
      <c r="N61" s="62">
        <v>7.4876847290640397E-3</v>
      </c>
      <c r="O61" s="62">
        <v>1.9704433497536946E-2</v>
      </c>
      <c r="P61" s="62">
        <v>3.9408866995073892E-2</v>
      </c>
      <c r="Q61" t="s">
        <v>175</v>
      </c>
    </row>
    <row r="62" spans="1:17" x14ac:dyDescent="0.25">
      <c r="A62" t="s">
        <v>178</v>
      </c>
      <c r="B62" s="59" t="s">
        <v>179</v>
      </c>
      <c r="C62" s="2">
        <v>2104002000</v>
      </c>
      <c r="D62" s="60">
        <v>0.43</v>
      </c>
      <c r="E62" t="s">
        <v>180</v>
      </c>
      <c r="F62" s="2" t="s">
        <v>69</v>
      </c>
      <c r="H62" s="444">
        <v>2000</v>
      </c>
      <c r="I62" s="2" t="s">
        <v>181</v>
      </c>
      <c r="J62" s="62">
        <v>0.65789473684210531</v>
      </c>
      <c r="K62" s="451">
        <v>0.31052631578947371</v>
      </c>
      <c r="L62" s="62">
        <v>0.61184210526315785</v>
      </c>
      <c r="M62" s="451">
        <v>0.5256578947368421</v>
      </c>
      <c r="N62" s="451">
        <v>0.5256578947368421</v>
      </c>
      <c r="O62" s="451">
        <v>8.3286184210526332E-2</v>
      </c>
      <c r="P62" s="451">
        <v>8.5904605263157894</v>
      </c>
      <c r="Q62" s="448" t="s">
        <v>182</v>
      </c>
    </row>
    <row r="63" spans="1:17" x14ac:dyDescent="0.25">
      <c r="A63" t="s">
        <v>183</v>
      </c>
      <c r="B63" s="59" t="s">
        <v>184</v>
      </c>
      <c r="C63" s="2" t="s">
        <v>185</v>
      </c>
      <c r="D63" s="2" t="s">
        <v>19</v>
      </c>
      <c r="F63" s="2" t="s">
        <v>54</v>
      </c>
      <c r="H63" s="2"/>
      <c r="I63" s="2" t="s">
        <v>155</v>
      </c>
      <c r="J63" s="62">
        <v>7.2202166064981952E-3</v>
      </c>
      <c r="K63" s="451">
        <v>0.37693099395384777</v>
      </c>
      <c r="L63" s="451">
        <v>0.26689697964980835</v>
      </c>
      <c r="M63" s="451">
        <v>3.7575325985579236E-2</v>
      </c>
      <c r="N63" s="451">
        <v>3.7575325985579236E-2</v>
      </c>
      <c r="O63" s="451">
        <v>2.6269078644246729E-4</v>
      </c>
      <c r="P63" s="451">
        <v>8.9732121756607122E-2</v>
      </c>
      <c r="Q63" s="448" t="s">
        <v>186</v>
      </c>
    </row>
    <row r="64" spans="1:17" x14ac:dyDescent="0.25">
      <c r="A64" t="s">
        <v>187</v>
      </c>
      <c r="B64" t="s">
        <v>19</v>
      </c>
      <c r="C64" s="2" t="s">
        <v>19</v>
      </c>
      <c r="D64" s="2" t="s">
        <v>19</v>
      </c>
    </row>
    <row r="67" spans="4:16" ht="15.75" x14ac:dyDescent="0.25">
      <c r="D67" s="505" t="s">
        <v>188</v>
      </c>
      <c r="E67" s="505"/>
      <c r="F67" s="505"/>
      <c r="G67" s="505"/>
      <c r="H67" s="505"/>
      <c r="I67" s="505"/>
      <c r="J67" s="505"/>
      <c r="K67" s="505"/>
      <c r="L67" s="505"/>
      <c r="M67" s="505"/>
      <c r="N67" s="505"/>
      <c r="O67" s="505"/>
      <c r="P67" s="505"/>
    </row>
    <row r="68" spans="4:16" ht="15.75" x14ac:dyDescent="0.25">
      <c r="D68" s="513" t="s">
        <v>189</v>
      </c>
      <c r="E68" s="505"/>
      <c r="F68" s="505"/>
      <c r="G68" s="505"/>
      <c r="H68" s="505"/>
      <c r="I68" s="505"/>
      <c r="J68" s="505"/>
      <c r="K68" s="505"/>
      <c r="L68" s="505"/>
      <c r="M68" s="505"/>
      <c r="N68" s="505"/>
      <c r="O68" s="505"/>
      <c r="P68" s="505"/>
    </row>
    <row r="69" spans="4:16" x14ac:dyDescent="0.25">
      <c r="F69" s="2" t="s">
        <v>190</v>
      </c>
      <c r="J69" s="496" t="s">
        <v>191</v>
      </c>
      <c r="K69" s="496"/>
      <c r="L69" s="496"/>
      <c r="M69" s="496"/>
      <c r="N69" s="496"/>
      <c r="O69" s="496"/>
      <c r="P69" s="496"/>
    </row>
    <row r="70" spans="4:16" ht="15.75" thickBot="1" x14ac:dyDescent="0.3">
      <c r="D70" s="7" t="s">
        <v>26</v>
      </c>
      <c r="E70" s="7" t="s">
        <v>192</v>
      </c>
      <c r="F70" s="7" t="s">
        <v>96</v>
      </c>
      <c r="G70" s="7"/>
      <c r="H70" s="7"/>
      <c r="I70" s="7"/>
      <c r="J70" s="7" t="s">
        <v>99</v>
      </c>
      <c r="K70" s="7" t="s">
        <v>100</v>
      </c>
      <c r="L70" s="7" t="s">
        <v>101</v>
      </c>
      <c r="M70" s="7" t="s">
        <v>102</v>
      </c>
      <c r="N70" s="63" t="s">
        <v>103</v>
      </c>
      <c r="O70" s="7" t="s">
        <v>104</v>
      </c>
      <c r="P70" s="7" t="s">
        <v>105</v>
      </c>
    </row>
    <row r="71" spans="4:16" ht="15.75" thickTop="1" x14ac:dyDescent="0.25">
      <c r="D71" s="2" t="s">
        <v>6</v>
      </c>
      <c r="E71" t="str">
        <f>A37</f>
        <v>Fireplace, No Insert</v>
      </c>
      <c r="F71" s="64">
        <f>D37</f>
        <v>7.0000000000000007E-2</v>
      </c>
      <c r="J71" s="6">
        <f>J37/$D37</f>
        <v>189.09991742361683</v>
      </c>
      <c r="K71" s="6">
        <f t="shared" ref="K71:P71" si="1">K37/$D37</f>
        <v>2.1469859620148637</v>
      </c>
      <c r="L71" s="6">
        <f t="shared" si="1"/>
        <v>0.33030553261767132</v>
      </c>
      <c r="M71" s="6">
        <f t="shared" si="1"/>
        <v>28.571428571428569</v>
      </c>
      <c r="N71" s="65">
        <f t="shared" si="1"/>
        <v>28.571428571428569</v>
      </c>
      <c r="O71" s="6">
        <f t="shared" si="1"/>
        <v>1.4863748967795209</v>
      </c>
      <c r="P71" s="6">
        <f t="shared" si="1"/>
        <v>208.58794384805941</v>
      </c>
    </row>
    <row r="72" spans="4:16" x14ac:dyDescent="0.25">
      <c r="D72" s="2" t="s">
        <v>6</v>
      </c>
      <c r="E72" t="str">
        <f t="shared" ref="E72:E83" si="2">A38</f>
        <v>Fireplace, With Insert - Non-EPA Certified</v>
      </c>
      <c r="F72" s="64">
        <f t="shared" ref="F72:F83" si="3">D38</f>
        <v>0.4</v>
      </c>
      <c r="J72" s="6">
        <f t="shared" ref="J72:P83" si="4">J38/$D38</f>
        <v>7.6589595375722537</v>
      </c>
      <c r="K72" s="6">
        <f t="shared" si="4"/>
        <v>0.40462427745664731</v>
      </c>
      <c r="L72" s="6">
        <f t="shared" si="4"/>
        <v>5.7803468208092477E-2</v>
      </c>
      <c r="M72" s="6">
        <f t="shared" si="4"/>
        <v>4.4219653179190752</v>
      </c>
      <c r="N72" s="65">
        <f t="shared" si="4"/>
        <v>4.4219653179190752</v>
      </c>
      <c r="O72" s="6">
        <f t="shared" si="4"/>
        <v>0.24566473988439302</v>
      </c>
      <c r="P72" s="6">
        <f t="shared" si="4"/>
        <v>33.352601156069362</v>
      </c>
    </row>
    <row r="73" spans="4:16" x14ac:dyDescent="0.25">
      <c r="D73" s="2" t="s">
        <v>6</v>
      </c>
      <c r="E73" t="str">
        <f t="shared" si="2"/>
        <v>Fireplace, With Insert - EPA Certified Non-Catalytic</v>
      </c>
      <c r="F73" s="64">
        <f t="shared" si="3"/>
        <v>0.66</v>
      </c>
      <c r="J73" s="6">
        <f t="shared" si="4"/>
        <v>1.0509721492380451</v>
      </c>
      <c r="K73" s="6">
        <f t="shared" si="4"/>
        <v>0.17516202487300753</v>
      </c>
      <c r="L73" s="6">
        <f t="shared" si="4"/>
        <v>3.50324049746015E-2</v>
      </c>
      <c r="M73" s="6">
        <f t="shared" si="4"/>
        <v>1.0509721492380451</v>
      </c>
      <c r="N73" s="65">
        <f t="shared" si="4"/>
        <v>1.0509721492380451</v>
      </c>
      <c r="O73" s="6">
        <f t="shared" si="4"/>
        <v>7.8822911192853382E-2</v>
      </c>
      <c r="P73" s="6">
        <f t="shared" si="4"/>
        <v>12.331406551059729</v>
      </c>
    </row>
    <row r="74" spans="4:16" x14ac:dyDescent="0.25">
      <c r="D74" s="2" t="s">
        <v>6</v>
      </c>
      <c r="E74" t="str">
        <f t="shared" si="2"/>
        <v>Fireplace, With Insert - EPA Certified Catalytic</v>
      </c>
      <c r="F74" s="64">
        <f t="shared" si="3"/>
        <v>0.7</v>
      </c>
      <c r="J74" s="6">
        <f t="shared" si="4"/>
        <v>1.2386457473162675</v>
      </c>
      <c r="K74" s="6">
        <f t="shared" si="4"/>
        <v>0.16515276630883569</v>
      </c>
      <c r="L74" s="6">
        <f t="shared" si="4"/>
        <v>3.3030553261767133E-2</v>
      </c>
      <c r="M74" s="6">
        <f t="shared" si="4"/>
        <v>1.0734929810074318</v>
      </c>
      <c r="N74" s="65">
        <f t="shared" si="4"/>
        <v>1.0734929810074318</v>
      </c>
      <c r="O74" s="6">
        <f t="shared" si="4"/>
        <v>7.4318744838976061E-2</v>
      </c>
      <c r="P74" s="6">
        <f t="shared" si="4"/>
        <v>8.8356729975227086</v>
      </c>
    </row>
    <row r="75" spans="4:16" x14ac:dyDescent="0.25">
      <c r="D75" s="2" t="s">
        <v>6</v>
      </c>
      <c r="E75" t="str">
        <f t="shared" si="2"/>
        <v>Woodstove - Non-EPA Certified</v>
      </c>
      <c r="F75" s="64">
        <f t="shared" si="3"/>
        <v>0.54</v>
      </c>
      <c r="J75" s="6">
        <f t="shared" si="4"/>
        <v>5.6733033611646322</v>
      </c>
      <c r="K75" s="6">
        <f t="shared" si="4"/>
        <v>0.15544237136380301</v>
      </c>
      <c r="L75" s="6">
        <f t="shared" si="4"/>
        <v>4.2817383857846281E-2</v>
      </c>
      <c r="M75" s="6">
        <f t="shared" si="4"/>
        <v>1.299724832516908</v>
      </c>
      <c r="N75" s="65">
        <f t="shared" si="4"/>
        <v>1.299724832516908</v>
      </c>
      <c r="O75" s="6">
        <f t="shared" si="4"/>
        <v>4.2499309059533252E-2</v>
      </c>
      <c r="P75" s="6">
        <f t="shared" si="4"/>
        <v>12.970524694783993</v>
      </c>
    </row>
    <row r="76" spans="4:16" x14ac:dyDescent="0.25">
      <c r="D76" s="2" t="s">
        <v>6</v>
      </c>
      <c r="E76" t="str">
        <f t="shared" si="2"/>
        <v>Woodstove - EPA Certified Non-Catalytic</v>
      </c>
      <c r="F76" s="64">
        <f t="shared" si="3"/>
        <v>0.68</v>
      </c>
      <c r="J76" s="6">
        <f t="shared" si="4"/>
        <v>1.0200612036722203</v>
      </c>
      <c r="K76" s="6">
        <f t="shared" si="4"/>
        <v>0.13675957465467117</v>
      </c>
      <c r="L76" s="6">
        <f t="shared" si="4"/>
        <v>3.4002040122407338E-2</v>
      </c>
      <c r="M76" s="6">
        <f t="shared" si="4"/>
        <v>0.67367606773746747</v>
      </c>
      <c r="N76" s="65">
        <f t="shared" si="4"/>
        <v>0.67367606773746747</v>
      </c>
      <c r="O76" s="6">
        <f t="shared" si="4"/>
        <v>2.1229321351241379E-2</v>
      </c>
      <c r="P76" s="6">
        <f t="shared" si="4"/>
        <v>10.510111228503423</v>
      </c>
    </row>
    <row r="77" spans="4:16" x14ac:dyDescent="0.25">
      <c r="D77" s="2" t="s">
        <v>6</v>
      </c>
      <c r="E77" t="str">
        <f t="shared" si="2"/>
        <v>Woodstove - EPA Certified Catalytic</v>
      </c>
      <c r="F77" s="64">
        <f t="shared" si="3"/>
        <v>0.72</v>
      </c>
      <c r="J77" s="6">
        <f t="shared" si="4"/>
        <v>1.2042389210019269</v>
      </c>
      <c r="K77" s="6">
        <f t="shared" si="4"/>
        <v>0.12916182050718947</v>
      </c>
      <c r="L77" s="6">
        <f t="shared" si="4"/>
        <v>3.211303789338471E-2</v>
      </c>
      <c r="M77" s="6">
        <f t="shared" si="4"/>
        <v>0.70597560523172997</v>
      </c>
      <c r="N77" s="65">
        <f>N43/$D43</f>
        <v>0.70597560523172997</v>
      </c>
      <c r="O77" s="6">
        <f t="shared" si="4"/>
        <v>2.004991460950575E-2</v>
      </c>
      <c r="P77" s="6">
        <f t="shared" si="4"/>
        <v>9.9262161602532331</v>
      </c>
    </row>
    <row r="78" spans="4:16" x14ac:dyDescent="0.25">
      <c r="D78" s="2" t="s">
        <v>6</v>
      </c>
      <c r="E78" t="str">
        <f t="shared" si="2"/>
        <v>Pellet Stove (Exempt)</v>
      </c>
      <c r="F78" s="64">
        <f t="shared" si="3"/>
        <v>0.56000000000000005</v>
      </c>
      <c r="J78" s="6">
        <f t="shared" si="4"/>
        <v>0.24772914946325347</v>
      </c>
      <c r="K78" s="6">
        <f t="shared" si="4"/>
        <v>0.43261226543331893</v>
      </c>
      <c r="L78" s="6">
        <f t="shared" si="4"/>
        <v>3.4574406827837682E-2</v>
      </c>
      <c r="M78" s="6">
        <f t="shared" si="4"/>
        <v>0.31981326315749853</v>
      </c>
      <c r="N78" s="65">
        <f t="shared" si="4"/>
        <v>0.31981326315749853</v>
      </c>
      <c r="O78" s="6">
        <f t="shared" si="4"/>
        <v>7.7662761337030399E-3</v>
      </c>
      <c r="P78" s="6">
        <f t="shared" si="4"/>
        <v>1.073103151919012</v>
      </c>
    </row>
    <row r="79" spans="4:16" x14ac:dyDescent="0.25">
      <c r="D79" s="2" t="s">
        <v>6</v>
      </c>
      <c r="E79" t="str">
        <f t="shared" si="2"/>
        <v>Pellet Stove (EPA Certified)</v>
      </c>
      <c r="F79" s="64">
        <f t="shared" si="3"/>
        <v>0.78</v>
      </c>
      <c r="J79" s="6">
        <f t="shared" si="4"/>
        <v>0.17785682525566915</v>
      </c>
      <c r="K79" s="6">
        <f t="shared" si="4"/>
        <v>0.31059342133674178</v>
      </c>
      <c r="L79" s="6">
        <f t="shared" si="4"/>
        <v>2.4822651055883462E-2</v>
      </c>
      <c r="M79" s="6">
        <f t="shared" si="4"/>
        <v>0.22960952226692205</v>
      </c>
      <c r="N79" s="65">
        <f t="shared" si="4"/>
        <v>0.22960952226692205</v>
      </c>
      <c r="O79" s="6">
        <f t="shared" si="4"/>
        <v>5.5757879934278231E-3</v>
      </c>
      <c r="P79" s="6">
        <f t="shared" si="4"/>
        <v>0.770433032146983</v>
      </c>
    </row>
    <row r="80" spans="4:16" x14ac:dyDescent="0.25">
      <c r="D80" s="2" t="s">
        <v>6</v>
      </c>
      <c r="E80" t="str">
        <f t="shared" si="2"/>
        <v>OWB (Hydronic Heater) - 80/20 Unqual/Phase 2 Wtd</v>
      </c>
      <c r="F80" s="64">
        <f t="shared" si="3"/>
        <v>0.43</v>
      </c>
      <c r="J80" s="6">
        <f t="shared" si="4"/>
        <v>6.1029708294125564</v>
      </c>
      <c r="K80" s="6">
        <f t="shared" si="4"/>
        <v>0.21679439570610612</v>
      </c>
      <c r="L80" s="6">
        <f t="shared" si="4"/>
        <v>5.3770668100551158E-2</v>
      </c>
      <c r="M80" s="6">
        <f t="shared" si="4"/>
        <v>1.3268116788958113</v>
      </c>
      <c r="N80" s="65">
        <f t="shared" si="4"/>
        <v>1.3268116788958113</v>
      </c>
      <c r="O80" s="6">
        <f t="shared" si="4"/>
        <v>3.2767652854291347E-2</v>
      </c>
      <c r="P80" s="6">
        <f t="shared" si="4"/>
        <v>8.1423130107544122</v>
      </c>
    </row>
    <row r="81" spans="4:16" x14ac:dyDescent="0.25">
      <c r="D81" s="2" t="s">
        <v>6</v>
      </c>
      <c r="E81" t="str">
        <f t="shared" si="2"/>
        <v>OWB (Hydronic Heater) - Unqualified</v>
      </c>
      <c r="F81" s="64">
        <f t="shared" si="3"/>
        <v>0.43</v>
      </c>
      <c r="J81" s="6">
        <f t="shared" si="4"/>
        <v>7.1246135233230268</v>
      </c>
      <c r="K81" s="6">
        <f t="shared" si="4"/>
        <v>0.19840081127369652</v>
      </c>
      <c r="L81" s="6">
        <f t="shared" si="4"/>
        <v>5.3770668100551144E-2</v>
      </c>
      <c r="M81" s="6">
        <f t="shared" si="4"/>
        <v>1.4848757459742818</v>
      </c>
      <c r="N81" s="65">
        <f t="shared" si="4"/>
        <v>1.4848757459742818</v>
      </c>
      <c r="O81" s="6">
        <f t="shared" si="4"/>
        <v>3.6739327534441243E-2</v>
      </c>
      <c r="P81" s="6">
        <f t="shared" si="4"/>
        <v>7.4336984819782863</v>
      </c>
    </row>
    <row r="82" spans="4:16" x14ac:dyDescent="0.25">
      <c r="D82" s="2" t="s">
        <v>6</v>
      </c>
      <c r="E82" t="str">
        <f t="shared" si="2"/>
        <v>OWB (Hydronic Heater) - Phase 1</v>
      </c>
      <c r="F82" s="64">
        <f t="shared" si="3"/>
        <v>0.43</v>
      </c>
      <c r="J82" s="6">
        <f t="shared" si="4"/>
        <v>1.6131200430165344</v>
      </c>
      <c r="K82" s="6">
        <f t="shared" si="4"/>
        <v>0.29036873343574471</v>
      </c>
      <c r="L82" s="6">
        <f t="shared" si="4"/>
        <v>5.3770668100551144E-2</v>
      </c>
      <c r="M82" s="6">
        <f t="shared" si="4"/>
        <v>1.3083485641194479</v>
      </c>
      <c r="N82" s="65">
        <f t="shared" si="4"/>
        <v>1.3083485641194479</v>
      </c>
      <c r="O82" s="6">
        <f t="shared" si="4"/>
        <v>1.6880954133691749E-2</v>
      </c>
      <c r="P82" s="6">
        <f t="shared" si="4"/>
        <v>14.444199761877892</v>
      </c>
    </row>
    <row r="83" spans="4:16" x14ac:dyDescent="0.25">
      <c r="D83" s="2" t="s">
        <v>6</v>
      </c>
      <c r="E83" t="str">
        <f t="shared" si="2"/>
        <v>OWB (Hydronic Heater) - Phase 2</v>
      </c>
      <c r="F83" s="64">
        <f t="shared" si="3"/>
        <v>0.43</v>
      </c>
      <c r="J83" s="6">
        <f t="shared" si="4"/>
        <v>2.0164000537706683</v>
      </c>
      <c r="K83" s="6">
        <f t="shared" si="4"/>
        <v>0.29036873343574471</v>
      </c>
      <c r="L83" s="6">
        <f t="shared" si="4"/>
        <v>5.3770668100551144E-2</v>
      </c>
      <c r="M83" s="6">
        <f t="shared" si="4"/>
        <v>0.69455541058192904</v>
      </c>
      <c r="N83" s="65">
        <f t="shared" si="4"/>
        <v>0.69455541058192904</v>
      </c>
      <c r="O83" s="6">
        <f t="shared" si="4"/>
        <v>1.6880954133691749E-2</v>
      </c>
      <c r="P83" s="6">
        <f t="shared" si="4"/>
        <v>10.976771125858908</v>
      </c>
    </row>
    <row r="84" spans="4:16" x14ac:dyDescent="0.25">
      <c r="D84" s="2" t="s">
        <v>69</v>
      </c>
      <c r="E84" t="str">
        <f>A62</f>
        <v>Coal Boiler (bituminous/subbituminous, hand-fed)</v>
      </c>
      <c r="F84" s="64">
        <f>D62</f>
        <v>0.43</v>
      </c>
      <c r="J84" s="6">
        <f t="shared" ref="J84:P84" si="5">J62/$D62</f>
        <v>1.5299877600979193</v>
      </c>
      <c r="K84" s="6">
        <f t="shared" si="5"/>
        <v>0.72215422276621788</v>
      </c>
      <c r="L84" s="6">
        <f t="shared" si="5"/>
        <v>1.4228886168910648</v>
      </c>
      <c r="M84" s="6">
        <f t="shared" si="5"/>
        <v>1.2224602203182375</v>
      </c>
      <c r="N84" s="65">
        <f t="shared" si="5"/>
        <v>1.2224602203182375</v>
      </c>
      <c r="O84" s="6">
        <f t="shared" si="5"/>
        <v>0.19368880048959614</v>
      </c>
      <c r="P84" s="6">
        <f t="shared" si="5"/>
        <v>19.977815177478579</v>
      </c>
    </row>
    <row r="85" spans="4:16" x14ac:dyDescent="0.25">
      <c r="D85" s="2" t="s">
        <v>4</v>
      </c>
      <c r="E85" t="str">
        <f>A54</f>
        <v>Central Oil (Weighted # 1 &amp; #2), Residential</v>
      </c>
      <c r="F85" s="64">
        <f>D54</f>
        <v>0.81</v>
      </c>
      <c r="J85" s="6">
        <f>J54/$D54</f>
        <v>6.5586959129977744E-3</v>
      </c>
      <c r="K85" s="6">
        <f t="shared" ref="K85:P87" si="6">K54/$D54</f>
        <v>0.10276279774995996</v>
      </c>
      <c r="L85" s="6">
        <f t="shared" si="6"/>
        <v>0.26586707665905551</v>
      </c>
      <c r="M85" s="6">
        <f t="shared" si="6"/>
        <v>4.200114349453405E-3</v>
      </c>
      <c r="N85" s="65">
        <f t="shared" si="6"/>
        <v>4.200114349453405E-3</v>
      </c>
      <c r="O85" s="6">
        <f t="shared" si="6"/>
        <v>2.2533613484817521E-4</v>
      </c>
      <c r="P85" s="6">
        <f t="shared" si="6"/>
        <v>4.1196121577555481E-3</v>
      </c>
    </row>
    <row r="86" spans="4:16" x14ac:dyDescent="0.25">
      <c r="D86" s="2" t="s">
        <v>4</v>
      </c>
      <c r="E86" t="str">
        <f>A55</f>
        <v>Central Oil (#1 distillate), Residential</v>
      </c>
      <c r="F86" s="64">
        <f>D55</f>
        <v>0.81</v>
      </c>
      <c r="J86" s="6">
        <f>J55/$D55</f>
        <v>7.0419753086419738E-3</v>
      </c>
      <c r="K86" s="6">
        <f t="shared" si="6"/>
        <v>0.11033490407263415</v>
      </c>
      <c r="L86" s="6">
        <f t="shared" si="6"/>
        <v>0.12566123456790124</v>
      </c>
      <c r="M86" s="6">
        <f t="shared" si="6"/>
        <v>4.5096009838951293E-3</v>
      </c>
      <c r="N86" s="65">
        <f t="shared" si="6"/>
        <v>4.5096009838951293E-3</v>
      </c>
      <c r="O86" s="6">
        <f t="shared" si="6"/>
        <v>2.4194009278597371E-4</v>
      </c>
      <c r="P86" s="6">
        <f t="shared" si="6"/>
        <v>4.4231669650371388E-3</v>
      </c>
    </row>
    <row r="87" spans="4:16" x14ac:dyDescent="0.25">
      <c r="D87" s="2" t="s">
        <v>4</v>
      </c>
      <c r="E87" t="str">
        <f>A56</f>
        <v>Central Oil (#2 distillate), Residential</v>
      </c>
      <c r="F87" s="64">
        <f>D56</f>
        <v>0.81</v>
      </c>
      <c r="J87" s="6">
        <f>J56/$D56</f>
        <v>6.3555733832508787E-3</v>
      </c>
      <c r="K87" s="6">
        <f t="shared" si="6"/>
        <v>9.9580238332702298E-2</v>
      </c>
      <c r="L87" s="6">
        <f t="shared" si="6"/>
        <v>0.32479565004234073</v>
      </c>
      <c r="M87" s="6">
        <f t="shared" si="6"/>
        <v>4.0700369890750258E-3</v>
      </c>
      <c r="N87" s="65">
        <f t="shared" si="6"/>
        <v>4.0700369890750258E-3</v>
      </c>
      <c r="O87" s="6">
        <f t="shared" si="6"/>
        <v>2.1835748446387518E-4</v>
      </c>
      <c r="P87" s="6">
        <f t="shared" si="6"/>
        <v>3.9920279467844213E-3</v>
      </c>
    </row>
    <row r="88" spans="4:16" x14ac:dyDescent="0.25">
      <c r="D88" s="2" t="s">
        <v>4</v>
      </c>
      <c r="E88" t="str">
        <f>A58</f>
        <v>Portable: 43% Kerosene &amp; 57% Fuel Oil</v>
      </c>
      <c r="F88" s="64">
        <f>D58</f>
        <v>0.81</v>
      </c>
      <c r="J88" s="6">
        <f t="shared" ref="J88:P91" si="7">J58/$D58</f>
        <v>6.4253944565878076E-3</v>
      </c>
      <c r="K88" s="6">
        <f t="shared" si="7"/>
        <v>0.16221192176519011</v>
      </c>
      <c r="L88" s="6">
        <f t="shared" si="7"/>
        <v>0.26046349201353508</v>
      </c>
      <c r="M88" s="6">
        <f t="shared" si="7"/>
        <v>3.6047093725597805E-3</v>
      </c>
      <c r="N88" s="65">
        <f t="shared" si="7"/>
        <v>3.6047093725597805E-3</v>
      </c>
      <c r="O88" s="6">
        <f t="shared" si="7"/>
        <v>2.207563166410943E-4</v>
      </c>
      <c r="P88" s="6">
        <f t="shared" si="7"/>
        <v>4.0358835769892503E-3</v>
      </c>
    </row>
    <row r="89" spans="4:16" x14ac:dyDescent="0.25">
      <c r="D89" s="2" t="s">
        <v>4</v>
      </c>
      <c r="E89" t="str">
        <f>A59</f>
        <v>Direct Vent</v>
      </c>
      <c r="F89" s="64">
        <f>D59</f>
        <v>0.81</v>
      </c>
      <c r="J89" s="6">
        <f t="shared" si="7"/>
        <v>7.0419753086419738E-3</v>
      </c>
      <c r="K89" s="6">
        <f t="shared" si="7"/>
        <v>0.11033490407263415</v>
      </c>
      <c r="L89" s="6">
        <f t="shared" si="7"/>
        <v>0.28545756870715394</v>
      </c>
      <c r="M89" s="6">
        <f t="shared" si="7"/>
        <v>4.5096009838951293E-3</v>
      </c>
      <c r="N89" s="65">
        <f t="shared" si="7"/>
        <v>4.5096009838951293E-3</v>
      </c>
      <c r="O89" s="6">
        <f t="shared" si="7"/>
        <v>2.4194009278597371E-4</v>
      </c>
      <c r="P89" s="6">
        <f t="shared" si="7"/>
        <v>4.4231669650371388E-3</v>
      </c>
    </row>
    <row r="90" spans="4:16" x14ac:dyDescent="0.25">
      <c r="D90" s="2" t="s">
        <v>193</v>
      </c>
      <c r="E90" t="str">
        <f>A60</f>
        <v>Natural Gas - Residential</v>
      </c>
      <c r="F90" s="64">
        <f>D60</f>
        <v>0.81</v>
      </c>
      <c r="J90" s="6">
        <f t="shared" si="7"/>
        <v>6.6897768047193325E-3</v>
      </c>
      <c r="K90" s="6">
        <f t="shared" si="7"/>
        <v>0.11433436720793042</v>
      </c>
      <c r="L90" s="6">
        <f t="shared" si="7"/>
        <v>7.2979383324210895E-4</v>
      </c>
      <c r="M90" s="6">
        <f t="shared" si="7"/>
        <v>6.0246913580246913E-5</v>
      </c>
      <c r="N90" s="65">
        <f t="shared" si="7"/>
        <v>6.0246913580246913E-5</v>
      </c>
      <c r="O90" s="6">
        <f t="shared" si="7"/>
        <v>2.4326461108070303E-2</v>
      </c>
      <c r="P90" s="6">
        <f t="shared" si="7"/>
        <v>4.8652922216140607E-2</v>
      </c>
    </row>
    <row r="91" spans="4:16" x14ac:dyDescent="0.25">
      <c r="D91" s="2" t="s">
        <v>193</v>
      </c>
      <c r="E91" t="str">
        <f>A61</f>
        <v>Natural Gas - Commercial, small uncontrolled</v>
      </c>
      <c r="F91" s="64">
        <f>D61</f>
        <v>0.81</v>
      </c>
      <c r="J91" s="6">
        <f t="shared" si="7"/>
        <v>6.6897768047193325E-3</v>
      </c>
      <c r="K91" s="6">
        <f t="shared" si="7"/>
        <v>0.12163230554035151</v>
      </c>
      <c r="L91" s="6">
        <f t="shared" si="7"/>
        <v>7.2979383324210895E-4</v>
      </c>
      <c r="M91" s="6">
        <f t="shared" si="7"/>
        <v>9.2440552210667146E-3</v>
      </c>
      <c r="N91" s="65">
        <f t="shared" si="7"/>
        <v>9.2440552210667146E-3</v>
      </c>
      <c r="O91" s="6">
        <f t="shared" si="7"/>
        <v>2.4326461108070303E-2</v>
      </c>
      <c r="P91" s="6">
        <f t="shared" si="7"/>
        <v>4.8652922216140607E-2</v>
      </c>
    </row>
    <row r="94" spans="4:16" ht="15.75" x14ac:dyDescent="0.25">
      <c r="D94" s="505" t="s">
        <v>188</v>
      </c>
      <c r="E94" s="505"/>
      <c r="F94" s="505"/>
      <c r="G94" s="505"/>
      <c r="H94" s="505"/>
      <c r="I94" s="505"/>
      <c r="J94" s="505"/>
      <c r="K94" s="505"/>
      <c r="L94" s="505"/>
      <c r="M94" s="505"/>
      <c r="N94" s="505"/>
      <c r="O94" s="505"/>
      <c r="P94" s="505"/>
    </row>
    <row r="95" spans="4:16" ht="15.75" x14ac:dyDescent="0.25">
      <c r="D95" s="513" t="s">
        <v>194</v>
      </c>
      <c r="E95" s="505"/>
      <c r="F95" s="505"/>
      <c r="G95" s="505"/>
      <c r="H95" s="505"/>
      <c r="I95" s="505"/>
      <c r="J95" s="505"/>
      <c r="K95" s="505"/>
      <c r="L95" s="505"/>
      <c r="M95" s="505"/>
      <c r="N95" s="505"/>
      <c r="O95" s="505"/>
      <c r="P95" s="505"/>
    </row>
    <row r="96" spans="4:16" x14ac:dyDescent="0.25">
      <c r="F96" s="2" t="s">
        <v>190</v>
      </c>
      <c r="J96" s="496" t="s">
        <v>191</v>
      </c>
      <c r="K96" s="496"/>
      <c r="L96" s="496"/>
      <c r="M96" s="496"/>
      <c r="N96" s="496"/>
      <c r="O96" s="496"/>
      <c r="P96" s="496"/>
    </row>
    <row r="97" spans="4:16" ht="15.75" thickBot="1" x14ac:dyDescent="0.3">
      <c r="D97" s="7" t="s">
        <v>26</v>
      </c>
      <c r="E97" s="7" t="s">
        <v>192</v>
      </c>
      <c r="F97" s="7" t="s">
        <v>96</v>
      </c>
      <c r="G97" s="7"/>
      <c r="H97" s="7"/>
      <c r="I97" s="7"/>
      <c r="J97" s="7" t="s">
        <v>99</v>
      </c>
      <c r="K97" s="7" t="s">
        <v>100</v>
      </c>
      <c r="L97" s="7" t="s">
        <v>101</v>
      </c>
      <c r="M97" s="7" t="s">
        <v>102</v>
      </c>
      <c r="N97" s="63" t="s">
        <v>103</v>
      </c>
      <c r="O97" s="7" t="s">
        <v>104</v>
      </c>
      <c r="P97" s="7" t="s">
        <v>105</v>
      </c>
    </row>
    <row r="98" spans="4:16" ht="15.75" thickTop="1" x14ac:dyDescent="0.25">
      <c r="D98" s="2" t="str">
        <f t="shared" ref="D98:F113" si="8">D71</f>
        <v>Wood</v>
      </c>
      <c r="E98" t="str">
        <f>E71</f>
        <v>Fireplace, No Insert</v>
      </c>
      <c r="F98" s="66">
        <f>F71</f>
        <v>7.0000000000000007E-2</v>
      </c>
      <c r="J98" s="6">
        <f t="shared" ref="J98:P110" si="9">J71*$C$4/$C$5</f>
        <v>226.91990090834022</v>
      </c>
      <c r="K98" s="6">
        <f t="shared" si="9"/>
        <v>2.5763831544178362</v>
      </c>
      <c r="L98" s="6">
        <f t="shared" si="9"/>
        <v>0.39636663914120562</v>
      </c>
      <c r="M98" s="6">
        <f t="shared" si="9"/>
        <v>34.285714285714285</v>
      </c>
      <c r="N98" s="65">
        <f t="shared" si="9"/>
        <v>34.285714285714285</v>
      </c>
      <c r="O98" s="6">
        <f t="shared" si="9"/>
        <v>1.7836498761354251</v>
      </c>
      <c r="P98" s="6">
        <f t="shared" si="9"/>
        <v>250.30553261767128</v>
      </c>
    </row>
    <row r="99" spans="4:16" x14ac:dyDescent="0.25">
      <c r="D99" s="2" t="str">
        <f t="shared" si="8"/>
        <v>Wood</v>
      </c>
      <c r="E99" t="str">
        <f t="shared" si="8"/>
        <v>Fireplace, With Insert - Non-EPA Certified</v>
      </c>
      <c r="F99" s="66">
        <f t="shared" si="8"/>
        <v>0.4</v>
      </c>
      <c r="J99" s="6">
        <f t="shared" si="9"/>
        <v>9.1907514450867041</v>
      </c>
      <c r="K99" s="6">
        <f t="shared" si="9"/>
        <v>0.48554913294797675</v>
      </c>
      <c r="L99" s="6">
        <f t="shared" si="9"/>
        <v>6.9364161849710976E-2</v>
      </c>
      <c r="M99" s="6">
        <f t="shared" si="9"/>
        <v>5.3063583815028901</v>
      </c>
      <c r="N99" s="65">
        <f t="shared" si="9"/>
        <v>5.3063583815028901</v>
      </c>
      <c r="O99" s="6">
        <f t="shared" si="9"/>
        <v>0.29479768786127158</v>
      </c>
      <c r="P99" s="6">
        <f t="shared" si="9"/>
        <v>40.023121387283233</v>
      </c>
    </row>
    <row r="100" spans="4:16" x14ac:dyDescent="0.25">
      <c r="D100" s="2" t="str">
        <f t="shared" si="8"/>
        <v>Wood</v>
      </c>
      <c r="E100" t="str">
        <f t="shared" si="8"/>
        <v>Fireplace, With Insert - EPA Certified Non-Catalytic</v>
      </c>
      <c r="F100" s="66">
        <f t="shared" si="8"/>
        <v>0.66</v>
      </c>
      <c r="J100" s="6">
        <f t="shared" si="9"/>
        <v>1.2611665790856539</v>
      </c>
      <c r="K100" s="6">
        <f t="shared" si="9"/>
        <v>0.21019442984760903</v>
      </c>
      <c r="L100" s="6">
        <f t="shared" si="9"/>
        <v>4.2038885969521801E-2</v>
      </c>
      <c r="M100" s="6">
        <f t="shared" si="9"/>
        <v>1.2611665790856539</v>
      </c>
      <c r="N100" s="65">
        <f t="shared" si="9"/>
        <v>1.2611665790856539</v>
      </c>
      <c r="O100" s="6">
        <f t="shared" si="9"/>
        <v>9.4587493431424058E-2</v>
      </c>
      <c r="P100" s="6">
        <f t="shared" si="9"/>
        <v>14.797687861271674</v>
      </c>
    </row>
    <row r="101" spans="4:16" x14ac:dyDescent="0.25">
      <c r="D101" s="2" t="str">
        <f t="shared" si="8"/>
        <v>Wood</v>
      </c>
      <c r="E101" t="str">
        <f t="shared" si="8"/>
        <v>Fireplace, With Insert - EPA Certified Catalytic</v>
      </c>
      <c r="F101" s="66">
        <f t="shared" si="8"/>
        <v>0.7</v>
      </c>
      <c r="J101" s="6">
        <f t="shared" si="9"/>
        <v>1.4863748967795212</v>
      </c>
      <c r="K101" s="6">
        <f t="shared" si="9"/>
        <v>0.19818331957060284</v>
      </c>
      <c r="L101" s="6">
        <f t="shared" si="9"/>
        <v>3.963666391412056E-2</v>
      </c>
      <c r="M101" s="6">
        <f t="shared" si="9"/>
        <v>1.2881915772089181</v>
      </c>
      <c r="N101" s="65">
        <f t="shared" si="9"/>
        <v>1.2881915772089181</v>
      </c>
      <c r="O101" s="6">
        <f t="shared" si="9"/>
        <v>8.9182493806771262E-2</v>
      </c>
      <c r="P101" s="6">
        <f t="shared" si="9"/>
        <v>10.602807597027251</v>
      </c>
    </row>
    <row r="102" spans="4:16" x14ac:dyDescent="0.25">
      <c r="D102" s="2" t="str">
        <f t="shared" si="8"/>
        <v>Wood</v>
      </c>
      <c r="E102" t="str">
        <f t="shared" si="8"/>
        <v>Woodstove - Non-EPA Certified</v>
      </c>
      <c r="F102" s="66">
        <f t="shared" si="8"/>
        <v>0.54</v>
      </c>
      <c r="J102" s="6">
        <f t="shared" si="9"/>
        <v>6.8079640333975586</v>
      </c>
      <c r="K102" s="6">
        <f t="shared" si="9"/>
        <v>0.18653084563656364</v>
      </c>
      <c r="L102" s="6">
        <f t="shared" si="9"/>
        <v>5.1380860629415541E-2</v>
      </c>
      <c r="M102" s="6">
        <f t="shared" si="9"/>
        <v>1.5596697990202895</v>
      </c>
      <c r="N102" s="65">
        <f t="shared" si="9"/>
        <v>1.5596697990202895</v>
      </c>
      <c r="O102" s="6">
        <f t="shared" si="9"/>
        <v>5.0999170871439903E-2</v>
      </c>
      <c r="P102" s="6">
        <f t="shared" si="9"/>
        <v>15.564629633740791</v>
      </c>
    </row>
    <row r="103" spans="4:16" x14ac:dyDescent="0.25">
      <c r="D103" s="2" t="str">
        <f t="shared" si="8"/>
        <v>Wood</v>
      </c>
      <c r="E103" t="str">
        <f t="shared" si="8"/>
        <v>Woodstove - EPA Certified Non-Catalytic</v>
      </c>
      <c r="F103" s="66">
        <f t="shared" si="8"/>
        <v>0.68</v>
      </c>
      <c r="J103" s="6">
        <f t="shared" si="9"/>
        <v>1.2240734444066643</v>
      </c>
      <c r="K103" s="6">
        <f t="shared" si="9"/>
        <v>0.1641114895856054</v>
      </c>
      <c r="L103" s="6">
        <f t="shared" si="9"/>
        <v>4.0802448146888805E-2</v>
      </c>
      <c r="M103" s="6">
        <f t="shared" si="9"/>
        <v>0.80841128128496098</v>
      </c>
      <c r="N103" s="65">
        <f t="shared" si="9"/>
        <v>0.80841128128496098</v>
      </c>
      <c r="O103" s="6">
        <f t="shared" si="9"/>
        <v>2.5475185621489652E-2</v>
      </c>
      <c r="P103" s="6">
        <f t="shared" si="9"/>
        <v>12.612133474204107</v>
      </c>
    </row>
    <row r="104" spans="4:16" x14ac:dyDescent="0.25">
      <c r="D104" s="2" t="str">
        <f t="shared" si="8"/>
        <v>Wood</v>
      </c>
      <c r="E104" t="str">
        <f t="shared" si="8"/>
        <v>Woodstove - EPA Certified Catalytic</v>
      </c>
      <c r="F104" s="66">
        <f t="shared" si="8"/>
        <v>0.72</v>
      </c>
      <c r="J104" s="6">
        <f t="shared" si="9"/>
        <v>1.4450867052023122</v>
      </c>
      <c r="K104" s="6">
        <f t="shared" si="9"/>
        <v>0.15499418460862738</v>
      </c>
      <c r="L104" s="6">
        <f t="shared" si="9"/>
        <v>3.8535645472061654E-2</v>
      </c>
      <c r="M104" s="6">
        <f t="shared" si="9"/>
        <v>0.84717072627807599</v>
      </c>
      <c r="N104" s="65">
        <f>N77*$C$4/$C$5</f>
        <v>0.84717072627807599</v>
      </c>
      <c r="O104" s="6">
        <f t="shared" si="9"/>
        <v>2.4059897531406898E-2</v>
      </c>
      <c r="P104" s="6">
        <f t="shared" si="9"/>
        <v>11.911459392303881</v>
      </c>
    </row>
    <row r="105" spans="4:16" x14ac:dyDescent="0.25">
      <c r="D105" s="2" t="str">
        <f t="shared" si="8"/>
        <v>Wood</v>
      </c>
      <c r="E105" t="str">
        <f t="shared" si="8"/>
        <v>Pellet Stove (Exempt)</v>
      </c>
      <c r="F105" s="66">
        <f t="shared" si="8"/>
        <v>0.56000000000000005</v>
      </c>
      <c r="J105" s="6">
        <f t="shared" si="9"/>
        <v>0.29727497935590419</v>
      </c>
      <c r="K105" s="6">
        <f t="shared" si="9"/>
        <v>0.51913471851998272</v>
      </c>
      <c r="L105" s="6">
        <f t="shared" si="9"/>
        <v>4.1489288193405222E-2</v>
      </c>
      <c r="M105" s="6">
        <f t="shared" si="9"/>
        <v>0.38377591578899822</v>
      </c>
      <c r="N105" s="65">
        <f t="shared" si="9"/>
        <v>0.38377591578899822</v>
      </c>
      <c r="O105" s="6">
        <f t="shared" si="9"/>
        <v>9.3195313604436478E-3</v>
      </c>
      <c r="P105" s="6">
        <f t="shared" si="9"/>
        <v>1.2877237823028145</v>
      </c>
    </row>
    <row r="106" spans="4:16" x14ac:dyDescent="0.25">
      <c r="D106" s="2" t="str">
        <f t="shared" si="8"/>
        <v>Wood</v>
      </c>
      <c r="E106" t="str">
        <f t="shared" si="8"/>
        <v>Pellet Stove (EPA Certified)</v>
      </c>
      <c r="F106" s="66">
        <f t="shared" si="8"/>
        <v>0.78</v>
      </c>
      <c r="J106" s="6">
        <f t="shared" si="9"/>
        <v>0.21342819030680299</v>
      </c>
      <c r="K106" s="6">
        <f t="shared" si="9"/>
        <v>0.37271210560409013</v>
      </c>
      <c r="L106" s="6">
        <f t="shared" si="9"/>
        <v>2.9787181267060155E-2</v>
      </c>
      <c r="M106" s="6">
        <f t="shared" si="9"/>
        <v>0.27553142672030645</v>
      </c>
      <c r="N106" s="65">
        <f t="shared" si="9"/>
        <v>0.27553142672030645</v>
      </c>
      <c r="O106" s="6">
        <f t="shared" si="9"/>
        <v>6.6909455921133872E-3</v>
      </c>
      <c r="P106" s="6">
        <f t="shared" si="9"/>
        <v>0.92451963857637964</v>
      </c>
    </row>
    <row r="107" spans="4:16" x14ac:dyDescent="0.25">
      <c r="D107" s="2" t="str">
        <f t="shared" si="8"/>
        <v>Wood</v>
      </c>
      <c r="E107" t="str">
        <f t="shared" si="8"/>
        <v>OWB (Hydronic Heater) - 80/20 Unqual/Phase 2 Wtd</v>
      </c>
      <c r="F107" s="66">
        <f t="shared" si="8"/>
        <v>0.43</v>
      </c>
      <c r="J107" s="6">
        <f t="shared" si="9"/>
        <v>7.3235649952950679</v>
      </c>
      <c r="K107" s="6">
        <f t="shared" si="9"/>
        <v>0.26015327484732736</v>
      </c>
      <c r="L107" s="6">
        <f t="shared" si="9"/>
        <v>6.4524801720661384E-2</v>
      </c>
      <c r="M107" s="6">
        <f t="shared" si="9"/>
        <v>1.5921740146749737</v>
      </c>
      <c r="N107" s="65">
        <f t="shared" si="9"/>
        <v>1.5921740146749737</v>
      </c>
      <c r="O107" s="6">
        <f t="shared" si="9"/>
        <v>3.932118342514962E-2</v>
      </c>
      <c r="P107" s="6">
        <f t="shared" si="9"/>
        <v>9.7707756129052949</v>
      </c>
    </row>
    <row r="108" spans="4:16" x14ac:dyDescent="0.25">
      <c r="D108" s="2" t="str">
        <f t="shared" si="8"/>
        <v>Wood</v>
      </c>
      <c r="E108" t="str">
        <f t="shared" si="8"/>
        <v>OWB (Hydronic Heater) - Unqualified</v>
      </c>
      <c r="F108" s="66">
        <f t="shared" si="8"/>
        <v>0.43</v>
      </c>
      <c r="J108" s="6">
        <f t="shared" si="9"/>
        <v>8.5495362279876321</v>
      </c>
      <c r="K108" s="6">
        <f t="shared" si="9"/>
        <v>0.2380809735284358</v>
      </c>
      <c r="L108" s="6">
        <f t="shared" si="9"/>
        <v>6.4524801720661371E-2</v>
      </c>
      <c r="M108" s="6">
        <f t="shared" si="9"/>
        <v>1.7818508951691381</v>
      </c>
      <c r="N108" s="65">
        <f t="shared" si="9"/>
        <v>1.7818508951691381</v>
      </c>
      <c r="O108" s="6">
        <f t="shared" si="9"/>
        <v>4.4087193041329492E-2</v>
      </c>
      <c r="P108" s="6">
        <f t="shared" si="9"/>
        <v>8.9204381783739439</v>
      </c>
    </row>
    <row r="109" spans="4:16" x14ac:dyDescent="0.25">
      <c r="D109" s="2" t="str">
        <f t="shared" si="8"/>
        <v>Wood</v>
      </c>
      <c r="E109" t="str">
        <f t="shared" si="8"/>
        <v>OWB (Hydronic Heater) - Phase 1</v>
      </c>
      <c r="F109" s="66">
        <f t="shared" si="8"/>
        <v>0.43</v>
      </c>
      <c r="J109" s="6">
        <f t="shared" si="9"/>
        <v>1.9357440516198412</v>
      </c>
      <c r="K109" s="6">
        <f t="shared" si="9"/>
        <v>0.34844248012289364</v>
      </c>
      <c r="L109" s="6">
        <f t="shared" si="9"/>
        <v>6.4524801720661371E-2</v>
      </c>
      <c r="M109" s="6">
        <f t="shared" si="9"/>
        <v>1.5700182769433375</v>
      </c>
      <c r="N109" s="65">
        <f t="shared" si="9"/>
        <v>1.5700182769433375</v>
      </c>
      <c r="O109" s="6">
        <f t="shared" si="9"/>
        <v>2.0257144960430098E-2</v>
      </c>
      <c r="P109" s="6">
        <f t="shared" si="9"/>
        <v>17.33303971425347</v>
      </c>
    </row>
    <row r="110" spans="4:16" x14ac:dyDescent="0.25">
      <c r="D110" s="2" t="str">
        <f t="shared" si="8"/>
        <v>Wood</v>
      </c>
      <c r="E110" t="str">
        <f t="shared" si="8"/>
        <v>OWB (Hydronic Heater) - Phase 2</v>
      </c>
      <c r="F110" s="66">
        <f t="shared" si="8"/>
        <v>0.43</v>
      </c>
      <c r="J110" s="6">
        <f t="shared" si="9"/>
        <v>2.419680064524802</v>
      </c>
      <c r="K110" s="6">
        <f t="shared" si="9"/>
        <v>0.34844248012289364</v>
      </c>
      <c r="L110" s="6">
        <f t="shared" si="9"/>
        <v>6.4524801720661371E-2</v>
      </c>
      <c r="M110" s="6">
        <f t="shared" si="9"/>
        <v>0.83346649269831485</v>
      </c>
      <c r="N110" s="65">
        <f t="shared" si="9"/>
        <v>0.83346649269831485</v>
      </c>
      <c r="O110" s="6">
        <f t="shared" si="9"/>
        <v>2.0257144960430098E-2</v>
      </c>
      <c r="P110" s="6">
        <f t="shared" si="9"/>
        <v>13.17212535103069</v>
      </c>
    </row>
    <row r="111" spans="4:16" x14ac:dyDescent="0.25">
      <c r="D111" s="2" t="str">
        <f t="shared" si="8"/>
        <v>Coal</v>
      </c>
      <c r="E111" t="str">
        <f t="shared" si="8"/>
        <v>Coal Boiler (bituminous/subbituminous, hand-fed)</v>
      </c>
      <c r="F111" s="66">
        <f t="shared" si="8"/>
        <v>0.43</v>
      </c>
      <c r="J111" s="6">
        <f t="shared" ref="J111:P118" si="10">J84</f>
        <v>1.5299877600979193</v>
      </c>
      <c r="K111" s="6">
        <f t="shared" si="10"/>
        <v>0.72215422276621788</v>
      </c>
      <c r="L111" s="6">
        <f t="shared" si="10"/>
        <v>1.4228886168910648</v>
      </c>
      <c r="M111" s="6">
        <f t="shared" si="10"/>
        <v>1.2224602203182375</v>
      </c>
      <c r="N111" s="65">
        <f t="shared" si="10"/>
        <v>1.2224602203182375</v>
      </c>
      <c r="O111" s="6">
        <f t="shared" si="10"/>
        <v>0.19368880048959614</v>
      </c>
      <c r="P111" s="6">
        <f t="shared" si="10"/>
        <v>19.977815177478579</v>
      </c>
    </row>
    <row r="112" spans="4:16" x14ac:dyDescent="0.25">
      <c r="D112" s="2" t="str">
        <f t="shared" si="8"/>
        <v>Oil</v>
      </c>
      <c r="E112" t="str">
        <f t="shared" si="8"/>
        <v>Central Oil (Weighted # 1 &amp; #2), Residential</v>
      </c>
      <c r="F112" s="66">
        <f t="shared" si="8"/>
        <v>0.81</v>
      </c>
      <c r="J112" s="6">
        <f t="shared" si="10"/>
        <v>6.5586959129977744E-3</v>
      </c>
      <c r="K112" s="6">
        <f t="shared" si="10"/>
        <v>0.10276279774995996</v>
      </c>
      <c r="L112" s="6">
        <f t="shared" si="10"/>
        <v>0.26586707665905551</v>
      </c>
      <c r="M112" s="6">
        <f t="shared" si="10"/>
        <v>4.200114349453405E-3</v>
      </c>
      <c r="N112" s="65">
        <f t="shared" si="10"/>
        <v>4.200114349453405E-3</v>
      </c>
      <c r="O112" s="6">
        <f t="shared" si="10"/>
        <v>2.2533613484817521E-4</v>
      </c>
      <c r="P112" s="6">
        <f t="shared" si="10"/>
        <v>4.1196121577555481E-3</v>
      </c>
    </row>
    <row r="113" spans="4:16" x14ac:dyDescent="0.25">
      <c r="D113" s="2" t="str">
        <f t="shared" si="8"/>
        <v>Oil</v>
      </c>
      <c r="E113" t="str">
        <f t="shared" si="8"/>
        <v>Central Oil (#1 distillate), Residential</v>
      </c>
      <c r="F113" s="66">
        <f t="shared" si="8"/>
        <v>0.81</v>
      </c>
      <c r="J113" s="6">
        <f t="shared" si="10"/>
        <v>7.0419753086419738E-3</v>
      </c>
      <c r="K113" s="6">
        <f t="shared" si="10"/>
        <v>0.11033490407263415</v>
      </c>
      <c r="L113" s="6">
        <f t="shared" si="10"/>
        <v>0.12566123456790124</v>
      </c>
      <c r="M113" s="6">
        <f t="shared" si="10"/>
        <v>4.5096009838951293E-3</v>
      </c>
      <c r="N113" s="65">
        <f t="shared" si="10"/>
        <v>4.5096009838951293E-3</v>
      </c>
      <c r="O113" s="6">
        <f t="shared" si="10"/>
        <v>2.4194009278597371E-4</v>
      </c>
      <c r="P113" s="6">
        <f t="shared" si="10"/>
        <v>4.4231669650371388E-3</v>
      </c>
    </row>
    <row r="114" spans="4:16" x14ac:dyDescent="0.25">
      <c r="D114" s="2" t="str">
        <f t="shared" ref="D114:F118" si="11">D87</f>
        <v>Oil</v>
      </c>
      <c r="E114" t="str">
        <f t="shared" si="11"/>
        <v>Central Oil (#2 distillate), Residential</v>
      </c>
      <c r="F114" s="66">
        <f t="shared" si="11"/>
        <v>0.81</v>
      </c>
      <c r="J114" s="6">
        <f t="shared" si="10"/>
        <v>6.3555733832508787E-3</v>
      </c>
      <c r="K114" s="6">
        <f t="shared" si="10"/>
        <v>9.9580238332702298E-2</v>
      </c>
      <c r="L114" s="6">
        <f t="shared" si="10"/>
        <v>0.32479565004234073</v>
      </c>
      <c r="M114" s="6">
        <f t="shared" si="10"/>
        <v>4.0700369890750258E-3</v>
      </c>
      <c r="N114" s="65">
        <f t="shared" si="10"/>
        <v>4.0700369890750258E-3</v>
      </c>
      <c r="O114" s="6">
        <f t="shared" si="10"/>
        <v>2.1835748446387518E-4</v>
      </c>
      <c r="P114" s="6">
        <f t="shared" si="10"/>
        <v>3.9920279467844213E-3</v>
      </c>
    </row>
    <row r="115" spans="4:16" x14ac:dyDescent="0.25">
      <c r="D115" s="2" t="str">
        <f t="shared" si="11"/>
        <v>Oil</v>
      </c>
      <c r="E115" t="str">
        <f t="shared" si="11"/>
        <v>Portable: 43% Kerosene &amp; 57% Fuel Oil</v>
      </c>
      <c r="F115" s="66">
        <f t="shared" si="11"/>
        <v>0.81</v>
      </c>
      <c r="J115" s="6">
        <f t="shared" si="10"/>
        <v>6.4253944565878076E-3</v>
      </c>
      <c r="K115" s="6">
        <f t="shared" si="10"/>
        <v>0.16221192176519011</v>
      </c>
      <c r="L115" s="6">
        <f t="shared" si="10"/>
        <v>0.26046349201353508</v>
      </c>
      <c r="M115" s="6">
        <f t="shared" si="10"/>
        <v>3.6047093725597805E-3</v>
      </c>
      <c r="N115" s="65">
        <f t="shared" si="10"/>
        <v>3.6047093725597805E-3</v>
      </c>
      <c r="O115" s="6">
        <f t="shared" si="10"/>
        <v>2.207563166410943E-4</v>
      </c>
      <c r="P115" s="6">
        <f t="shared" si="10"/>
        <v>4.0358835769892503E-3</v>
      </c>
    </row>
    <row r="116" spans="4:16" x14ac:dyDescent="0.25">
      <c r="D116" s="2" t="str">
        <f t="shared" si="11"/>
        <v>Oil</v>
      </c>
      <c r="E116" t="str">
        <f t="shared" si="11"/>
        <v>Direct Vent</v>
      </c>
      <c r="F116" s="66">
        <f t="shared" si="11"/>
        <v>0.81</v>
      </c>
      <c r="J116" s="6">
        <f t="shared" si="10"/>
        <v>7.0419753086419738E-3</v>
      </c>
      <c r="K116" s="6">
        <f t="shared" si="10"/>
        <v>0.11033490407263415</v>
      </c>
      <c r="L116" s="6">
        <f t="shared" si="10"/>
        <v>0.28545756870715394</v>
      </c>
      <c r="M116" s="6">
        <f t="shared" si="10"/>
        <v>4.5096009838951293E-3</v>
      </c>
      <c r="N116" s="65">
        <f t="shared" si="10"/>
        <v>4.5096009838951293E-3</v>
      </c>
      <c r="O116" s="6">
        <f t="shared" si="10"/>
        <v>2.4194009278597371E-4</v>
      </c>
      <c r="P116" s="6">
        <f t="shared" si="10"/>
        <v>4.4231669650371388E-3</v>
      </c>
    </row>
    <row r="117" spans="4:16" x14ac:dyDescent="0.25">
      <c r="D117" s="2" t="str">
        <f t="shared" si="11"/>
        <v>Gas</v>
      </c>
      <c r="E117" t="str">
        <f t="shared" si="11"/>
        <v>Natural Gas - Residential</v>
      </c>
      <c r="F117" s="66">
        <f t="shared" si="11"/>
        <v>0.81</v>
      </c>
      <c r="J117" s="6">
        <f t="shared" si="10"/>
        <v>6.6897768047193325E-3</v>
      </c>
      <c r="K117" s="6">
        <f t="shared" si="10"/>
        <v>0.11433436720793042</v>
      </c>
      <c r="L117" s="6">
        <f t="shared" si="10"/>
        <v>7.2979383324210895E-4</v>
      </c>
      <c r="M117" s="6">
        <f t="shared" si="10"/>
        <v>6.0246913580246913E-5</v>
      </c>
      <c r="N117" s="65">
        <f t="shared" si="10"/>
        <v>6.0246913580246913E-5</v>
      </c>
      <c r="O117" s="6">
        <f t="shared" si="10"/>
        <v>2.4326461108070303E-2</v>
      </c>
      <c r="P117" s="6">
        <f t="shared" si="10"/>
        <v>4.8652922216140607E-2</v>
      </c>
    </row>
    <row r="118" spans="4:16" x14ac:dyDescent="0.25">
      <c r="D118" s="2" t="str">
        <f t="shared" si="11"/>
        <v>Gas</v>
      </c>
      <c r="E118" t="str">
        <f t="shared" si="11"/>
        <v>Natural Gas - Commercial, small uncontrolled</v>
      </c>
      <c r="F118" s="66">
        <f t="shared" si="11"/>
        <v>0.81</v>
      </c>
      <c r="J118" s="6">
        <f t="shared" si="10"/>
        <v>6.6897768047193325E-3</v>
      </c>
      <c r="K118" s="6">
        <f t="shared" si="10"/>
        <v>0.12163230554035151</v>
      </c>
      <c r="L118" s="6">
        <f t="shared" si="10"/>
        <v>7.2979383324210895E-4</v>
      </c>
      <c r="M118" s="6">
        <f t="shared" si="10"/>
        <v>9.2440552210667146E-3</v>
      </c>
      <c r="N118" s="65">
        <f t="shared" si="10"/>
        <v>9.2440552210667146E-3</v>
      </c>
      <c r="O118" s="6">
        <f t="shared" si="10"/>
        <v>2.4326461108070303E-2</v>
      </c>
      <c r="P118" s="6">
        <f t="shared" si="10"/>
        <v>4.8652922216140607E-2</v>
      </c>
    </row>
    <row r="121" spans="4:16" ht="15.75" x14ac:dyDescent="0.25">
      <c r="D121" s="505" t="s">
        <v>195</v>
      </c>
      <c r="E121" s="505"/>
      <c r="F121" s="505"/>
      <c r="G121" s="505"/>
      <c r="H121" s="505"/>
      <c r="I121" s="505"/>
      <c r="J121" s="505"/>
      <c r="K121" s="505"/>
      <c r="L121" s="505"/>
      <c r="M121" s="505"/>
      <c r="N121" s="505"/>
      <c r="O121" s="505"/>
      <c r="P121" s="505"/>
    </row>
    <row r="122" spans="4:16" ht="15.75" x14ac:dyDescent="0.25">
      <c r="D122" s="513" t="s">
        <v>196</v>
      </c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</row>
    <row r="123" spans="4:16" x14ac:dyDescent="0.25">
      <c r="F123" s="2" t="s">
        <v>190</v>
      </c>
      <c r="J123" s="496" t="s">
        <v>191</v>
      </c>
      <c r="K123" s="496"/>
      <c r="L123" s="496"/>
      <c r="M123" s="496"/>
      <c r="N123" s="496"/>
      <c r="O123" s="496"/>
      <c r="P123" s="496"/>
    </row>
    <row r="124" spans="4:16" ht="15.75" thickBot="1" x14ac:dyDescent="0.3">
      <c r="D124" s="7" t="s">
        <v>26</v>
      </c>
      <c r="E124" s="7" t="s">
        <v>192</v>
      </c>
      <c r="F124" s="7" t="s">
        <v>96</v>
      </c>
      <c r="G124" s="7"/>
      <c r="H124" s="7"/>
      <c r="I124" s="7"/>
      <c r="J124" s="7" t="s">
        <v>99</v>
      </c>
      <c r="K124" s="7" t="s">
        <v>100</v>
      </c>
      <c r="L124" s="7" t="s">
        <v>101</v>
      </c>
      <c r="M124" s="7" t="s">
        <v>102</v>
      </c>
      <c r="N124" s="63" t="s">
        <v>103</v>
      </c>
      <c r="O124" s="7" t="s">
        <v>104</v>
      </c>
      <c r="P124" s="7" t="s">
        <v>105</v>
      </c>
    </row>
    <row r="125" spans="4:16" ht="15.75" thickTop="1" x14ac:dyDescent="0.25">
      <c r="D125" s="2" t="str">
        <f t="shared" ref="D125:F140" si="12">D98</f>
        <v>Wood</v>
      </c>
      <c r="E125" t="str">
        <f t="shared" si="12"/>
        <v>Fireplace, No Insert</v>
      </c>
      <c r="F125" s="66">
        <f t="shared" si="12"/>
        <v>7.0000000000000007E-2</v>
      </c>
      <c r="J125" s="6">
        <f t="shared" ref="J125:P137" si="13">J71*$C$4/((19*$C$7+16*$C$8)/35)</f>
        <v>258.0800498486185</v>
      </c>
      <c r="K125" s="6">
        <f t="shared" si="13"/>
        <v>2.9301665048314764</v>
      </c>
      <c r="L125" s="6">
        <f t="shared" si="13"/>
        <v>0.45079484689715027</v>
      </c>
      <c r="M125" s="6">
        <f t="shared" si="13"/>
        <v>38.993754256603495</v>
      </c>
      <c r="N125" s="65">
        <f t="shared" si="13"/>
        <v>38.993754256603495</v>
      </c>
      <c r="O125" s="6">
        <f t="shared" si="13"/>
        <v>2.0285768110371762</v>
      </c>
      <c r="P125" s="6">
        <f t="shared" si="13"/>
        <v>284.67694581555031</v>
      </c>
    </row>
    <row r="126" spans="4:16" x14ac:dyDescent="0.25">
      <c r="D126" s="2" t="str">
        <f t="shared" si="12"/>
        <v>Wood</v>
      </c>
      <c r="E126" t="str">
        <f t="shared" si="12"/>
        <v>Fireplace, With Insert - Non-EPA Certified</v>
      </c>
      <c r="F126" s="66">
        <f t="shared" si="12"/>
        <v>0.4</v>
      </c>
      <c r="J126" s="6">
        <f t="shared" si="13"/>
        <v>10.452805512427672</v>
      </c>
      <c r="K126" s="6">
        <f t="shared" si="13"/>
        <v>0.55222368744900896</v>
      </c>
      <c r="L126" s="6">
        <f t="shared" si="13"/>
        <v>7.8889098207001296E-2</v>
      </c>
      <c r="M126" s="6">
        <f t="shared" si="13"/>
        <v>6.0350160128355999</v>
      </c>
      <c r="N126" s="65">
        <f t="shared" si="13"/>
        <v>6.0350160128355999</v>
      </c>
      <c r="O126" s="6">
        <f t="shared" si="13"/>
        <v>0.33527866737975542</v>
      </c>
      <c r="P126" s="6">
        <f t="shared" si="13"/>
        <v>45.519009665439739</v>
      </c>
    </row>
    <row r="127" spans="4:16" x14ac:dyDescent="0.25">
      <c r="D127" s="2" t="str">
        <f t="shared" si="12"/>
        <v>Wood</v>
      </c>
      <c r="E127" t="str">
        <f t="shared" si="12"/>
        <v>Fireplace, With Insert - EPA Certified Non-Catalytic</v>
      </c>
      <c r="F127" s="66">
        <f t="shared" si="12"/>
        <v>0.66</v>
      </c>
      <c r="J127" s="6">
        <f t="shared" si="13"/>
        <v>1.4343472401272961</v>
      </c>
      <c r="K127" s="6">
        <f t="shared" si="13"/>
        <v>0.23905787335454937</v>
      </c>
      <c r="L127" s="6">
        <f t="shared" si="13"/>
        <v>4.7811574670909865E-2</v>
      </c>
      <c r="M127" s="6">
        <f t="shared" si="13"/>
        <v>1.4343472401272961</v>
      </c>
      <c r="N127" s="65">
        <f t="shared" si="13"/>
        <v>1.4343472401272961</v>
      </c>
      <c r="O127" s="6">
        <f t="shared" si="13"/>
        <v>0.10757604300954721</v>
      </c>
      <c r="P127" s="6">
        <f t="shared" si="13"/>
        <v>16.829674284160273</v>
      </c>
    </row>
    <row r="128" spans="4:16" x14ac:dyDescent="0.25">
      <c r="D128" s="2" t="str">
        <f t="shared" si="12"/>
        <v>Wood</v>
      </c>
      <c r="E128" t="str">
        <f t="shared" si="12"/>
        <v>Fireplace, With Insert - EPA Certified Catalytic</v>
      </c>
      <c r="F128" s="66">
        <f t="shared" si="12"/>
        <v>0.7</v>
      </c>
      <c r="J128" s="6">
        <f t="shared" si="13"/>
        <v>1.6904806758643136</v>
      </c>
      <c r="K128" s="6">
        <f t="shared" si="13"/>
        <v>0.22539742344857516</v>
      </c>
      <c r="L128" s="6">
        <f t="shared" si="13"/>
        <v>4.5079484689715024E-2</v>
      </c>
      <c r="M128" s="6">
        <f t="shared" si="13"/>
        <v>1.4650832524157382</v>
      </c>
      <c r="N128" s="65">
        <f t="shared" si="13"/>
        <v>1.4650832524157382</v>
      </c>
      <c r="O128" s="6">
        <f t="shared" si="13"/>
        <v>0.10142884055185881</v>
      </c>
      <c r="P128" s="6">
        <f t="shared" si="13"/>
        <v>12.058762154498771</v>
      </c>
    </row>
    <row r="129" spans="4:16" x14ac:dyDescent="0.25">
      <c r="D129" s="2" t="str">
        <f t="shared" si="12"/>
        <v>Wood</v>
      </c>
      <c r="E129" t="str">
        <f t="shared" si="12"/>
        <v>Woodstove - Non-EPA Certified</v>
      </c>
      <c r="F129" s="66">
        <f t="shared" si="12"/>
        <v>0.54</v>
      </c>
      <c r="J129" s="6">
        <f t="shared" si="13"/>
        <v>7.7428188980945709</v>
      </c>
      <c r="K129" s="6">
        <f t="shared" si="13"/>
        <v>0.21214485705083425</v>
      </c>
      <c r="L129" s="6">
        <f t="shared" si="13"/>
        <v>5.8436369042223178E-2</v>
      </c>
      <c r="M129" s="6">
        <f t="shared" si="13"/>
        <v>1.7738402752129308</v>
      </c>
      <c r="N129" s="65">
        <f t="shared" si="13"/>
        <v>1.7738402752129308</v>
      </c>
      <c r="O129" s="6">
        <f t="shared" si="13"/>
        <v>5.8002266474000884E-2</v>
      </c>
      <c r="P129" s="6">
        <f t="shared" si="13"/>
        <v>17.701930838466495</v>
      </c>
    </row>
    <row r="130" spans="4:16" x14ac:dyDescent="0.25">
      <c r="D130" s="2" t="str">
        <f t="shared" si="12"/>
        <v>Wood</v>
      </c>
      <c r="E130" t="str">
        <f t="shared" si="12"/>
        <v>Woodstove - EPA Certified Non-Catalytic</v>
      </c>
      <c r="F130" s="66">
        <f t="shared" si="12"/>
        <v>0.68</v>
      </c>
      <c r="J130" s="6">
        <f t="shared" si="13"/>
        <v>1.3921605565941404</v>
      </c>
      <c r="K130" s="6">
        <f t="shared" si="13"/>
        <v>0.18664692362126536</v>
      </c>
      <c r="L130" s="6">
        <f t="shared" si="13"/>
        <v>4.6405351886471345E-2</v>
      </c>
      <c r="M130" s="6">
        <f t="shared" si="13"/>
        <v>0.9194205661868422</v>
      </c>
      <c r="N130" s="65">
        <f t="shared" si="13"/>
        <v>0.9194205661868422</v>
      </c>
      <c r="O130" s="6">
        <f t="shared" si="13"/>
        <v>2.8973382893167022E-2</v>
      </c>
      <c r="P130" s="6">
        <f t="shared" si="13"/>
        <v>14.344004305884104</v>
      </c>
    </row>
    <row r="131" spans="4:16" x14ac:dyDescent="0.25">
      <c r="D131" s="2" t="str">
        <f t="shared" si="12"/>
        <v>Wood</v>
      </c>
      <c r="E131" t="str">
        <f t="shared" si="12"/>
        <v>Woodstove - EPA Certified Catalytic</v>
      </c>
      <c r="F131" s="66">
        <f t="shared" si="12"/>
        <v>0.72</v>
      </c>
      <c r="J131" s="6">
        <f t="shared" si="13"/>
        <v>1.6435228793125269</v>
      </c>
      <c r="K131" s="6">
        <f t="shared" si="13"/>
        <v>0.17627765008675067</v>
      </c>
      <c r="L131" s="6">
        <f t="shared" si="13"/>
        <v>4.3827276781667389E-2</v>
      </c>
      <c r="M131" s="6">
        <f t="shared" si="13"/>
        <v>0.96350237415470508</v>
      </c>
      <c r="N131" s="65">
        <f t="shared" si="13"/>
        <v>0.96350237415470508</v>
      </c>
      <c r="O131" s="6">
        <f t="shared" si="13"/>
        <v>2.7363750510213301E-2</v>
      </c>
      <c r="P131" s="6">
        <f t="shared" si="13"/>
        <v>13.547115177779434</v>
      </c>
    </row>
    <row r="132" spans="4:16" x14ac:dyDescent="0.25">
      <c r="D132" s="2" t="str">
        <f t="shared" si="12"/>
        <v>Wood</v>
      </c>
      <c r="E132" t="str">
        <f t="shared" si="12"/>
        <v>Pellet Stove (Exempt)</v>
      </c>
      <c r="F132" s="66">
        <f t="shared" si="12"/>
        <v>0.56000000000000005</v>
      </c>
      <c r="J132" s="6">
        <f t="shared" si="13"/>
        <v>0.33809613517286263</v>
      </c>
      <c r="K132" s="6">
        <f t="shared" si="13"/>
        <v>0.5904211728344777</v>
      </c>
      <c r="L132" s="6">
        <f t="shared" si="13"/>
        <v>4.7186507319438784E-2</v>
      </c>
      <c r="M132" s="6">
        <f t="shared" si="13"/>
        <v>0.43647519270480867</v>
      </c>
      <c r="N132" s="65">
        <f t="shared" si="13"/>
        <v>0.43647519270480867</v>
      </c>
      <c r="O132" s="6">
        <f t="shared" si="13"/>
        <v>1.0599269206628938E-2</v>
      </c>
      <c r="P132" s="6">
        <f t="shared" si="13"/>
        <v>1.4645512209270812</v>
      </c>
    </row>
    <row r="133" spans="4:16" x14ac:dyDescent="0.25">
      <c r="D133" s="2" t="str">
        <f t="shared" si="12"/>
        <v>Wood</v>
      </c>
      <c r="E133" t="str">
        <f t="shared" si="12"/>
        <v>Pellet Stove (EPA Certified)</v>
      </c>
      <c r="F133" s="66">
        <f t="shared" si="12"/>
        <v>0.78</v>
      </c>
      <c r="J133" s="6">
        <f t="shared" si="13"/>
        <v>0.24273568679077318</v>
      </c>
      <c r="K133" s="6">
        <f t="shared" si="13"/>
        <v>0.42389212408629168</v>
      </c>
      <c r="L133" s="6">
        <f t="shared" si="13"/>
        <v>3.3877492434468866E-2</v>
      </c>
      <c r="M133" s="6">
        <f t="shared" si="13"/>
        <v>0.31336680501883707</v>
      </c>
      <c r="N133" s="65">
        <f t="shared" si="13"/>
        <v>0.31336680501883707</v>
      </c>
      <c r="O133" s="6">
        <f t="shared" si="13"/>
        <v>7.6097317380925695E-3</v>
      </c>
      <c r="P133" s="6">
        <f t="shared" si="13"/>
        <v>1.0514726714348275</v>
      </c>
    </row>
    <row r="134" spans="4:16" x14ac:dyDescent="0.25">
      <c r="D134" s="2" t="str">
        <f t="shared" si="12"/>
        <v>Wood</v>
      </c>
      <c r="E134" t="str">
        <f t="shared" si="12"/>
        <v>OWB (Hydronic Heater) - 80/20 Unqual/Phase 2 Wtd</v>
      </c>
      <c r="F134" s="66">
        <f t="shared" si="12"/>
        <v>0.43</v>
      </c>
      <c r="J134" s="6">
        <f t="shared" si="13"/>
        <v>8.3292210665066513</v>
      </c>
      <c r="K134" s="6">
        <f t="shared" si="13"/>
        <v>0.29587695866304653</v>
      </c>
      <c r="L134" s="6">
        <f t="shared" si="13"/>
        <v>7.338520763441983E-2</v>
      </c>
      <c r="M134" s="6">
        <f t="shared" si="13"/>
        <v>1.8108078993079173</v>
      </c>
      <c r="N134" s="65">
        <f t="shared" si="13"/>
        <v>1.8108078993079173</v>
      </c>
      <c r="O134" s="6">
        <f t="shared" si="13"/>
        <v>4.4720683103807522E-2</v>
      </c>
      <c r="P134" s="6">
        <f t="shared" si="13"/>
        <v>11.112477341759602</v>
      </c>
    </row>
    <row r="135" spans="4:16" x14ac:dyDescent="0.25">
      <c r="D135" s="2" t="str">
        <f t="shared" si="12"/>
        <v>Wood</v>
      </c>
      <c r="E135" t="str">
        <f t="shared" si="12"/>
        <v>OWB (Hydronic Heater) - Unqualified</v>
      </c>
      <c r="F135" s="66">
        <f t="shared" si="12"/>
        <v>0.43</v>
      </c>
      <c r="J135" s="6">
        <f t="shared" si="13"/>
        <v>9.7235400115606243</v>
      </c>
      <c r="K135" s="6">
        <f t="shared" si="13"/>
        <v>0.27077373676910516</v>
      </c>
      <c r="L135" s="6">
        <f t="shared" si="13"/>
        <v>7.3385207634419802E-2</v>
      </c>
      <c r="M135" s="6">
        <f t="shared" si="13"/>
        <v>2.0265307979039182</v>
      </c>
      <c r="N135" s="65">
        <f t="shared" si="13"/>
        <v>2.0265307979039182</v>
      </c>
      <c r="O135" s="6">
        <f t="shared" si="13"/>
        <v>5.0141150830080396E-2</v>
      </c>
      <c r="P135" s="6">
        <f t="shared" si="13"/>
        <v>10.145373413838172</v>
      </c>
    </row>
    <row r="136" spans="4:16" x14ac:dyDescent="0.25">
      <c r="D136" s="2" t="str">
        <f t="shared" si="12"/>
        <v>Wood</v>
      </c>
      <c r="E136" t="str">
        <f t="shared" si="12"/>
        <v>OWB (Hydronic Heater) - Phase 1</v>
      </c>
      <c r="F136" s="66">
        <f t="shared" si="12"/>
        <v>0.43</v>
      </c>
      <c r="J136" s="6">
        <f t="shared" si="13"/>
        <v>2.2015562290325943</v>
      </c>
      <c r="K136" s="6">
        <f t="shared" si="13"/>
        <v>0.3962898462388123</v>
      </c>
      <c r="L136" s="6">
        <f t="shared" si="13"/>
        <v>7.3385207634419802E-2</v>
      </c>
      <c r="M136" s="6">
        <f t="shared" si="13"/>
        <v>1.7856097836938829</v>
      </c>
      <c r="N136" s="65">
        <f t="shared" si="13"/>
        <v>1.7856097836938829</v>
      </c>
      <c r="O136" s="6">
        <f t="shared" si="13"/>
        <v>2.3038812198715983E-2</v>
      </c>
      <c r="P136" s="6">
        <f t="shared" si="13"/>
        <v>19.713175158178505</v>
      </c>
    </row>
    <row r="137" spans="4:16" x14ac:dyDescent="0.25">
      <c r="D137" s="2" t="str">
        <f t="shared" si="12"/>
        <v>Wood</v>
      </c>
      <c r="E137" t="str">
        <f t="shared" si="12"/>
        <v>OWB (Hydronic Heater) - Phase 2</v>
      </c>
      <c r="F137" s="66">
        <f t="shared" si="12"/>
        <v>0.43</v>
      </c>
      <c r="J137" s="6">
        <f t="shared" si="13"/>
        <v>2.7519452862907432</v>
      </c>
      <c r="K137" s="6">
        <f t="shared" si="13"/>
        <v>0.3962898462388123</v>
      </c>
      <c r="L137" s="6">
        <f t="shared" si="13"/>
        <v>7.3385207634419802E-2</v>
      </c>
      <c r="M137" s="6">
        <f t="shared" si="13"/>
        <v>0.94791630492391299</v>
      </c>
      <c r="N137" s="65">
        <f t="shared" si="13"/>
        <v>0.94791630492391299</v>
      </c>
      <c r="O137" s="6">
        <f t="shared" si="13"/>
        <v>2.3038812198715983E-2</v>
      </c>
      <c r="P137" s="6">
        <f t="shared" si="13"/>
        <v>14.980893053445312</v>
      </c>
    </row>
    <row r="138" spans="4:16" x14ac:dyDescent="0.25">
      <c r="D138" s="2" t="str">
        <f t="shared" si="12"/>
        <v>Coal</v>
      </c>
      <c r="E138" t="str">
        <f t="shared" si="12"/>
        <v>Coal Boiler (bituminous/subbituminous, hand-fed)</v>
      </c>
      <c r="F138" s="66">
        <f t="shared" si="12"/>
        <v>0.43</v>
      </c>
      <c r="J138" s="6">
        <f t="shared" ref="J138:P145" si="14">J84</f>
        <v>1.5299877600979193</v>
      </c>
      <c r="K138" s="6">
        <f t="shared" si="14"/>
        <v>0.72215422276621788</v>
      </c>
      <c r="L138" s="6">
        <f t="shared" si="14"/>
        <v>1.4228886168910648</v>
      </c>
      <c r="M138" s="6">
        <f t="shared" si="14"/>
        <v>1.2224602203182375</v>
      </c>
      <c r="N138" s="65">
        <f t="shared" si="14"/>
        <v>1.2224602203182375</v>
      </c>
      <c r="O138" s="6">
        <f t="shared" si="14"/>
        <v>0.19368880048959614</v>
      </c>
      <c r="P138" s="6">
        <f t="shared" si="14"/>
        <v>19.977815177478579</v>
      </c>
    </row>
    <row r="139" spans="4:16" x14ac:dyDescent="0.25">
      <c r="D139" s="2" t="str">
        <f t="shared" si="12"/>
        <v>Oil</v>
      </c>
      <c r="E139" t="str">
        <f t="shared" si="12"/>
        <v>Central Oil (Weighted # 1 &amp; #2), Residential</v>
      </c>
      <c r="F139" s="66">
        <f t="shared" si="12"/>
        <v>0.81</v>
      </c>
      <c r="J139" s="6">
        <f t="shared" si="14"/>
        <v>6.5586959129977744E-3</v>
      </c>
      <c r="K139" s="6">
        <f t="shared" si="14"/>
        <v>0.10276279774995996</v>
      </c>
      <c r="L139" s="6">
        <f t="shared" si="14"/>
        <v>0.26586707665905551</v>
      </c>
      <c r="M139" s="6">
        <f t="shared" si="14"/>
        <v>4.200114349453405E-3</v>
      </c>
      <c r="N139" s="65">
        <f t="shared" si="14"/>
        <v>4.200114349453405E-3</v>
      </c>
      <c r="O139" s="6">
        <f t="shared" si="14"/>
        <v>2.2533613484817521E-4</v>
      </c>
      <c r="P139" s="6">
        <f t="shared" si="14"/>
        <v>4.1196121577555481E-3</v>
      </c>
    </row>
    <row r="140" spans="4:16" x14ac:dyDescent="0.25">
      <c r="D140" s="2" t="str">
        <f t="shared" si="12"/>
        <v>Oil</v>
      </c>
      <c r="E140" t="str">
        <f t="shared" si="12"/>
        <v>Central Oil (#1 distillate), Residential</v>
      </c>
      <c r="F140" s="66">
        <f t="shared" si="12"/>
        <v>0.81</v>
      </c>
      <c r="J140" s="6">
        <f t="shared" si="14"/>
        <v>7.0419753086419738E-3</v>
      </c>
      <c r="K140" s="6">
        <f t="shared" si="14"/>
        <v>0.11033490407263415</v>
      </c>
      <c r="L140" s="6">
        <f t="shared" si="14"/>
        <v>0.12566123456790124</v>
      </c>
      <c r="M140" s="6">
        <f t="shared" si="14"/>
        <v>4.5096009838951293E-3</v>
      </c>
      <c r="N140" s="65">
        <f t="shared" si="14"/>
        <v>4.5096009838951293E-3</v>
      </c>
      <c r="O140" s="6">
        <f t="shared" si="14"/>
        <v>2.4194009278597371E-4</v>
      </c>
      <c r="P140" s="6">
        <f t="shared" si="14"/>
        <v>4.4231669650371388E-3</v>
      </c>
    </row>
    <row r="141" spans="4:16" x14ac:dyDescent="0.25">
      <c r="D141" s="2" t="str">
        <f t="shared" ref="D141:F145" si="15">D114</f>
        <v>Oil</v>
      </c>
      <c r="E141" t="str">
        <f t="shared" si="15"/>
        <v>Central Oil (#2 distillate), Residential</v>
      </c>
      <c r="F141" s="66">
        <f t="shared" si="15"/>
        <v>0.81</v>
      </c>
      <c r="J141" s="6">
        <f t="shared" si="14"/>
        <v>6.3555733832508787E-3</v>
      </c>
      <c r="K141" s="6">
        <f t="shared" si="14"/>
        <v>9.9580238332702298E-2</v>
      </c>
      <c r="L141" s="6">
        <f t="shared" si="14"/>
        <v>0.32479565004234073</v>
      </c>
      <c r="M141" s="6">
        <f t="shared" si="14"/>
        <v>4.0700369890750258E-3</v>
      </c>
      <c r="N141" s="65">
        <f t="shared" si="14"/>
        <v>4.0700369890750258E-3</v>
      </c>
      <c r="O141" s="6">
        <f t="shared" si="14"/>
        <v>2.1835748446387518E-4</v>
      </c>
      <c r="P141" s="6">
        <f t="shared" si="14"/>
        <v>3.9920279467844213E-3</v>
      </c>
    </row>
    <row r="142" spans="4:16" x14ac:dyDescent="0.25">
      <c r="D142" s="2" t="str">
        <f t="shared" si="15"/>
        <v>Oil</v>
      </c>
      <c r="E142" t="str">
        <f t="shared" si="15"/>
        <v>Portable: 43% Kerosene &amp; 57% Fuel Oil</v>
      </c>
      <c r="F142" s="66">
        <f t="shared" si="15"/>
        <v>0.81</v>
      </c>
      <c r="J142" s="6">
        <f t="shared" si="14"/>
        <v>6.4253944565878076E-3</v>
      </c>
      <c r="K142" s="6">
        <f t="shared" si="14"/>
        <v>0.16221192176519011</v>
      </c>
      <c r="L142" s="6">
        <f t="shared" si="14"/>
        <v>0.26046349201353508</v>
      </c>
      <c r="M142" s="6">
        <f t="shared" si="14"/>
        <v>3.6047093725597805E-3</v>
      </c>
      <c r="N142" s="65">
        <f t="shared" si="14"/>
        <v>3.6047093725597805E-3</v>
      </c>
      <c r="O142" s="6">
        <f t="shared" si="14"/>
        <v>2.207563166410943E-4</v>
      </c>
      <c r="P142" s="6">
        <f t="shared" si="14"/>
        <v>4.0358835769892503E-3</v>
      </c>
    </row>
    <row r="143" spans="4:16" x14ac:dyDescent="0.25">
      <c r="D143" s="2" t="str">
        <f t="shared" si="15"/>
        <v>Oil</v>
      </c>
      <c r="E143" t="str">
        <f t="shared" si="15"/>
        <v>Direct Vent</v>
      </c>
      <c r="F143" s="66">
        <f t="shared" si="15"/>
        <v>0.81</v>
      </c>
      <c r="J143" s="6">
        <f t="shared" si="14"/>
        <v>7.0419753086419738E-3</v>
      </c>
      <c r="K143" s="6">
        <f t="shared" si="14"/>
        <v>0.11033490407263415</v>
      </c>
      <c r="L143" s="6">
        <f t="shared" si="14"/>
        <v>0.28545756870715394</v>
      </c>
      <c r="M143" s="6">
        <f t="shared" si="14"/>
        <v>4.5096009838951293E-3</v>
      </c>
      <c r="N143" s="65">
        <f t="shared" si="14"/>
        <v>4.5096009838951293E-3</v>
      </c>
      <c r="O143" s="6">
        <f t="shared" si="14"/>
        <v>2.4194009278597371E-4</v>
      </c>
      <c r="P143" s="6">
        <f t="shared" si="14"/>
        <v>4.4231669650371388E-3</v>
      </c>
    </row>
    <row r="144" spans="4:16" x14ac:dyDescent="0.25">
      <c r="D144" s="2" t="str">
        <f t="shared" si="15"/>
        <v>Gas</v>
      </c>
      <c r="E144" t="str">
        <f t="shared" si="15"/>
        <v>Natural Gas - Residential</v>
      </c>
      <c r="F144" s="66">
        <f t="shared" si="15"/>
        <v>0.81</v>
      </c>
      <c r="J144" s="6">
        <f t="shared" si="14"/>
        <v>6.6897768047193325E-3</v>
      </c>
      <c r="K144" s="6">
        <f t="shared" si="14"/>
        <v>0.11433436720793042</v>
      </c>
      <c r="L144" s="6">
        <f t="shared" si="14"/>
        <v>7.2979383324210895E-4</v>
      </c>
      <c r="M144" s="6">
        <f t="shared" si="14"/>
        <v>6.0246913580246913E-5</v>
      </c>
      <c r="N144" s="65">
        <f t="shared" si="14"/>
        <v>6.0246913580246913E-5</v>
      </c>
      <c r="O144" s="6">
        <f t="shared" si="14"/>
        <v>2.4326461108070303E-2</v>
      </c>
      <c r="P144" s="6">
        <f t="shared" si="14"/>
        <v>4.8652922216140607E-2</v>
      </c>
    </row>
    <row r="145" spans="4:16" x14ac:dyDescent="0.25">
      <c r="D145" s="2" t="str">
        <f t="shared" si="15"/>
        <v>Gas</v>
      </c>
      <c r="E145" t="str">
        <f t="shared" si="15"/>
        <v>Natural Gas - Commercial, small uncontrolled</v>
      </c>
      <c r="F145" s="66">
        <f t="shared" si="15"/>
        <v>0.81</v>
      </c>
      <c r="J145" s="6">
        <f t="shared" si="14"/>
        <v>6.6897768047193325E-3</v>
      </c>
      <c r="K145" s="6">
        <f t="shared" si="14"/>
        <v>0.12163230554035151</v>
      </c>
      <c r="L145" s="6">
        <f t="shared" si="14"/>
        <v>7.2979383324210895E-4</v>
      </c>
      <c r="M145" s="6">
        <f t="shared" si="14"/>
        <v>9.2440552210667146E-3</v>
      </c>
      <c r="N145" s="65">
        <f t="shared" si="14"/>
        <v>9.2440552210667146E-3</v>
      </c>
      <c r="O145" s="6">
        <f t="shared" si="14"/>
        <v>2.4326461108070303E-2</v>
      </c>
      <c r="P145" s="6">
        <f t="shared" si="14"/>
        <v>4.8652922216140607E-2</v>
      </c>
    </row>
  </sheetData>
  <sheetProtection algorithmName="SHA-512" hashValue="SkKplM6Bk+wFdeMrFGcLWvtyOlLg1vj/IsH2IG7bkN+KT93JFR6bJ76iiVPOtwHft/KVek5xky7IyABgo4Uslg==" saltValue="PK+USVAyfEtfmBj8LsNWIg==" spinCount="100000" sheet="1" objects="1" scenarios="1"/>
  <mergeCells count="15">
    <mergeCell ref="J52:P52"/>
    <mergeCell ref="A1:E1"/>
    <mergeCell ref="R2:Y2"/>
    <mergeCell ref="A21:E21"/>
    <mergeCell ref="A33:Q33"/>
    <mergeCell ref="J35:P35"/>
    <mergeCell ref="D121:P121"/>
    <mergeCell ref="D122:P122"/>
    <mergeCell ref="J123:P123"/>
    <mergeCell ref="D67:P67"/>
    <mergeCell ref="D68:P68"/>
    <mergeCell ref="J69:P69"/>
    <mergeCell ref="D94:P94"/>
    <mergeCell ref="D95:P95"/>
    <mergeCell ref="J96:P96"/>
  </mergeCells>
  <hyperlinks>
    <hyperlink ref="E13" r:id="rId1" xr:uid="{00000000-0004-0000-1C00-000000000000}"/>
    <hyperlink ref="E14:E15" r:id="rId2" display="http://www.fngas.com/calculate.html" xr:uid="{00000000-0004-0000-1C00-000001000000}"/>
    <hyperlink ref="E24" r:id="rId3" xr:uid="{00000000-0004-0000-1C00-000002000000}"/>
    <hyperlink ref="E11" r:id="rId4" display="http://www.fngas.com/calculate.html" xr:uid="{00000000-0004-0000-1C00-000003000000}"/>
  </hyperlinks>
  <pageMargins left="0.7" right="0.7" top="0.75" bottom="0.75" header="0.3" footer="0.3"/>
  <pageSetup orientation="portrait" r:id="rId5"/>
  <drawing r:id="rId6"/>
  <legacyDrawing r:id="rId7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">
    <pageSetUpPr fitToPage="1"/>
  </sheetPr>
  <dimension ref="A1:V79"/>
  <sheetViews>
    <sheetView workbookViewId="0">
      <selection sqref="A1:U1"/>
    </sheetView>
  </sheetViews>
  <sheetFormatPr defaultRowHeight="15" x14ac:dyDescent="0.25"/>
  <cols>
    <col min="1" max="1" width="38" style="135" customWidth="1"/>
    <col min="2" max="3" width="11.85546875" style="135" customWidth="1"/>
    <col min="4" max="9" width="13.85546875" style="135" customWidth="1"/>
    <col min="10" max="21" width="12.85546875" style="135" customWidth="1"/>
    <col min="22" max="258" width="8.85546875" style="135"/>
    <col min="259" max="259" width="25.5703125" style="135" customWidth="1"/>
    <col min="260" max="260" width="7.5703125" style="135" customWidth="1"/>
    <col min="261" max="261" width="6.42578125" style="135" customWidth="1"/>
    <col min="262" max="262" width="6.140625" style="135" customWidth="1"/>
    <col min="263" max="264" width="6.5703125" style="135" customWidth="1"/>
    <col min="265" max="265" width="6.42578125" style="135" customWidth="1"/>
    <col min="266" max="268" width="7.140625" style="135" customWidth="1"/>
    <col min="269" max="269" width="6.5703125" style="135" customWidth="1"/>
    <col min="270" max="270" width="6.42578125" style="135" customWidth="1"/>
    <col min="271" max="514" width="8.85546875" style="135"/>
    <col min="515" max="515" width="25.5703125" style="135" customWidth="1"/>
    <col min="516" max="516" width="7.5703125" style="135" customWidth="1"/>
    <col min="517" max="517" width="6.42578125" style="135" customWidth="1"/>
    <col min="518" max="518" width="6.140625" style="135" customWidth="1"/>
    <col min="519" max="520" width="6.5703125" style="135" customWidth="1"/>
    <col min="521" max="521" width="6.42578125" style="135" customWidth="1"/>
    <col min="522" max="524" width="7.140625" style="135" customWidth="1"/>
    <col min="525" max="525" width="6.5703125" style="135" customWidth="1"/>
    <col min="526" max="526" width="6.42578125" style="135" customWidth="1"/>
    <col min="527" max="770" width="8.85546875" style="135"/>
    <col min="771" max="771" width="25.5703125" style="135" customWidth="1"/>
    <col min="772" max="772" width="7.5703125" style="135" customWidth="1"/>
    <col min="773" max="773" width="6.42578125" style="135" customWidth="1"/>
    <col min="774" max="774" width="6.140625" style="135" customWidth="1"/>
    <col min="775" max="776" width="6.5703125" style="135" customWidth="1"/>
    <col min="777" max="777" width="6.42578125" style="135" customWidth="1"/>
    <col min="778" max="780" width="7.140625" style="135" customWidth="1"/>
    <col min="781" max="781" width="6.5703125" style="135" customWidth="1"/>
    <col min="782" max="782" width="6.42578125" style="135" customWidth="1"/>
    <col min="783" max="1026" width="8.85546875" style="135"/>
    <col min="1027" max="1027" width="25.5703125" style="135" customWidth="1"/>
    <col min="1028" max="1028" width="7.5703125" style="135" customWidth="1"/>
    <col min="1029" max="1029" width="6.42578125" style="135" customWidth="1"/>
    <col min="1030" max="1030" width="6.140625" style="135" customWidth="1"/>
    <col min="1031" max="1032" width="6.5703125" style="135" customWidth="1"/>
    <col min="1033" max="1033" width="6.42578125" style="135" customWidth="1"/>
    <col min="1034" max="1036" width="7.140625" style="135" customWidth="1"/>
    <col min="1037" max="1037" width="6.5703125" style="135" customWidth="1"/>
    <col min="1038" max="1038" width="6.42578125" style="135" customWidth="1"/>
    <col min="1039" max="1282" width="8.85546875" style="135"/>
    <col min="1283" max="1283" width="25.5703125" style="135" customWidth="1"/>
    <col min="1284" max="1284" width="7.5703125" style="135" customWidth="1"/>
    <col min="1285" max="1285" width="6.42578125" style="135" customWidth="1"/>
    <col min="1286" max="1286" width="6.140625" style="135" customWidth="1"/>
    <col min="1287" max="1288" width="6.5703125" style="135" customWidth="1"/>
    <col min="1289" max="1289" width="6.42578125" style="135" customWidth="1"/>
    <col min="1290" max="1292" width="7.140625" style="135" customWidth="1"/>
    <col min="1293" max="1293" width="6.5703125" style="135" customWidth="1"/>
    <col min="1294" max="1294" width="6.42578125" style="135" customWidth="1"/>
    <col min="1295" max="1538" width="8.85546875" style="135"/>
    <col min="1539" max="1539" width="25.5703125" style="135" customWidth="1"/>
    <col min="1540" max="1540" width="7.5703125" style="135" customWidth="1"/>
    <col min="1541" max="1541" width="6.42578125" style="135" customWidth="1"/>
    <col min="1542" max="1542" width="6.140625" style="135" customWidth="1"/>
    <col min="1543" max="1544" width="6.5703125" style="135" customWidth="1"/>
    <col min="1545" max="1545" width="6.42578125" style="135" customWidth="1"/>
    <col min="1546" max="1548" width="7.140625" style="135" customWidth="1"/>
    <col min="1549" max="1549" width="6.5703125" style="135" customWidth="1"/>
    <col min="1550" max="1550" width="6.42578125" style="135" customWidth="1"/>
    <col min="1551" max="1794" width="8.85546875" style="135"/>
    <col min="1795" max="1795" width="25.5703125" style="135" customWidth="1"/>
    <col min="1796" max="1796" width="7.5703125" style="135" customWidth="1"/>
    <col min="1797" max="1797" width="6.42578125" style="135" customWidth="1"/>
    <col min="1798" max="1798" width="6.140625" style="135" customWidth="1"/>
    <col min="1799" max="1800" width="6.5703125" style="135" customWidth="1"/>
    <col min="1801" max="1801" width="6.42578125" style="135" customWidth="1"/>
    <col min="1802" max="1804" width="7.140625" style="135" customWidth="1"/>
    <col min="1805" max="1805" width="6.5703125" style="135" customWidth="1"/>
    <col min="1806" max="1806" width="6.42578125" style="135" customWidth="1"/>
    <col min="1807" max="2050" width="8.85546875" style="135"/>
    <col min="2051" max="2051" width="25.5703125" style="135" customWidth="1"/>
    <col min="2052" max="2052" width="7.5703125" style="135" customWidth="1"/>
    <col min="2053" max="2053" width="6.42578125" style="135" customWidth="1"/>
    <col min="2054" max="2054" width="6.140625" style="135" customWidth="1"/>
    <col min="2055" max="2056" width="6.5703125" style="135" customWidth="1"/>
    <col min="2057" max="2057" width="6.42578125" style="135" customWidth="1"/>
    <col min="2058" max="2060" width="7.140625" style="135" customWidth="1"/>
    <col min="2061" max="2061" width="6.5703125" style="135" customWidth="1"/>
    <col min="2062" max="2062" width="6.42578125" style="135" customWidth="1"/>
    <col min="2063" max="2306" width="8.85546875" style="135"/>
    <col min="2307" max="2307" width="25.5703125" style="135" customWidth="1"/>
    <col min="2308" max="2308" width="7.5703125" style="135" customWidth="1"/>
    <col min="2309" max="2309" width="6.42578125" style="135" customWidth="1"/>
    <col min="2310" max="2310" width="6.140625" style="135" customWidth="1"/>
    <col min="2311" max="2312" width="6.5703125" style="135" customWidth="1"/>
    <col min="2313" max="2313" width="6.42578125" style="135" customWidth="1"/>
    <col min="2314" max="2316" width="7.140625" style="135" customWidth="1"/>
    <col min="2317" max="2317" width="6.5703125" style="135" customWidth="1"/>
    <col min="2318" max="2318" width="6.42578125" style="135" customWidth="1"/>
    <col min="2319" max="2562" width="8.85546875" style="135"/>
    <col min="2563" max="2563" width="25.5703125" style="135" customWidth="1"/>
    <col min="2564" max="2564" width="7.5703125" style="135" customWidth="1"/>
    <col min="2565" max="2565" width="6.42578125" style="135" customWidth="1"/>
    <col min="2566" max="2566" width="6.140625" style="135" customWidth="1"/>
    <col min="2567" max="2568" width="6.5703125" style="135" customWidth="1"/>
    <col min="2569" max="2569" width="6.42578125" style="135" customWidth="1"/>
    <col min="2570" max="2572" width="7.140625" style="135" customWidth="1"/>
    <col min="2573" max="2573" width="6.5703125" style="135" customWidth="1"/>
    <col min="2574" max="2574" width="6.42578125" style="135" customWidth="1"/>
    <col min="2575" max="2818" width="8.85546875" style="135"/>
    <col min="2819" max="2819" width="25.5703125" style="135" customWidth="1"/>
    <col min="2820" max="2820" width="7.5703125" style="135" customWidth="1"/>
    <col min="2821" max="2821" width="6.42578125" style="135" customWidth="1"/>
    <col min="2822" max="2822" width="6.140625" style="135" customWidth="1"/>
    <col min="2823" max="2824" width="6.5703125" style="135" customWidth="1"/>
    <col min="2825" max="2825" width="6.42578125" style="135" customWidth="1"/>
    <col min="2826" max="2828" width="7.140625" style="135" customWidth="1"/>
    <col min="2829" max="2829" width="6.5703125" style="135" customWidth="1"/>
    <col min="2830" max="2830" width="6.42578125" style="135" customWidth="1"/>
    <col min="2831" max="3074" width="8.85546875" style="135"/>
    <col min="3075" max="3075" width="25.5703125" style="135" customWidth="1"/>
    <col min="3076" max="3076" width="7.5703125" style="135" customWidth="1"/>
    <col min="3077" max="3077" width="6.42578125" style="135" customWidth="1"/>
    <col min="3078" max="3078" width="6.140625" style="135" customWidth="1"/>
    <col min="3079" max="3080" width="6.5703125" style="135" customWidth="1"/>
    <col min="3081" max="3081" width="6.42578125" style="135" customWidth="1"/>
    <col min="3082" max="3084" width="7.140625" style="135" customWidth="1"/>
    <col min="3085" max="3085" width="6.5703125" style="135" customWidth="1"/>
    <col min="3086" max="3086" width="6.42578125" style="135" customWidth="1"/>
    <col min="3087" max="3330" width="8.85546875" style="135"/>
    <col min="3331" max="3331" width="25.5703125" style="135" customWidth="1"/>
    <col min="3332" max="3332" width="7.5703125" style="135" customWidth="1"/>
    <col min="3333" max="3333" width="6.42578125" style="135" customWidth="1"/>
    <col min="3334" max="3334" width="6.140625" style="135" customWidth="1"/>
    <col min="3335" max="3336" width="6.5703125" style="135" customWidth="1"/>
    <col min="3337" max="3337" width="6.42578125" style="135" customWidth="1"/>
    <col min="3338" max="3340" width="7.140625" style="135" customWidth="1"/>
    <col min="3341" max="3341" width="6.5703125" style="135" customWidth="1"/>
    <col min="3342" max="3342" width="6.42578125" style="135" customWidth="1"/>
    <col min="3343" max="3586" width="8.85546875" style="135"/>
    <col min="3587" max="3587" width="25.5703125" style="135" customWidth="1"/>
    <col min="3588" max="3588" width="7.5703125" style="135" customWidth="1"/>
    <col min="3589" max="3589" width="6.42578125" style="135" customWidth="1"/>
    <col min="3590" max="3590" width="6.140625" style="135" customWidth="1"/>
    <col min="3591" max="3592" width="6.5703125" style="135" customWidth="1"/>
    <col min="3593" max="3593" width="6.42578125" style="135" customWidth="1"/>
    <col min="3594" max="3596" width="7.140625" style="135" customWidth="1"/>
    <col min="3597" max="3597" width="6.5703125" style="135" customWidth="1"/>
    <col min="3598" max="3598" width="6.42578125" style="135" customWidth="1"/>
    <col min="3599" max="3842" width="8.85546875" style="135"/>
    <col min="3843" max="3843" width="25.5703125" style="135" customWidth="1"/>
    <col min="3844" max="3844" width="7.5703125" style="135" customWidth="1"/>
    <col min="3845" max="3845" width="6.42578125" style="135" customWidth="1"/>
    <col min="3846" max="3846" width="6.140625" style="135" customWidth="1"/>
    <col min="3847" max="3848" width="6.5703125" style="135" customWidth="1"/>
    <col min="3849" max="3849" width="6.42578125" style="135" customWidth="1"/>
    <col min="3850" max="3852" width="7.140625" style="135" customWidth="1"/>
    <col min="3853" max="3853" width="6.5703125" style="135" customWidth="1"/>
    <col min="3854" max="3854" width="6.42578125" style="135" customWidth="1"/>
    <col min="3855" max="4098" width="8.85546875" style="135"/>
    <col min="4099" max="4099" width="25.5703125" style="135" customWidth="1"/>
    <col min="4100" max="4100" width="7.5703125" style="135" customWidth="1"/>
    <col min="4101" max="4101" width="6.42578125" style="135" customWidth="1"/>
    <col min="4102" max="4102" width="6.140625" style="135" customWidth="1"/>
    <col min="4103" max="4104" width="6.5703125" style="135" customWidth="1"/>
    <col min="4105" max="4105" width="6.42578125" style="135" customWidth="1"/>
    <col min="4106" max="4108" width="7.140625" style="135" customWidth="1"/>
    <col min="4109" max="4109" width="6.5703125" style="135" customWidth="1"/>
    <col min="4110" max="4110" width="6.42578125" style="135" customWidth="1"/>
    <col min="4111" max="4354" width="8.85546875" style="135"/>
    <col min="4355" max="4355" width="25.5703125" style="135" customWidth="1"/>
    <col min="4356" max="4356" width="7.5703125" style="135" customWidth="1"/>
    <col min="4357" max="4357" width="6.42578125" style="135" customWidth="1"/>
    <col min="4358" max="4358" width="6.140625" style="135" customWidth="1"/>
    <col min="4359" max="4360" width="6.5703125" style="135" customWidth="1"/>
    <col min="4361" max="4361" width="6.42578125" style="135" customWidth="1"/>
    <col min="4362" max="4364" width="7.140625" style="135" customWidth="1"/>
    <col min="4365" max="4365" width="6.5703125" style="135" customWidth="1"/>
    <col min="4366" max="4366" width="6.42578125" style="135" customWidth="1"/>
    <col min="4367" max="4610" width="8.85546875" style="135"/>
    <col min="4611" max="4611" width="25.5703125" style="135" customWidth="1"/>
    <col min="4612" max="4612" width="7.5703125" style="135" customWidth="1"/>
    <col min="4613" max="4613" width="6.42578125" style="135" customWidth="1"/>
    <col min="4614" max="4614" width="6.140625" style="135" customWidth="1"/>
    <col min="4615" max="4616" width="6.5703125" style="135" customWidth="1"/>
    <col min="4617" max="4617" width="6.42578125" style="135" customWidth="1"/>
    <col min="4618" max="4620" width="7.140625" style="135" customWidth="1"/>
    <col min="4621" max="4621" width="6.5703125" style="135" customWidth="1"/>
    <col min="4622" max="4622" width="6.42578125" style="135" customWidth="1"/>
    <col min="4623" max="4866" width="8.85546875" style="135"/>
    <col min="4867" max="4867" width="25.5703125" style="135" customWidth="1"/>
    <col min="4868" max="4868" width="7.5703125" style="135" customWidth="1"/>
    <col min="4869" max="4869" width="6.42578125" style="135" customWidth="1"/>
    <col min="4870" max="4870" width="6.140625" style="135" customWidth="1"/>
    <col min="4871" max="4872" width="6.5703125" style="135" customWidth="1"/>
    <col min="4873" max="4873" width="6.42578125" style="135" customWidth="1"/>
    <col min="4874" max="4876" width="7.140625" style="135" customWidth="1"/>
    <col min="4877" max="4877" width="6.5703125" style="135" customWidth="1"/>
    <col min="4878" max="4878" width="6.42578125" style="135" customWidth="1"/>
    <col min="4879" max="5122" width="8.85546875" style="135"/>
    <col min="5123" max="5123" width="25.5703125" style="135" customWidth="1"/>
    <col min="5124" max="5124" width="7.5703125" style="135" customWidth="1"/>
    <col min="5125" max="5125" width="6.42578125" style="135" customWidth="1"/>
    <col min="5126" max="5126" width="6.140625" style="135" customWidth="1"/>
    <col min="5127" max="5128" width="6.5703125" style="135" customWidth="1"/>
    <col min="5129" max="5129" width="6.42578125" style="135" customWidth="1"/>
    <col min="5130" max="5132" width="7.140625" style="135" customWidth="1"/>
    <col min="5133" max="5133" width="6.5703125" style="135" customWidth="1"/>
    <col min="5134" max="5134" width="6.42578125" style="135" customWidth="1"/>
    <col min="5135" max="5378" width="8.85546875" style="135"/>
    <col min="5379" max="5379" width="25.5703125" style="135" customWidth="1"/>
    <col min="5380" max="5380" width="7.5703125" style="135" customWidth="1"/>
    <col min="5381" max="5381" width="6.42578125" style="135" customWidth="1"/>
    <col min="5382" max="5382" width="6.140625" style="135" customWidth="1"/>
    <col min="5383" max="5384" width="6.5703125" style="135" customWidth="1"/>
    <col min="5385" max="5385" width="6.42578125" style="135" customWidth="1"/>
    <col min="5386" max="5388" width="7.140625" style="135" customWidth="1"/>
    <col min="5389" max="5389" width="6.5703125" style="135" customWidth="1"/>
    <col min="5390" max="5390" width="6.42578125" style="135" customWidth="1"/>
    <col min="5391" max="5634" width="8.85546875" style="135"/>
    <col min="5635" max="5635" width="25.5703125" style="135" customWidth="1"/>
    <col min="5636" max="5636" width="7.5703125" style="135" customWidth="1"/>
    <col min="5637" max="5637" width="6.42578125" style="135" customWidth="1"/>
    <col min="5638" max="5638" width="6.140625" style="135" customWidth="1"/>
    <col min="5639" max="5640" width="6.5703125" style="135" customWidth="1"/>
    <col min="5641" max="5641" width="6.42578125" style="135" customWidth="1"/>
    <col min="5642" max="5644" width="7.140625" style="135" customWidth="1"/>
    <col min="5645" max="5645" width="6.5703125" style="135" customWidth="1"/>
    <col min="5646" max="5646" width="6.42578125" style="135" customWidth="1"/>
    <col min="5647" max="5890" width="8.85546875" style="135"/>
    <col min="5891" max="5891" width="25.5703125" style="135" customWidth="1"/>
    <col min="5892" max="5892" width="7.5703125" style="135" customWidth="1"/>
    <col min="5893" max="5893" width="6.42578125" style="135" customWidth="1"/>
    <col min="5894" max="5894" width="6.140625" style="135" customWidth="1"/>
    <col min="5895" max="5896" width="6.5703125" style="135" customWidth="1"/>
    <col min="5897" max="5897" width="6.42578125" style="135" customWidth="1"/>
    <col min="5898" max="5900" width="7.140625" style="135" customWidth="1"/>
    <col min="5901" max="5901" width="6.5703125" style="135" customWidth="1"/>
    <col min="5902" max="5902" width="6.42578125" style="135" customWidth="1"/>
    <col min="5903" max="6146" width="8.85546875" style="135"/>
    <col min="6147" max="6147" width="25.5703125" style="135" customWidth="1"/>
    <col min="6148" max="6148" width="7.5703125" style="135" customWidth="1"/>
    <col min="6149" max="6149" width="6.42578125" style="135" customWidth="1"/>
    <col min="6150" max="6150" width="6.140625" style="135" customWidth="1"/>
    <col min="6151" max="6152" width="6.5703125" style="135" customWidth="1"/>
    <col min="6153" max="6153" width="6.42578125" style="135" customWidth="1"/>
    <col min="6154" max="6156" width="7.140625" style="135" customWidth="1"/>
    <col min="6157" max="6157" width="6.5703125" style="135" customWidth="1"/>
    <col min="6158" max="6158" width="6.42578125" style="135" customWidth="1"/>
    <col min="6159" max="6402" width="8.85546875" style="135"/>
    <col min="6403" max="6403" width="25.5703125" style="135" customWidth="1"/>
    <col min="6404" max="6404" width="7.5703125" style="135" customWidth="1"/>
    <col min="6405" max="6405" width="6.42578125" style="135" customWidth="1"/>
    <col min="6406" max="6406" width="6.140625" style="135" customWidth="1"/>
    <col min="6407" max="6408" width="6.5703125" style="135" customWidth="1"/>
    <col min="6409" max="6409" width="6.42578125" style="135" customWidth="1"/>
    <col min="6410" max="6412" width="7.140625" style="135" customWidth="1"/>
    <col min="6413" max="6413" width="6.5703125" style="135" customWidth="1"/>
    <col min="6414" max="6414" width="6.42578125" style="135" customWidth="1"/>
    <col min="6415" max="6658" width="8.85546875" style="135"/>
    <col min="6659" max="6659" width="25.5703125" style="135" customWidth="1"/>
    <col min="6660" max="6660" width="7.5703125" style="135" customWidth="1"/>
    <col min="6661" max="6661" width="6.42578125" style="135" customWidth="1"/>
    <col min="6662" max="6662" width="6.140625" style="135" customWidth="1"/>
    <col min="6663" max="6664" width="6.5703125" style="135" customWidth="1"/>
    <col min="6665" max="6665" width="6.42578125" style="135" customWidth="1"/>
    <col min="6666" max="6668" width="7.140625" style="135" customWidth="1"/>
    <col min="6669" max="6669" width="6.5703125" style="135" customWidth="1"/>
    <col min="6670" max="6670" width="6.42578125" style="135" customWidth="1"/>
    <col min="6671" max="6914" width="8.85546875" style="135"/>
    <col min="6915" max="6915" width="25.5703125" style="135" customWidth="1"/>
    <col min="6916" max="6916" width="7.5703125" style="135" customWidth="1"/>
    <col min="6917" max="6917" width="6.42578125" style="135" customWidth="1"/>
    <col min="6918" max="6918" width="6.140625" style="135" customWidth="1"/>
    <col min="6919" max="6920" width="6.5703125" style="135" customWidth="1"/>
    <col min="6921" max="6921" width="6.42578125" style="135" customWidth="1"/>
    <col min="6922" max="6924" width="7.140625" style="135" customWidth="1"/>
    <col min="6925" max="6925" width="6.5703125" style="135" customWidth="1"/>
    <col min="6926" max="6926" width="6.42578125" style="135" customWidth="1"/>
    <col min="6927" max="7170" width="8.85546875" style="135"/>
    <col min="7171" max="7171" width="25.5703125" style="135" customWidth="1"/>
    <col min="7172" max="7172" width="7.5703125" style="135" customWidth="1"/>
    <col min="7173" max="7173" width="6.42578125" style="135" customWidth="1"/>
    <col min="7174" max="7174" width="6.140625" style="135" customWidth="1"/>
    <col min="7175" max="7176" width="6.5703125" style="135" customWidth="1"/>
    <col min="7177" max="7177" width="6.42578125" style="135" customWidth="1"/>
    <col min="7178" max="7180" width="7.140625" style="135" customWidth="1"/>
    <col min="7181" max="7181" width="6.5703125" style="135" customWidth="1"/>
    <col min="7182" max="7182" width="6.42578125" style="135" customWidth="1"/>
    <col min="7183" max="7426" width="8.85546875" style="135"/>
    <col min="7427" max="7427" width="25.5703125" style="135" customWidth="1"/>
    <col min="7428" max="7428" width="7.5703125" style="135" customWidth="1"/>
    <col min="7429" max="7429" width="6.42578125" style="135" customWidth="1"/>
    <col min="7430" max="7430" width="6.140625" style="135" customWidth="1"/>
    <col min="7431" max="7432" width="6.5703125" style="135" customWidth="1"/>
    <col min="7433" max="7433" width="6.42578125" style="135" customWidth="1"/>
    <col min="7434" max="7436" width="7.140625" style="135" customWidth="1"/>
    <col min="7437" max="7437" width="6.5703125" style="135" customWidth="1"/>
    <col min="7438" max="7438" width="6.42578125" style="135" customWidth="1"/>
    <col min="7439" max="7682" width="8.85546875" style="135"/>
    <col min="7683" max="7683" width="25.5703125" style="135" customWidth="1"/>
    <col min="7684" max="7684" width="7.5703125" style="135" customWidth="1"/>
    <col min="7685" max="7685" width="6.42578125" style="135" customWidth="1"/>
    <col min="7686" max="7686" width="6.140625" style="135" customWidth="1"/>
    <col min="7687" max="7688" width="6.5703125" style="135" customWidth="1"/>
    <col min="7689" max="7689" width="6.42578125" style="135" customWidth="1"/>
    <col min="7690" max="7692" width="7.140625" style="135" customWidth="1"/>
    <col min="7693" max="7693" width="6.5703125" style="135" customWidth="1"/>
    <col min="7694" max="7694" width="6.42578125" style="135" customWidth="1"/>
    <col min="7695" max="7938" width="8.85546875" style="135"/>
    <col min="7939" max="7939" width="25.5703125" style="135" customWidth="1"/>
    <col min="7940" max="7940" width="7.5703125" style="135" customWidth="1"/>
    <col min="7941" max="7941" width="6.42578125" style="135" customWidth="1"/>
    <col min="7942" max="7942" width="6.140625" style="135" customWidth="1"/>
    <col min="7943" max="7944" width="6.5703125" style="135" customWidth="1"/>
    <col min="7945" max="7945" width="6.42578125" style="135" customWidth="1"/>
    <col min="7946" max="7948" width="7.140625" style="135" customWidth="1"/>
    <col min="7949" max="7949" width="6.5703125" style="135" customWidth="1"/>
    <col min="7950" max="7950" width="6.42578125" style="135" customWidth="1"/>
    <col min="7951" max="8194" width="8.85546875" style="135"/>
    <col min="8195" max="8195" width="25.5703125" style="135" customWidth="1"/>
    <col min="8196" max="8196" width="7.5703125" style="135" customWidth="1"/>
    <col min="8197" max="8197" width="6.42578125" style="135" customWidth="1"/>
    <col min="8198" max="8198" width="6.140625" style="135" customWidth="1"/>
    <col min="8199" max="8200" width="6.5703125" style="135" customWidth="1"/>
    <col min="8201" max="8201" width="6.42578125" style="135" customWidth="1"/>
    <col min="8202" max="8204" width="7.140625" style="135" customWidth="1"/>
    <col min="8205" max="8205" width="6.5703125" style="135" customWidth="1"/>
    <col min="8206" max="8206" width="6.42578125" style="135" customWidth="1"/>
    <col min="8207" max="8450" width="8.85546875" style="135"/>
    <col min="8451" max="8451" width="25.5703125" style="135" customWidth="1"/>
    <col min="8452" max="8452" width="7.5703125" style="135" customWidth="1"/>
    <col min="8453" max="8453" width="6.42578125" style="135" customWidth="1"/>
    <col min="8454" max="8454" width="6.140625" style="135" customWidth="1"/>
    <col min="8455" max="8456" width="6.5703125" style="135" customWidth="1"/>
    <col min="8457" max="8457" width="6.42578125" style="135" customWidth="1"/>
    <col min="8458" max="8460" width="7.140625" style="135" customWidth="1"/>
    <col min="8461" max="8461" width="6.5703125" style="135" customWidth="1"/>
    <col min="8462" max="8462" width="6.42578125" style="135" customWidth="1"/>
    <col min="8463" max="8706" width="8.85546875" style="135"/>
    <col min="8707" max="8707" width="25.5703125" style="135" customWidth="1"/>
    <col min="8708" max="8708" width="7.5703125" style="135" customWidth="1"/>
    <col min="8709" max="8709" width="6.42578125" style="135" customWidth="1"/>
    <col min="8710" max="8710" width="6.140625" style="135" customWidth="1"/>
    <col min="8711" max="8712" width="6.5703125" style="135" customWidth="1"/>
    <col min="8713" max="8713" width="6.42578125" style="135" customWidth="1"/>
    <col min="8714" max="8716" width="7.140625" style="135" customWidth="1"/>
    <col min="8717" max="8717" width="6.5703125" style="135" customWidth="1"/>
    <col min="8718" max="8718" width="6.42578125" style="135" customWidth="1"/>
    <col min="8719" max="8962" width="8.85546875" style="135"/>
    <col min="8963" max="8963" width="25.5703125" style="135" customWidth="1"/>
    <col min="8964" max="8964" width="7.5703125" style="135" customWidth="1"/>
    <col min="8965" max="8965" width="6.42578125" style="135" customWidth="1"/>
    <col min="8966" max="8966" width="6.140625" style="135" customWidth="1"/>
    <col min="8967" max="8968" width="6.5703125" style="135" customWidth="1"/>
    <col min="8969" max="8969" width="6.42578125" style="135" customWidth="1"/>
    <col min="8970" max="8972" width="7.140625" style="135" customWidth="1"/>
    <col min="8973" max="8973" width="6.5703125" style="135" customWidth="1"/>
    <col min="8974" max="8974" width="6.42578125" style="135" customWidth="1"/>
    <col min="8975" max="9218" width="8.85546875" style="135"/>
    <col min="9219" max="9219" width="25.5703125" style="135" customWidth="1"/>
    <col min="9220" max="9220" width="7.5703125" style="135" customWidth="1"/>
    <col min="9221" max="9221" width="6.42578125" style="135" customWidth="1"/>
    <col min="9222" max="9222" width="6.140625" style="135" customWidth="1"/>
    <col min="9223" max="9224" width="6.5703125" style="135" customWidth="1"/>
    <col min="9225" max="9225" width="6.42578125" style="135" customWidth="1"/>
    <col min="9226" max="9228" width="7.140625" style="135" customWidth="1"/>
    <col min="9229" max="9229" width="6.5703125" style="135" customWidth="1"/>
    <col min="9230" max="9230" width="6.42578125" style="135" customWidth="1"/>
    <col min="9231" max="9474" width="8.85546875" style="135"/>
    <col min="9475" max="9475" width="25.5703125" style="135" customWidth="1"/>
    <col min="9476" max="9476" width="7.5703125" style="135" customWidth="1"/>
    <col min="9477" max="9477" width="6.42578125" style="135" customWidth="1"/>
    <col min="9478" max="9478" width="6.140625" style="135" customWidth="1"/>
    <col min="9479" max="9480" width="6.5703125" style="135" customWidth="1"/>
    <col min="9481" max="9481" width="6.42578125" style="135" customWidth="1"/>
    <col min="9482" max="9484" width="7.140625" style="135" customWidth="1"/>
    <col min="9485" max="9485" width="6.5703125" style="135" customWidth="1"/>
    <col min="9486" max="9486" width="6.42578125" style="135" customWidth="1"/>
    <col min="9487" max="9730" width="8.85546875" style="135"/>
    <col min="9731" max="9731" width="25.5703125" style="135" customWidth="1"/>
    <col min="9732" max="9732" width="7.5703125" style="135" customWidth="1"/>
    <col min="9733" max="9733" width="6.42578125" style="135" customWidth="1"/>
    <col min="9734" max="9734" width="6.140625" style="135" customWidth="1"/>
    <col min="9735" max="9736" width="6.5703125" style="135" customWidth="1"/>
    <col min="9737" max="9737" width="6.42578125" style="135" customWidth="1"/>
    <col min="9738" max="9740" width="7.140625" style="135" customWidth="1"/>
    <col min="9741" max="9741" width="6.5703125" style="135" customWidth="1"/>
    <col min="9742" max="9742" width="6.42578125" style="135" customWidth="1"/>
    <col min="9743" max="9986" width="8.85546875" style="135"/>
    <col min="9987" max="9987" width="25.5703125" style="135" customWidth="1"/>
    <col min="9988" max="9988" width="7.5703125" style="135" customWidth="1"/>
    <col min="9989" max="9989" width="6.42578125" style="135" customWidth="1"/>
    <col min="9990" max="9990" width="6.140625" style="135" customWidth="1"/>
    <col min="9991" max="9992" width="6.5703125" style="135" customWidth="1"/>
    <col min="9993" max="9993" width="6.42578125" style="135" customWidth="1"/>
    <col min="9994" max="9996" width="7.140625" style="135" customWidth="1"/>
    <col min="9997" max="9997" width="6.5703125" style="135" customWidth="1"/>
    <col min="9998" max="9998" width="6.42578125" style="135" customWidth="1"/>
    <col min="9999" max="10242" width="8.85546875" style="135"/>
    <col min="10243" max="10243" width="25.5703125" style="135" customWidth="1"/>
    <col min="10244" max="10244" width="7.5703125" style="135" customWidth="1"/>
    <col min="10245" max="10245" width="6.42578125" style="135" customWidth="1"/>
    <col min="10246" max="10246" width="6.140625" style="135" customWidth="1"/>
    <col min="10247" max="10248" width="6.5703125" style="135" customWidth="1"/>
    <col min="10249" max="10249" width="6.42578125" style="135" customWidth="1"/>
    <col min="10250" max="10252" width="7.140625" style="135" customWidth="1"/>
    <col min="10253" max="10253" width="6.5703125" style="135" customWidth="1"/>
    <col min="10254" max="10254" width="6.42578125" style="135" customWidth="1"/>
    <col min="10255" max="10498" width="8.85546875" style="135"/>
    <col min="10499" max="10499" width="25.5703125" style="135" customWidth="1"/>
    <col min="10500" max="10500" width="7.5703125" style="135" customWidth="1"/>
    <col min="10501" max="10501" width="6.42578125" style="135" customWidth="1"/>
    <col min="10502" max="10502" width="6.140625" style="135" customWidth="1"/>
    <col min="10503" max="10504" width="6.5703125" style="135" customWidth="1"/>
    <col min="10505" max="10505" width="6.42578125" style="135" customWidth="1"/>
    <col min="10506" max="10508" width="7.140625" style="135" customWidth="1"/>
    <col min="10509" max="10509" width="6.5703125" style="135" customWidth="1"/>
    <col min="10510" max="10510" width="6.42578125" style="135" customWidth="1"/>
    <col min="10511" max="10754" width="8.85546875" style="135"/>
    <col min="10755" max="10755" width="25.5703125" style="135" customWidth="1"/>
    <col min="10756" max="10756" width="7.5703125" style="135" customWidth="1"/>
    <col min="10757" max="10757" width="6.42578125" style="135" customWidth="1"/>
    <col min="10758" max="10758" width="6.140625" style="135" customWidth="1"/>
    <col min="10759" max="10760" width="6.5703125" style="135" customWidth="1"/>
    <col min="10761" max="10761" width="6.42578125" style="135" customWidth="1"/>
    <col min="10762" max="10764" width="7.140625" style="135" customWidth="1"/>
    <col min="10765" max="10765" width="6.5703125" style="135" customWidth="1"/>
    <col min="10766" max="10766" width="6.42578125" style="135" customWidth="1"/>
    <col min="10767" max="11010" width="8.85546875" style="135"/>
    <col min="11011" max="11011" width="25.5703125" style="135" customWidth="1"/>
    <col min="11012" max="11012" width="7.5703125" style="135" customWidth="1"/>
    <col min="11013" max="11013" width="6.42578125" style="135" customWidth="1"/>
    <col min="11014" max="11014" width="6.140625" style="135" customWidth="1"/>
    <col min="11015" max="11016" width="6.5703125" style="135" customWidth="1"/>
    <col min="11017" max="11017" width="6.42578125" style="135" customWidth="1"/>
    <col min="11018" max="11020" width="7.140625" style="135" customWidth="1"/>
    <col min="11021" max="11021" width="6.5703125" style="135" customWidth="1"/>
    <col min="11022" max="11022" width="6.42578125" style="135" customWidth="1"/>
    <col min="11023" max="11266" width="8.85546875" style="135"/>
    <col min="11267" max="11267" width="25.5703125" style="135" customWidth="1"/>
    <col min="11268" max="11268" width="7.5703125" style="135" customWidth="1"/>
    <col min="11269" max="11269" width="6.42578125" style="135" customWidth="1"/>
    <col min="11270" max="11270" width="6.140625" style="135" customWidth="1"/>
    <col min="11271" max="11272" width="6.5703125" style="135" customWidth="1"/>
    <col min="11273" max="11273" width="6.42578125" style="135" customWidth="1"/>
    <col min="11274" max="11276" width="7.140625" style="135" customWidth="1"/>
    <col min="11277" max="11277" width="6.5703125" style="135" customWidth="1"/>
    <col min="11278" max="11278" width="6.42578125" style="135" customWidth="1"/>
    <col min="11279" max="11522" width="8.85546875" style="135"/>
    <col min="11523" max="11523" width="25.5703125" style="135" customWidth="1"/>
    <col min="11524" max="11524" width="7.5703125" style="135" customWidth="1"/>
    <col min="11525" max="11525" width="6.42578125" style="135" customWidth="1"/>
    <col min="11526" max="11526" width="6.140625" style="135" customWidth="1"/>
    <col min="11527" max="11528" width="6.5703125" style="135" customWidth="1"/>
    <col min="11529" max="11529" width="6.42578125" style="135" customWidth="1"/>
    <col min="11530" max="11532" width="7.140625" style="135" customWidth="1"/>
    <col min="11533" max="11533" width="6.5703125" style="135" customWidth="1"/>
    <col min="11534" max="11534" width="6.42578125" style="135" customWidth="1"/>
    <col min="11535" max="11778" width="8.85546875" style="135"/>
    <col min="11779" max="11779" width="25.5703125" style="135" customWidth="1"/>
    <col min="11780" max="11780" width="7.5703125" style="135" customWidth="1"/>
    <col min="11781" max="11781" width="6.42578125" style="135" customWidth="1"/>
    <col min="11782" max="11782" width="6.140625" style="135" customWidth="1"/>
    <col min="11783" max="11784" width="6.5703125" style="135" customWidth="1"/>
    <col min="11785" max="11785" width="6.42578125" style="135" customWidth="1"/>
    <col min="11786" max="11788" width="7.140625" style="135" customWidth="1"/>
    <col min="11789" max="11789" width="6.5703125" style="135" customWidth="1"/>
    <col min="11790" max="11790" width="6.42578125" style="135" customWidth="1"/>
    <col min="11791" max="12034" width="8.85546875" style="135"/>
    <col min="12035" max="12035" width="25.5703125" style="135" customWidth="1"/>
    <col min="12036" max="12036" width="7.5703125" style="135" customWidth="1"/>
    <col min="12037" max="12037" width="6.42578125" style="135" customWidth="1"/>
    <col min="12038" max="12038" width="6.140625" style="135" customWidth="1"/>
    <col min="12039" max="12040" width="6.5703125" style="135" customWidth="1"/>
    <col min="12041" max="12041" width="6.42578125" style="135" customWidth="1"/>
    <col min="12042" max="12044" width="7.140625" style="135" customWidth="1"/>
    <col min="12045" max="12045" width="6.5703125" style="135" customWidth="1"/>
    <col min="12046" max="12046" width="6.42578125" style="135" customWidth="1"/>
    <col min="12047" max="12290" width="8.85546875" style="135"/>
    <col min="12291" max="12291" width="25.5703125" style="135" customWidth="1"/>
    <col min="12292" max="12292" width="7.5703125" style="135" customWidth="1"/>
    <col min="12293" max="12293" width="6.42578125" style="135" customWidth="1"/>
    <col min="12294" max="12294" width="6.140625" style="135" customWidth="1"/>
    <col min="12295" max="12296" width="6.5703125" style="135" customWidth="1"/>
    <col min="12297" max="12297" width="6.42578125" style="135" customWidth="1"/>
    <col min="12298" max="12300" width="7.140625" style="135" customWidth="1"/>
    <col min="12301" max="12301" width="6.5703125" style="135" customWidth="1"/>
    <col min="12302" max="12302" width="6.42578125" style="135" customWidth="1"/>
    <col min="12303" max="12546" width="8.85546875" style="135"/>
    <col min="12547" max="12547" width="25.5703125" style="135" customWidth="1"/>
    <col min="12548" max="12548" width="7.5703125" style="135" customWidth="1"/>
    <col min="12549" max="12549" width="6.42578125" style="135" customWidth="1"/>
    <col min="12550" max="12550" width="6.140625" style="135" customWidth="1"/>
    <col min="12551" max="12552" width="6.5703125" style="135" customWidth="1"/>
    <col min="12553" max="12553" width="6.42578125" style="135" customWidth="1"/>
    <col min="12554" max="12556" width="7.140625" style="135" customWidth="1"/>
    <col min="12557" max="12557" width="6.5703125" style="135" customWidth="1"/>
    <col min="12558" max="12558" width="6.42578125" style="135" customWidth="1"/>
    <col min="12559" max="12802" width="8.85546875" style="135"/>
    <col min="12803" max="12803" width="25.5703125" style="135" customWidth="1"/>
    <col min="12804" max="12804" width="7.5703125" style="135" customWidth="1"/>
    <col min="12805" max="12805" width="6.42578125" style="135" customWidth="1"/>
    <col min="12806" max="12806" width="6.140625" style="135" customWidth="1"/>
    <col min="12807" max="12808" width="6.5703125" style="135" customWidth="1"/>
    <col min="12809" max="12809" width="6.42578125" style="135" customWidth="1"/>
    <col min="12810" max="12812" width="7.140625" style="135" customWidth="1"/>
    <col min="12813" max="12813" width="6.5703125" style="135" customWidth="1"/>
    <col min="12814" max="12814" width="6.42578125" style="135" customWidth="1"/>
    <col min="12815" max="13058" width="8.85546875" style="135"/>
    <col min="13059" max="13059" width="25.5703125" style="135" customWidth="1"/>
    <col min="13060" max="13060" width="7.5703125" style="135" customWidth="1"/>
    <col min="13061" max="13061" width="6.42578125" style="135" customWidth="1"/>
    <col min="13062" max="13062" width="6.140625" style="135" customWidth="1"/>
    <col min="13063" max="13064" width="6.5703125" style="135" customWidth="1"/>
    <col min="13065" max="13065" width="6.42578125" style="135" customWidth="1"/>
    <col min="13066" max="13068" width="7.140625" style="135" customWidth="1"/>
    <col min="13069" max="13069" width="6.5703125" style="135" customWidth="1"/>
    <col min="13070" max="13070" width="6.42578125" style="135" customWidth="1"/>
    <col min="13071" max="13314" width="8.85546875" style="135"/>
    <col min="13315" max="13315" width="25.5703125" style="135" customWidth="1"/>
    <col min="13316" max="13316" width="7.5703125" style="135" customWidth="1"/>
    <col min="13317" max="13317" width="6.42578125" style="135" customWidth="1"/>
    <col min="13318" max="13318" width="6.140625" style="135" customWidth="1"/>
    <col min="13319" max="13320" width="6.5703125" style="135" customWidth="1"/>
    <col min="13321" max="13321" width="6.42578125" style="135" customWidth="1"/>
    <col min="13322" max="13324" width="7.140625" style="135" customWidth="1"/>
    <col min="13325" max="13325" width="6.5703125" style="135" customWidth="1"/>
    <col min="13326" max="13326" width="6.42578125" style="135" customWidth="1"/>
    <col min="13327" max="13570" width="8.85546875" style="135"/>
    <col min="13571" max="13571" width="25.5703125" style="135" customWidth="1"/>
    <col min="13572" max="13572" width="7.5703125" style="135" customWidth="1"/>
    <col min="13573" max="13573" width="6.42578125" style="135" customWidth="1"/>
    <col min="13574" max="13574" width="6.140625" style="135" customWidth="1"/>
    <col min="13575" max="13576" width="6.5703125" style="135" customWidth="1"/>
    <col min="13577" max="13577" width="6.42578125" style="135" customWidth="1"/>
    <col min="13578" max="13580" width="7.140625" style="135" customWidth="1"/>
    <col min="13581" max="13581" width="6.5703125" style="135" customWidth="1"/>
    <col min="13582" max="13582" width="6.42578125" style="135" customWidth="1"/>
    <col min="13583" max="13826" width="8.85546875" style="135"/>
    <col min="13827" max="13827" width="25.5703125" style="135" customWidth="1"/>
    <col min="13828" max="13828" width="7.5703125" style="135" customWidth="1"/>
    <col min="13829" max="13829" width="6.42578125" style="135" customWidth="1"/>
    <col min="13830" max="13830" width="6.140625" style="135" customWidth="1"/>
    <col min="13831" max="13832" width="6.5703125" style="135" customWidth="1"/>
    <col min="13833" max="13833" width="6.42578125" style="135" customWidth="1"/>
    <col min="13834" max="13836" width="7.140625" style="135" customWidth="1"/>
    <col min="13837" max="13837" width="6.5703125" style="135" customWidth="1"/>
    <col min="13838" max="13838" width="6.42578125" style="135" customWidth="1"/>
    <col min="13839" max="14082" width="8.85546875" style="135"/>
    <col min="14083" max="14083" width="25.5703125" style="135" customWidth="1"/>
    <col min="14084" max="14084" width="7.5703125" style="135" customWidth="1"/>
    <col min="14085" max="14085" width="6.42578125" style="135" customWidth="1"/>
    <col min="14086" max="14086" width="6.140625" style="135" customWidth="1"/>
    <col min="14087" max="14088" width="6.5703125" style="135" customWidth="1"/>
    <col min="14089" max="14089" width="6.42578125" style="135" customWidth="1"/>
    <col min="14090" max="14092" width="7.140625" style="135" customWidth="1"/>
    <col min="14093" max="14093" width="6.5703125" style="135" customWidth="1"/>
    <col min="14094" max="14094" width="6.42578125" style="135" customWidth="1"/>
    <col min="14095" max="14338" width="8.85546875" style="135"/>
    <col min="14339" max="14339" width="25.5703125" style="135" customWidth="1"/>
    <col min="14340" max="14340" width="7.5703125" style="135" customWidth="1"/>
    <col min="14341" max="14341" width="6.42578125" style="135" customWidth="1"/>
    <col min="14342" max="14342" width="6.140625" style="135" customWidth="1"/>
    <col min="14343" max="14344" width="6.5703125" style="135" customWidth="1"/>
    <col min="14345" max="14345" width="6.42578125" style="135" customWidth="1"/>
    <col min="14346" max="14348" width="7.140625" style="135" customWidth="1"/>
    <col min="14349" max="14349" width="6.5703125" style="135" customWidth="1"/>
    <col min="14350" max="14350" width="6.42578125" style="135" customWidth="1"/>
    <col min="14351" max="14594" width="8.85546875" style="135"/>
    <col min="14595" max="14595" width="25.5703125" style="135" customWidth="1"/>
    <col min="14596" max="14596" width="7.5703125" style="135" customWidth="1"/>
    <col min="14597" max="14597" width="6.42578125" style="135" customWidth="1"/>
    <col min="14598" max="14598" width="6.140625" style="135" customWidth="1"/>
    <col min="14599" max="14600" width="6.5703125" style="135" customWidth="1"/>
    <col min="14601" max="14601" width="6.42578125" style="135" customWidth="1"/>
    <col min="14602" max="14604" width="7.140625" style="135" customWidth="1"/>
    <col min="14605" max="14605" width="6.5703125" style="135" customWidth="1"/>
    <col min="14606" max="14606" width="6.42578125" style="135" customWidth="1"/>
    <col min="14607" max="14850" width="8.85546875" style="135"/>
    <col min="14851" max="14851" width="25.5703125" style="135" customWidth="1"/>
    <col min="14852" max="14852" width="7.5703125" style="135" customWidth="1"/>
    <col min="14853" max="14853" width="6.42578125" style="135" customWidth="1"/>
    <col min="14854" max="14854" width="6.140625" style="135" customWidth="1"/>
    <col min="14855" max="14856" width="6.5703125" style="135" customWidth="1"/>
    <col min="14857" max="14857" width="6.42578125" style="135" customWidth="1"/>
    <col min="14858" max="14860" width="7.140625" style="135" customWidth="1"/>
    <col min="14861" max="14861" width="6.5703125" style="135" customWidth="1"/>
    <col min="14862" max="14862" width="6.42578125" style="135" customWidth="1"/>
    <col min="14863" max="15106" width="8.85546875" style="135"/>
    <col min="15107" max="15107" width="25.5703125" style="135" customWidth="1"/>
    <col min="15108" max="15108" width="7.5703125" style="135" customWidth="1"/>
    <col min="15109" max="15109" width="6.42578125" style="135" customWidth="1"/>
    <col min="15110" max="15110" width="6.140625" style="135" customWidth="1"/>
    <col min="15111" max="15112" width="6.5703125" style="135" customWidth="1"/>
    <col min="15113" max="15113" width="6.42578125" style="135" customWidth="1"/>
    <col min="15114" max="15116" width="7.140625" style="135" customWidth="1"/>
    <col min="15117" max="15117" width="6.5703125" style="135" customWidth="1"/>
    <col min="15118" max="15118" width="6.42578125" style="135" customWidth="1"/>
    <col min="15119" max="15362" width="8.85546875" style="135"/>
    <col min="15363" max="15363" width="25.5703125" style="135" customWidth="1"/>
    <col min="15364" max="15364" width="7.5703125" style="135" customWidth="1"/>
    <col min="15365" max="15365" width="6.42578125" style="135" customWidth="1"/>
    <col min="15366" max="15366" width="6.140625" style="135" customWidth="1"/>
    <col min="15367" max="15368" width="6.5703125" style="135" customWidth="1"/>
    <col min="15369" max="15369" width="6.42578125" style="135" customWidth="1"/>
    <col min="15370" max="15372" width="7.140625" style="135" customWidth="1"/>
    <col min="15373" max="15373" width="6.5703125" style="135" customWidth="1"/>
    <col min="15374" max="15374" width="6.42578125" style="135" customWidth="1"/>
    <col min="15375" max="15618" width="8.85546875" style="135"/>
    <col min="15619" max="15619" width="25.5703125" style="135" customWidth="1"/>
    <col min="15620" max="15620" width="7.5703125" style="135" customWidth="1"/>
    <col min="15621" max="15621" width="6.42578125" style="135" customWidth="1"/>
    <col min="15622" max="15622" width="6.140625" style="135" customWidth="1"/>
    <col min="15623" max="15624" width="6.5703125" style="135" customWidth="1"/>
    <col min="15625" max="15625" width="6.42578125" style="135" customWidth="1"/>
    <col min="15626" max="15628" width="7.140625" style="135" customWidth="1"/>
    <col min="15629" max="15629" width="6.5703125" style="135" customWidth="1"/>
    <col min="15630" max="15630" width="6.42578125" style="135" customWidth="1"/>
    <col min="15631" max="15874" width="8.85546875" style="135"/>
    <col min="15875" max="15875" width="25.5703125" style="135" customWidth="1"/>
    <col min="15876" max="15876" width="7.5703125" style="135" customWidth="1"/>
    <col min="15877" max="15877" width="6.42578125" style="135" customWidth="1"/>
    <col min="15878" max="15878" width="6.140625" style="135" customWidth="1"/>
    <col min="15879" max="15880" width="6.5703125" style="135" customWidth="1"/>
    <col min="15881" max="15881" width="6.42578125" style="135" customWidth="1"/>
    <col min="15882" max="15884" width="7.140625" style="135" customWidth="1"/>
    <col min="15885" max="15885" width="6.5703125" style="135" customWidth="1"/>
    <col min="15886" max="15886" width="6.42578125" style="135" customWidth="1"/>
    <col min="15887" max="16130" width="8.85546875" style="135"/>
    <col min="16131" max="16131" width="25.5703125" style="135" customWidth="1"/>
    <col min="16132" max="16132" width="7.5703125" style="135" customWidth="1"/>
    <col min="16133" max="16133" width="6.42578125" style="135" customWidth="1"/>
    <col min="16134" max="16134" width="6.140625" style="135" customWidth="1"/>
    <col min="16135" max="16136" width="6.5703125" style="135" customWidth="1"/>
    <col min="16137" max="16137" width="6.42578125" style="135" customWidth="1"/>
    <col min="16138" max="16140" width="7.140625" style="135" customWidth="1"/>
    <col min="16141" max="16141" width="6.5703125" style="135" customWidth="1"/>
    <col min="16142" max="16142" width="6.42578125" style="135" customWidth="1"/>
    <col min="16143" max="16384" width="8.85546875" style="135"/>
  </cols>
  <sheetData>
    <row r="1" spans="1:21" ht="15.75" x14ac:dyDescent="0.25">
      <c r="A1" s="505" t="s">
        <v>339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</row>
    <row r="2" spans="1:21" x14ac:dyDescent="0.25">
      <c r="A2"/>
      <c r="B2"/>
      <c r="C2"/>
      <c r="D2"/>
      <c r="E2"/>
      <c r="F2"/>
      <c r="G2"/>
      <c r="H2"/>
      <c r="I2"/>
      <c r="J2"/>
      <c r="K2"/>
      <c r="L2"/>
    </row>
    <row r="3" spans="1:21" x14ac:dyDescent="0.25">
      <c r="A3"/>
      <c r="B3"/>
      <c r="C3"/>
      <c r="D3"/>
      <c r="E3"/>
      <c r="F3"/>
      <c r="G3"/>
      <c r="H3" s="136" t="s">
        <v>340</v>
      </c>
    </row>
    <row r="4" spans="1:21" x14ac:dyDescent="0.25">
      <c r="A4"/>
      <c r="B4"/>
      <c r="C4"/>
      <c r="D4"/>
      <c r="E4"/>
      <c r="F4"/>
      <c r="G4"/>
      <c r="H4" s="137" t="s">
        <v>341</v>
      </c>
    </row>
    <row r="5" spans="1:21" x14ac:dyDescent="0.25">
      <c r="A5"/>
      <c r="B5"/>
      <c r="C5"/>
      <c r="D5"/>
      <c r="E5"/>
      <c r="F5"/>
      <c r="G5"/>
      <c r="H5" s="137" t="s">
        <v>342</v>
      </c>
      <c r="J5" s="137"/>
      <c r="K5" s="137"/>
      <c r="L5" s="137"/>
      <c r="M5" s="137"/>
      <c r="N5" s="137"/>
      <c r="O5" s="137"/>
      <c r="P5" s="137"/>
      <c r="R5" s="137"/>
    </row>
    <row r="6" spans="1:21" x14ac:dyDescent="0.25">
      <c r="A6"/>
      <c r="B6"/>
      <c r="C6"/>
      <c r="D6"/>
      <c r="E6"/>
      <c r="F6"/>
      <c r="G6"/>
      <c r="H6" s="137" t="s">
        <v>343</v>
      </c>
      <c r="J6" s="137"/>
      <c r="K6" s="137"/>
      <c r="L6" s="137"/>
      <c r="M6" s="137"/>
      <c r="N6" s="137"/>
      <c r="O6" s="137"/>
      <c r="P6" s="137"/>
      <c r="R6" s="137"/>
    </row>
    <row r="7" spans="1:21" x14ac:dyDescent="0.25">
      <c r="A7"/>
      <c r="B7"/>
      <c r="C7"/>
      <c r="D7"/>
      <c r="E7"/>
      <c r="F7"/>
      <c r="G7"/>
      <c r="H7" s="137" t="s">
        <v>344</v>
      </c>
      <c r="J7" s="137"/>
      <c r="K7" s="137"/>
      <c r="L7" s="137"/>
      <c r="M7" s="137"/>
      <c r="N7" s="137"/>
      <c r="O7" s="137"/>
      <c r="P7" s="137"/>
      <c r="R7" s="137"/>
    </row>
    <row r="8" spans="1:21" x14ac:dyDescent="0.25">
      <c r="A8"/>
      <c r="B8"/>
      <c r="C8"/>
      <c r="D8"/>
      <c r="E8"/>
      <c r="F8"/>
      <c r="G8"/>
      <c r="H8"/>
    </row>
    <row r="9" spans="1:21" x14ac:dyDescent="0.25">
      <c r="A9"/>
      <c r="B9"/>
      <c r="C9"/>
      <c r="D9"/>
      <c r="E9"/>
      <c r="F9"/>
      <c r="G9"/>
      <c r="H9" s="1" t="s">
        <v>345</v>
      </c>
      <c r="I9" s="135" t="s">
        <v>346</v>
      </c>
      <c r="M9" s="135" t="s">
        <v>347</v>
      </c>
      <c r="S9" s="138" t="s">
        <v>348</v>
      </c>
    </row>
    <row r="10" spans="1:21" x14ac:dyDescent="0.25">
      <c r="A10"/>
      <c r="B10"/>
      <c r="C10"/>
      <c r="D10"/>
      <c r="E10"/>
      <c r="F10"/>
      <c r="G10"/>
      <c r="M10" s="139" t="s">
        <v>349</v>
      </c>
      <c r="N10" s="135" t="s">
        <v>350</v>
      </c>
      <c r="S10" s="1" t="s">
        <v>351</v>
      </c>
      <c r="T10" s="140">
        <v>60</v>
      </c>
      <c r="U10" s="141" t="s">
        <v>352</v>
      </c>
    </row>
    <row r="11" spans="1:21" x14ac:dyDescent="0.25">
      <c r="A11"/>
      <c r="B11"/>
      <c r="C11"/>
      <c r="D11"/>
      <c r="E11"/>
      <c r="F11"/>
      <c r="G11"/>
      <c r="H11" s="142" t="s">
        <v>353</v>
      </c>
      <c r="I11" s="137"/>
      <c r="J11" s="137"/>
      <c r="K11" s="137"/>
      <c r="L11" s="137"/>
      <c r="M11" s="139" t="s">
        <v>354</v>
      </c>
      <c r="N11" s="135" t="s">
        <v>355</v>
      </c>
      <c r="O11" s="137"/>
      <c r="S11" s="1" t="s">
        <v>356</v>
      </c>
      <c r="T11" s="140">
        <v>300</v>
      </c>
      <c r="U11" s="141" t="s">
        <v>352</v>
      </c>
    </row>
    <row r="12" spans="1:21" x14ac:dyDescent="0.25">
      <c r="A12"/>
      <c r="B12"/>
      <c r="C12"/>
      <c r="D12"/>
      <c r="E12"/>
      <c r="F12"/>
      <c r="G12"/>
      <c r="H12" s="1" t="s">
        <v>357</v>
      </c>
      <c r="I12" s="135" t="s">
        <v>358</v>
      </c>
      <c r="M12" s="139" t="s">
        <v>359</v>
      </c>
      <c r="N12" s="137" t="s">
        <v>360</v>
      </c>
      <c r="S12" s="1" t="s">
        <v>361</v>
      </c>
      <c r="T12" s="143">
        <v>0.4</v>
      </c>
    </row>
    <row r="13" spans="1:21" x14ac:dyDescent="0.25">
      <c r="A13"/>
      <c r="B13"/>
      <c r="C13"/>
      <c r="D13"/>
      <c r="E13"/>
      <c r="F13"/>
      <c r="G13"/>
      <c r="H13" s="1" t="s">
        <v>362</v>
      </c>
      <c r="I13" s="135" t="s">
        <v>363</v>
      </c>
      <c r="M13" s="139" t="s">
        <v>364</v>
      </c>
      <c r="N13" t="s">
        <v>365</v>
      </c>
      <c r="R13" s="139"/>
      <c r="S13" s="1" t="s">
        <v>366</v>
      </c>
      <c r="T13" s="144">
        <v>0.04</v>
      </c>
    </row>
    <row r="14" spans="1:21" x14ac:dyDescent="0.25">
      <c r="A14"/>
      <c r="B14"/>
      <c r="C14"/>
      <c r="D14"/>
      <c r="E14"/>
      <c r="F14"/>
      <c r="G14"/>
      <c r="H14" s="1" t="s">
        <v>367</v>
      </c>
      <c r="I14" s="135" t="s">
        <v>368</v>
      </c>
      <c r="M14" s="139" t="s">
        <v>369</v>
      </c>
      <c r="N14" t="s">
        <v>370</v>
      </c>
    </row>
    <row r="15" spans="1:21" x14ac:dyDescent="0.25">
      <c r="A15"/>
      <c r="B15"/>
      <c r="C15"/>
      <c r="D15"/>
      <c r="E15"/>
      <c r="F15"/>
      <c r="G15"/>
      <c r="H15" s="1" t="s">
        <v>371</v>
      </c>
      <c r="I15" s="135" t="s">
        <v>372</v>
      </c>
      <c r="M15" s="139" t="s">
        <v>373</v>
      </c>
      <c r="N15" t="s">
        <v>374</v>
      </c>
      <c r="S15" t="s">
        <v>375</v>
      </c>
    </row>
    <row r="16" spans="1:21" x14ac:dyDescent="0.25">
      <c r="A16"/>
      <c r="B16"/>
      <c r="C16"/>
      <c r="D16"/>
      <c r="E16"/>
      <c r="F16"/>
      <c r="G16"/>
      <c r="H16"/>
      <c r="M16" s="139" t="s">
        <v>376</v>
      </c>
      <c r="N16" t="s">
        <v>377</v>
      </c>
      <c r="S16" s="145"/>
    </row>
    <row r="17" spans="1:21" x14ac:dyDescent="0.25">
      <c r="A17"/>
      <c r="B17"/>
      <c r="C17"/>
      <c r="D17"/>
      <c r="E17"/>
      <c r="F17"/>
      <c r="G17"/>
      <c r="H17" s="1" t="s">
        <v>378</v>
      </c>
      <c r="I17" s="135" t="s">
        <v>379</v>
      </c>
    </row>
    <row r="18" spans="1:21" x14ac:dyDescent="0.25">
      <c r="A18"/>
      <c r="B18"/>
      <c r="C18"/>
      <c r="D18"/>
      <c r="E18"/>
      <c r="F18"/>
      <c r="G18"/>
      <c r="H18"/>
      <c r="M18" s="146" t="s">
        <v>380</v>
      </c>
      <c r="R18" s="146"/>
    </row>
    <row r="19" spans="1:21" x14ac:dyDescent="0.25">
      <c r="A19"/>
      <c r="B19"/>
      <c r="C19"/>
      <c r="D19"/>
      <c r="E19"/>
      <c r="F19"/>
      <c r="G19"/>
      <c r="H19"/>
      <c r="M19" s="146" t="s">
        <v>381</v>
      </c>
      <c r="P19" s="516" t="s">
        <v>382</v>
      </c>
      <c r="Q19" s="516"/>
      <c r="R19" s="516"/>
      <c r="S19" s="516"/>
      <c r="T19" s="146"/>
    </row>
    <row r="20" spans="1:21" x14ac:dyDescent="0.25">
      <c r="A20"/>
      <c r="B20"/>
      <c r="C20"/>
      <c r="D20"/>
      <c r="E20"/>
      <c r="F20"/>
      <c r="G20"/>
      <c r="H20"/>
      <c r="K20" s="146" t="s">
        <v>383</v>
      </c>
      <c r="L20" s="146"/>
      <c r="M20" s="146" t="s">
        <v>384</v>
      </c>
      <c r="N20" s="146" t="s">
        <v>385</v>
      </c>
      <c r="O20" s="146" t="s">
        <v>386</v>
      </c>
      <c r="P20" s="146" t="s">
        <v>26</v>
      </c>
      <c r="Q20" s="146" t="s">
        <v>26</v>
      </c>
      <c r="R20" s="146" t="s">
        <v>387</v>
      </c>
      <c r="S20" s="146"/>
      <c r="T20" s="516" t="s">
        <v>388</v>
      </c>
      <c r="U20" s="516"/>
    </row>
    <row r="21" spans="1:21" x14ac:dyDescent="0.25">
      <c r="A21"/>
      <c r="B21"/>
      <c r="C21"/>
      <c r="D21"/>
      <c r="E21"/>
      <c r="F21"/>
      <c r="G21"/>
      <c r="H21"/>
      <c r="J21" s="147" t="s">
        <v>389</v>
      </c>
      <c r="K21" s="147" t="s">
        <v>390</v>
      </c>
      <c r="L21" s="147" t="s">
        <v>391</v>
      </c>
      <c r="M21" s="147" t="s">
        <v>392</v>
      </c>
      <c r="N21" s="147" t="s">
        <v>393</v>
      </c>
      <c r="O21" s="147" t="s">
        <v>394</v>
      </c>
      <c r="P21" s="147" t="s">
        <v>395</v>
      </c>
      <c r="Q21" s="147" t="s">
        <v>396</v>
      </c>
      <c r="R21" s="147" t="s">
        <v>397</v>
      </c>
      <c r="S21" s="147" t="s">
        <v>398</v>
      </c>
      <c r="T21" s="147" t="s">
        <v>392</v>
      </c>
      <c r="U21" s="147" t="s">
        <v>399</v>
      </c>
    </row>
    <row r="22" spans="1:21" x14ac:dyDescent="0.25">
      <c r="A22"/>
      <c r="B22"/>
      <c r="C22"/>
      <c r="D22"/>
      <c r="E22"/>
      <c r="F22"/>
      <c r="G22"/>
      <c r="H22"/>
      <c r="I22" s="139" t="s">
        <v>400</v>
      </c>
      <c r="J22" s="148">
        <f t="shared" ref="J22:J33" si="0">L22/(1-L22)</f>
        <v>0</v>
      </c>
      <c r="K22" s="149">
        <f>1+J22</f>
        <v>1</v>
      </c>
      <c r="L22" s="150">
        <v>0</v>
      </c>
      <c r="M22" s="151">
        <f>S51</f>
        <v>8263.7509050261433</v>
      </c>
      <c r="N22" s="146" t="s">
        <v>19</v>
      </c>
      <c r="O22" s="146" t="s">
        <v>19</v>
      </c>
      <c r="P22" s="152">
        <f t="shared" ref="P22:P39" si="1">L22*(970+(212-Tw)+(0.46*(Ts-212)))</f>
        <v>0</v>
      </c>
      <c r="Q22" s="153">
        <f t="shared" ref="Q22:Q39" si="2">0.54*(1-L22)*(970+(212-Tw)+(0.46*(Ts-212)))</f>
        <v>627.7392000000001</v>
      </c>
      <c r="R22" s="152">
        <f t="shared" ref="R22:R39" si="3">(Ts-Tw)*(1-L22)*((1.44*ExAir)+1.56)</f>
        <v>512.64</v>
      </c>
      <c r="S22" s="152">
        <f t="shared" ref="S22:S39" si="4">ConvLoss*M22</f>
        <v>330.55003620104571</v>
      </c>
      <c r="T22" s="152">
        <f>M22-SUM(P22:S22)</f>
        <v>6792.8216688250977</v>
      </c>
      <c r="U22" s="154">
        <f>T22*2000/1000000</f>
        <v>13.585643337650195</v>
      </c>
    </row>
    <row r="23" spans="1:21" x14ac:dyDescent="0.25">
      <c r="A23"/>
      <c r="B23"/>
      <c r="C23"/>
      <c r="D23"/>
      <c r="E23"/>
      <c r="F23"/>
      <c r="G23"/>
      <c r="H23"/>
      <c r="J23" s="148">
        <f t="shared" si="0"/>
        <v>5.2631578947368425E-2</v>
      </c>
      <c r="K23" s="149">
        <f>1+J23</f>
        <v>1.0526315789473684</v>
      </c>
      <c r="L23" s="150">
        <v>0.05</v>
      </c>
      <c r="M23" s="152">
        <f t="shared" ref="M23:M39" si="5">$M$22*(1-L23)</f>
        <v>7850.5633597748356</v>
      </c>
      <c r="N23" s="155">
        <f t="shared" ref="N23:N39" si="6">1-M23/M$22</f>
        <v>5.0000000000000044E-2</v>
      </c>
      <c r="O23" s="148">
        <f t="shared" ref="O23:O39" si="7">M$22/M23-1</f>
        <v>5.2631578947368585E-2</v>
      </c>
      <c r="P23" s="152">
        <f t="shared" si="1"/>
        <v>58.124000000000002</v>
      </c>
      <c r="Q23" s="153">
        <f t="shared" si="2"/>
        <v>596.35224000000005</v>
      </c>
      <c r="R23" s="152">
        <f t="shared" si="3"/>
        <v>487.00800000000004</v>
      </c>
      <c r="S23" s="152">
        <f t="shared" si="4"/>
        <v>314.02253439099343</v>
      </c>
      <c r="T23" s="152">
        <f t="shared" ref="T23:T39" si="8">M23-SUM(P23:S23)</f>
        <v>6395.0565853838416</v>
      </c>
      <c r="U23" s="154">
        <f t="shared" ref="U23:U39" si="9">T23*2000/1000000</f>
        <v>12.790113170767684</v>
      </c>
    </row>
    <row r="24" spans="1:21" x14ac:dyDescent="0.25">
      <c r="A24"/>
      <c r="B24"/>
      <c r="C24"/>
      <c r="D24"/>
      <c r="E24"/>
      <c r="F24"/>
      <c r="G24"/>
      <c r="H24"/>
      <c r="J24" s="148">
        <f t="shared" si="0"/>
        <v>0.11111111111111112</v>
      </c>
      <c r="K24" s="149">
        <f t="shared" ref="K24:K39" si="10">1+J24</f>
        <v>1.1111111111111112</v>
      </c>
      <c r="L24" s="150">
        <v>0.1</v>
      </c>
      <c r="M24" s="152">
        <f t="shared" si="5"/>
        <v>7437.3758145235288</v>
      </c>
      <c r="N24" s="155">
        <f t="shared" si="6"/>
        <v>9.9999999999999978E-2</v>
      </c>
      <c r="O24" s="148">
        <f t="shared" si="7"/>
        <v>0.11111111111111116</v>
      </c>
      <c r="P24" s="152">
        <f t="shared" si="1"/>
        <v>116.248</v>
      </c>
      <c r="Q24" s="153">
        <f t="shared" si="2"/>
        <v>564.96528000000001</v>
      </c>
      <c r="R24" s="152">
        <f t="shared" si="3"/>
        <v>461.37600000000003</v>
      </c>
      <c r="S24" s="152">
        <f t="shared" si="4"/>
        <v>297.49503258094114</v>
      </c>
      <c r="T24" s="152">
        <f t="shared" si="8"/>
        <v>5997.2915019425873</v>
      </c>
      <c r="U24" s="154">
        <f t="shared" si="9"/>
        <v>11.994583003885174</v>
      </c>
    </row>
    <row r="25" spans="1:21" x14ac:dyDescent="0.25">
      <c r="A25"/>
      <c r="B25"/>
      <c r="C25"/>
      <c r="D25"/>
      <c r="E25"/>
      <c r="F25"/>
      <c r="G25"/>
      <c r="H25"/>
      <c r="J25" s="148">
        <f t="shared" si="0"/>
        <v>0.17647058823529413</v>
      </c>
      <c r="K25" s="149">
        <f t="shared" si="10"/>
        <v>1.1764705882352942</v>
      </c>
      <c r="L25" s="150">
        <v>0.15</v>
      </c>
      <c r="M25" s="152">
        <f t="shared" si="5"/>
        <v>7024.188269272222</v>
      </c>
      <c r="N25" s="155">
        <f t="shared" si="6"/>
        <v>0.15000000000000002</v>
      </c>
      <c r="O25" s="148">
        <f t="shared" si="7"/>
        <v>0.17647058823529416</v>
      </c>
      <c r="P25" s="152">
        <f t="shared" si="1"/>
        <v>174.37199999999999</v>
      </c>
      <c r="Q25" s="153">
        <f t="shared" si="2"/>
        <v>533.57832000000008</v>
      </c>
      <c r="R25" s="152">
        <f t="shared" si="3"/>
        <v>435.74400000000003</v>
      </c>
      <c r="S25" s="152">
        <f t="shared" si="4"/>
        <v>280.96753077088891</v>
      </c>
      <c r="T25" s="152">
        <f t="shared" si="8"/>
        <v>5599.526418501333</v>
      </c>
      <c r="U25" s="154">
        <f t="shared" si="9"/>
        <v>11.199052837002666</v>
      </c>
    </row>
    <row r="26" spans="1:21" x14ac:dyDescent="0.25">
      <c r="A26"/>
      <c r="B26"/>
      <c r="C26"/>
      <c r="D26"/>
      <c r="E26"/>
      <c r="F26"/>
      <c r="G26"/>
      <c r="H26"/>
      <c r="J26" s="148">
        <f t="shared" si="0"/>
        <v>0.25</v>
      </c>
      <c r="K26" s="149">
        <f t="shared" si="10"/>
        <v>1.25</v>
      </c>
      <c r="L26" s="150">
        <v>0.2</v>
      </c>
      <c r="M26" s="152">
        <f t="shared" si="5"/>
        <v>6611.0007240209152</v>
      </c>
      <c r="N26" s="155">
        <f t="shared" si="6"/>
        <v>0.19999999999999996</v>
      </c>
      <c r="O26" s="148">
        <f t="shared" si="7"/>
        <v>0.25</v>
      </c>
      <c r="P26" s="152">
        <f t="shared" si="1"/>
        <v>232.49600000000001</v>
      </c>
      <c r="Q26" s="153">
        <f t="shared" si="2"/>
        <v>502.19136000000009</v>
      </c>
      <c r="R26" s="152">
        <f t="shared" si="3"/>
        <v>410.11200000000002</v>
      </c>
      <c r="S26" s="152">
        <f t="shared" si="4"/>
        <v>264.44002896083663</v>
      </c>
      <c r="T26" s="152">
        <f t="shared" si="8"/>
        <v>5201.7613350600786</v>
      </c>
      <c r="U26" s="154">
        <f t="shared" si="9"/>
        <v>10.403522670120157</v>
      </c>
    </row>
    <row r="27" spans="1:21" x14ac:dyDescent="0.25">
      <c r="A27"/>
      <c r="B27"/>
      <c r="C27"/>
      <c r="D27"/>
      <c r="E27"/>
      <c r="F27"/>
      <c r="G27"/>
      <c r="H27"/>
      <c r="J27" s="148">
        <f t="shared" si="0"/>
        <v>0.33333333333333331</v>
      </c>
      <c r="K27" s="149">
        <f t="shared" si="10"/>
        <v>1.3333333333333333</v>
      </c>
      <c r="L27" s="150">
        <v>0.25</v>
      </c>
      <c r="M27" s="152">
        <f t="shared" si="5"/>
        <v>6197.8131787696075</v>
      </c>
      <c r="N27" s="155">
        <f t="shared" si="6"/>
        <v>0.25</v>
      </c>
      <c r="O27" s="148">
        <f t="shared" si="7"/>
        <v>0.33333333333333326</v>
      </c>
      <c r="P27" s="152">
        <f t="shared" si="1"/>
        <v>290.62</v>
      </c>
      <c r="Q27" s="153">
        <f t="shared" si="2"/>
        <v>470.80440000000004</v>
      </c>
      <c r="R27" s="152">
        <f t="shared" si="3"/>
        <v>384.48</v>
      </c>
      <c r="S27" s="152">
        <f t="shared" si="4"/>
        <v>247.91252715078431</v>
      </c>
      <c r="T27" s="152">
        <f t="shared" si="8"/>
        <v>4803.9962516188225</v>
      </c>
      <c r="U27" s="154">
        <f t="shared" si="9"/>
        <v>9.6079925032376448</v>
      </c>
    </row>
    <row r="28" spans="1:21" x14ac:dyDescent="0.25">
      <c r="A28"/>
      <c r="B28"/>
      <c r="C28"/>
      <c r="D28"/>
      <c r="E28"/>
      <c r="F28"/>
      <c r="G28"/>
      <c r="H28"/>
      <c r="J28" s="148">
        <f t="shared" si="0"/>
        <v>0.4285714285714286</v>
      </c>
      <c r="K28" s="149">
        <f t="shared" si="10"/>
        <v>1.4285714285714286</v>
      </c>
      <c r="L28" s="150">
        <v>0.3</v>
      </c>
      <c r="M28" s="152">
        <f t="shared" si="5"/>
        <v>5784.6256335182998</v>
      </c>
      <c r="N28" s="155">
        <f t="shared" si="6"/>
        <v>0.30000000000000004</v>
      </c>
      <c r="O28" s="148">
        <f t="shared" si="7"/>
        <v>0.4285714285714286</v>
      </c>
      <c r="P28" s="152">
        <f t="shared" si="1"/>
        <v>348.74399999999997</v>
      </c>
      <c r="Q28" s="153">
        <f t="shared" si="2"/>
        <v>439.41744</v>
      </c>
      <c r="R28" s="152">
        <f t="shared" si="3"/>
        <v>358.84800000000001</v>
      </c>
      <c r="S28" s="152">
        <f t="shared" si="4"/>
        <v>231.385025340732</v>
      </c>
      <c r="T28" s="152">
        <f t="shared" si="8"/>
        <v>4406.2311681775682</v>
      </c>
      <c r="U28" s="154">
        <f t="shared" si="9"/>
        <v>8.8124623363551375</v>
      </c>
    </row>
    <row r="29" spans="1:21" x14ac:dyDescent="0.25">
      <c r="A29"/>
      <c r="B29"/>
      <c r="C29"/>
      <c r="D29"/>
      <c r="E29"/>
      <c r="F29"/>
      <c r="G29"/>
      <c r="H29"/>
      <c r="J29" s="148">
        <f t="shared" si="0"/>
        <v>0.53846153846153844</v>
      </c>
      <c r="K29" s="149">
        <f t="shared" si="10"/>
        <v>1.5384615384615383</v>
      </c>
      <c r="L29" s="150">
        <v>0.35</v>
      </c>
      <c r="M29" s="152">
        <f t="shared" si="5"/>
        <v>5371.438088266993</v>
      </c>
      <c r="N29" s="155">
        <f t="shared" si="6"/>
        <v>0.35</v>
      </c>
      <c r="O29" s="148">
        <f t="shared" si="7"/>
        <v>0.53846153846153855</v>
      </c>
      <c r="P29" s="152">
        <f t="shared" si="1"/>
        <v>406.86799999999999</v>
      </c>
      <c r="Q29" s="153">
        <f t="shared" si="2"/>
        <v>408.03048000000007</v>
      </c>
      <c r="R29" s="152">
        <f t="shared" si="3"/>
        <v>333.21600000000001</v>
      </c>
      <c r="S29" s="152">
        <f t="shared" si="4"/>
        <v>214.85752353067971</v>
      </c>
      <c r="T29" s="152">
        <f t="shared" si="8"/>
        <v>4008.466084736313</v>
      </c>
      <c r="U29" s="154">
        <f t="shared" si="9"/>
        <v>8.016932169472625</v>
      </c>
    </row>
    <row r="30" spans="1:21" x14ac:dyDescent="0.25">
      <c r="A30"/>
      <c r="B30"/>
      <c r="C30"/>
      <c r="D30"/>
      <c r="E30"/>
      <c r="F30"/>
      <c r="G30"/>
      <c r="H30"/>
      <c r="J30" s="148">
        <f t="shared" si="0"/>
        <v>0.66666666666666674</v>
      </c>
      <c r="K30" s="149">
        <f t="shared" si="10"/>
        <v>1.6666666666666667</v>
      </c>
      <c r="L30" s="150">
        <v>0.4</v>
      </c>
      <c r="M30" s="152">
        <f t="shared" si="5"/>
        <v>4958.2505430156862</v>
      </c>
      <c r="N30" s="155">
        <f t="shared" si="6"/>
        <v>0.4</v>
      </c>
      <c r="O30" s="148">
        <f t="shared" si="7"/>
        <v>0.66666666666666652</v>
      </c>
      <c r="P30" s="152">
        <f t="shared" si="1"/>
        <v>464.99200000000002</v>
      </c>
      <c r="Q30" s="153">
        <f t="shared" si="2"/>
        <v>376.64352000000002</v>
      </c>
      <c r="R30" s="152">
        <f t="shared" si="3"/>
        <v>307.584</v>
      </c>
      <c r="S30" s="152">
        <f t="shared" si="4"/>
        <v>198.33002172062746</v>
      </c>
      <c r="T30" s="152">
        <f t="shared" si="8"/>
        <v>3610.7010012950586</v>
      </c>
      <c r="U30" s="154">
        <f t="shared" si="9"/>
        <v>7.2214020025901169</v>
      </c>
    </row>
    <row r="31" spans="1:21" x14ac:dyDescent="0.25">
      <c r="A31"/>
      <c r="B31"/>
      <c r="C31"/>
      <c r="D31"/>
      <c r="E31"/>
      <c r="F31"/>
      <c r="G31"/>
      <c r="H31"/>
      <c r="J31" s="148">
        <f t="shared" si="0"/>
        <v>0.81818181818181812</v>
      </c>
      <c r="K31" s="149">
        <f t="shared" si="10"/>
        <v>1.8181818181818181</v>
      </c>
      <c r="L31" s="150">
        <v>0.45</v>
      </c>
      <c r="M31" s="152">
        <f t="shared" si="5"/>
        <v>4545.0629977643794</v>
      </c>
      <c r="N31" s="155">
        <f t="shared" si="6"/>
        <v>0.44999999999999996</v>
      </c>
      <c r="O31" s="148">
        <f t="shared" si="7"/>
        <v>0.8181818181818179</v>
      </c>
      <c r="P31" s="152">
        <f t="shared" si="1"/>
        <v>523.11599999999999</v>
      </c>
      <c r="Q31" s="153">
        <f t="shared" si="2"/>
        <v>345.25656000000004</v>
      </c>
      <c r="R31" s="152">
        <f t="shared" si="3"/>
        <v>281.952</v>
      </c>
      <c r="S31" s="152">
        <f t="shared" si="4"/>
        <v>181.80251991057517</v>
      </c>
      <c r="T31" s="152">
        <f t="shared" si="8"/>
        <v>3212.9359178538043</v>
      </c>
      <c r="U31" s="154">
        <f t="shared" si="9"/>
        <v>6.4258718357076088</v>
      </c>
    </row>
    <row r="32" spans="1:21" x14ac:dyDescent="0.25">
      <c r="A32"/>
      <c r="B32"/>
      <c r="C32"/>
      <c r="D32"/>
      <c r="E32"/>
      <c r="F32"/>
      <c r="G32"/>
      <c r="H32"/>
      <c r="J32" s="148">
        <f t="shared" si="0"/>
        <v>1</v>
      </c>
      <c r="K32" s="149">
        <f t="shared" si="10"/>
        <v>2</v>
      </c>
      <c r="L32" s="150">
        <v>0.5</v>
      </c>
      <c r="M32" s="152">
        <f t="shared" si="5"/>
        <v>4131.8754525130717</v>
      </c>
      <c r="N32" s="155">
        <f t="shared" si="6"/>
        <v>0.5</v>
      </c>
      <c r="O32" s="148">
        <f t="shared" si="7"/>
        <v>1</v>
      </c>
      <c r="P32" s="152">
        <f t="shared" si="1"/>
        <v>581.24</v>
      </c>
      <c r="Q32" s="153">
        <f t="shared" si="2"/>
        <v>313.86960000000005</v>
      </c>
      <c r="R32" s="152">
        <f t="shared" si="3"/>
        <v>256.32</v>
      </c>
      <c r="S32" s="152">
        <f t="shared" si="4"/>
        <v>165.27501810052286</v>
      </c>
      <c r="T32" s="152">
        <f t="shared" si="8"/>
        <v>2815.1708344125491</v>
      </c>
      <c r="U32" s="154">
        <f t="shared" si="9"/>
        <v>5.630341668825098</v>
      </c>
    </row>
    <row r="33" spans="1:21" x14ac:dyDescent="0.25">
      <c r="A33"/>
      <c r="B33"/>
      <c r="C33"/>
      <c r="D33"/>
      <c r="E33"/>
      <c r="F33"/>
      <c r="G33"/>
      <c r="H33"/>
      <c r="J33" s="148">
        <f t="shared" si="0"/>
        <v>1.2222222222222225</v>
      </c>
      <c r="K33" s="149">
        <f t="shared" si="10"/>
        <v>2.2222222222222223</v>
      </c>
      <c r="L33" s="150">
        <v>0.55000000000000004</v>
      </c>
      <c r="M33" s="152">
        <f t="shared" si="5"/>
        <v>3718.6879072617639</v>
      </c>
      <c r="N33" s="155">
        <f t="shared" si="6"/>
        <v>0.55000000000000004</v>
      </c>
      <c r="O33" s="148">
        <f t="shared" si="7"/>
        <v>1.2222222222222228</v>
      </c>
      <c r="P33" s="152">
        <f t="shared" si="1"/>
        <v>639.36400000000003</v>
      </c>
      <c r="Q33" s="153">
        <f t="shared" si="2"/>
        <v>282.48264</v>
      </c>
      <c r="R33" s="152">
        <f t="shared" si="3"/>
        <v>230.68799999999999</v>
      </c>
      <c r="S33" s="152">
        <f t="shared" si="4"/>
        <v>148.74751629047057</v>
      </c>
      <c r="T33" s="152">
        <f t="shared" si="8"/>
        <v>2417.4057509712934</v>
      </c>
      <c r="U33" s="154">
        <f t="shared" si="9"/>
        <v>4.8348115019425872</v>
      </c>
    </row>
    <row r="34" spans="1:21" x14ac:dyDescent="0.25">
      <c r="A34"/>
      <c r="B34"/>
      <c r="C34"/>
      <c r="D34"/>
      <c r="E34"/>
      <c r="F34"/>
      <c r="G34"/>
      <c r="H34"/>
      <c r="I34" s="139" t="s">
        <v>401</v>
      </c>
      <c r="J34" s="156">
        <f>C58</f>
        <v>0.41493098097561693</v>
      </c>
      <c r="K34" s="157">
        <f t="shared" si="10"/>
        <v>1.414930980975617</v>
      </c>
      <c r="L34" s="156">
        <f t="shared" ref="L34:L40" si="11">J34/(1+J34)</f>
        <v>0.29325174623677797</v>
      </c>
      <c r="M34" s="158">
        <f t="shared" si="5"/>
        <v>5840.3915216614723</v>
      </c>
      <c r="N34" s="156">
        <f t="shared" si="6"/>
        <v>0.29325174623677797</v>
      </c>
      <c r="O34" s="156">
        <f t="shared" si="7"/>
        <v>0.41493098097561698</v>
      </c>
      <c r="P34" s="158">
        <f>L34*(970+(212-Tw)+(0.46*(Ts-212)))</f>
        <v>340.89928996532967</v>
      </c>
      <c r="Q34" s="159">
        <f>0.54*(1-L34)*(970+(212-Tw)+(0.46*(Ts-212)))</f>
        <v>443.65358341872206</v>
      </c>
      <c r="R34" s="158">
        <f>(Ts-Tw)*(1-L34)*((1.44*ExAir)+1.56)</f>
        <v>362.3074248091782</v>
      </c>
      <c r="S34" s="158">
        <f>ConvLoss*M34</f>
        <v>233.61566086645891</v>
      </c>
      <c r="T34" s="158">
        <f>M34-SUM(P34:S34)</f>
        <v>4459.9155626017837</v>
      </c>
      <c r="U34" s="160">
        <f t="shared" si="9"/>
        <v>8.9198311252035669</v>
      </c>
    </row>
    <row r="35" spans="1:21" x14ac:dyDescent="0.25">
      <c r="A35"/>
      <c r="B35"/>
      <c r="C35"/>
      <c r="D35"/>
      <c r="E35"/>
      <c r="F35"/>
      <c r="G35"/>
      <c r="H35"/>
      <c r="I35" s="139" t="s">
        <v>402</v>
      </c>
      <c r="J35" s="161">
        <f>C56</f>
        <v>0.40952190722459647</v>
      </c>
      <c r="K35" s="162">
        <f t="shared" si="10"/>
        <v>1.4095219072245966</v>
      </c>
      <c r="L35" s="161">
        <f t="shared" si="11"/>
        <v>0.29053958304980232</v>
      </c>
      <c r="M35" s="163">
        <f t="shared" si="5"/>
        <v>5862.8041626524209</v>
      </c>
      <c r="N35" s="161">
        <f t="shared" si="6"/>
        <v>0.29053958304980232</v>
      </c>
      <c r="O35" s="161">
        <f t="shared" si="7"/>
        <v>0.40952190722459636</v>
      </c>
      <c r="P35" s="163">
        <f t="shared" si="1"/>
        <v>337.74645450373418</v>
      </c>
      <c r="Q35" s="164">
        <f t="shared" si="2"/>
        <v>445.35611456798358</v>
      </c>
      <c r="R35" s="163">
        <f t="shared" si="3"/>
        <v>363.69778814534936</v>
      </c>
      <c r="S35" s="163">
        <f t="shared" si="4"/>
        <v>234.51216650609683</v>
      </c>
      <c r="T35" s="163">
        <f t="shared" si="8"/>
        <v>4481.4916389292575</v>
      </c>
      <c r="U35" s="165">
        <f t="shared" si="9"/>
        <v>8.9629832778585143</v>
      </c>
    </row>
    <row r="36" spans="1:21" x14ac:dyDescent="0.25">
      <c r="A36"/>
      <c r="B36"/>
      <c r="C36"/>
      <c r="D36"/>
      <c r="E36"/>
      <c r="F36"/>
      <c r="G36"/>
      <c r="H36"/>
      <c r="I36" s="139" t="s">
        <v>403</v>
      </c>
      <c r="J36" s="166">
        <f>C57</f>
        <v>0.42135425605495369</v>
      </c>
      <c r="K36" s="167">
        <f t="shared" si="10"/>
        <v>1.4213542560549537</v>
      </c>
      <c r="L36" s="166">
        <f t="shared" si="11"/>
        <v>0.29644562870937285</v>
      </c>
      <c r="M36" s="168">
        <f t="shared" si="5"/>
        <v>5813.9980724880197</v>
      </c>
      <c r="N36" s="166">
        <f t="shared" si="6"/>
        <v>0.29644562870937285</v>
      </c>
      <c r="O36" s="166">
        <f t="shared" si="7"/>
        <v>0.42135425605495347</v>
      </c>
      <c r="P36" s="168">
        <f t="shared" si="1"/>
        <v>344.61211446207176</v>
      </c>
      <c r="Q36" s="169">
        <f t="shared" si="2"/>
        <v>441.64865819048129</v>
      </c>
      <c r="R36" s="168">
        <f t="shared" si="3"/>
        <v>360.67011289842713</v>
      </c>
      <c r="S36" s="168">
        <f t="shared" si="4"/>
        <v>232.55992289952079</v>
      </c>
      <c r="T36" s="168">
        <f t="shared" si="8"/>
        <v>4434.5072640375183</v>
      </c>
      <c r="U36" s="170">
        <f t="shared" si="9"/>
        <v>8.8690145280750379</v>
      </c>
    </row>
    <row r="37" spans="1:21" x14ac:dyDescent="0.25">
      <c r="A37"/>
      <c r="B37"/>
      <c r="C37"/>
      <c r="D37"/>
      <c r="E37"/>
      <c r="F37"/>
      <c r="G37"/>
      <c r="H37"/>
      <c r="I37" s="139" t="s">
        <v>614</v>
      </c>
      <c r="J37" s="171" t="e">
        <f>#REF!</f>
        <v>#REF!</v>
      </c>
      <c r="K37" s="172" t="e">
        <f t="shared" si="10"/>
        <v>#REF!</v>
      </c>
      <c r="L37" s="173" t="e">
        <f t="shared" si="11"/>
        <v>#REF!</v>
      </c>
      <c r="M37" s="174" t="e">
        <f t="shared" si="5"/>
        <v>#REF!</v>
      </c>
      <c r="N37" s="173" t="e">
        <f t="shared" si="6"/>
        <v>#REF!</v>
      </c>
      <c r="O37" s="173" t="e">
        <f t="shared" si="7"/>
        <v>#REF!</v>
      </c>
      <c r="P37" s="174" t="e">
        <f t="shared" si="1"/>
        <v>#REF!</v>
      </c>
      <c r="Q37" s="175" t="e">
        <f t="shared" si="2"/>
        <v>#REF!</v>
      </c>
      <c r="R37" s="174" t="e">
        <f t="shared" si="3"/>
        <v>#REF!</v>
      </c>
      <c r="S37" s="174" t="e">
        <f t="shared" si="4"/>
        <v>#REF!</v>
      </c>
      <c r="T37" s="174" t="e">
        <f t="shared" si="8"/>
        <v>#REF!</v>
      </c>
      <c r="U37" s="176" t="e">
        <f t="shared" si="9"/>
        <v>#REF!</v>
      </c>
    </row>
    <row r="38" spans="1:21" x14ac:dyDescent="0.25">
      <c r="A38"/>
      <c r="B38"/>
      <c r="C38"/>
      <c r="D38"/>
      <c r="E38"/>
      <c r="F38"/>
      <c r="G38"/>
      <c r="H38"/>
      <c r="I38" s="139" t="s">
        <v>615</v>
      </c>
      <c r="J38" s="171" t="e">
        <f>#REF!</f>
        <v>#REF!</v>
      </c>
      <c r="K38" s="172" t="e">
        <f>1+J38</f>
        <v>#REF!</v>
      </c>
      <c r="L38" s="173" t="e">
        <f t="shared" si="11"/>
        <v>#REF!</v>
      </c>
      <c r="M38" s="174" t="e">
        <f>$M$22*(1-L38)</f>
        <v>#REF!</v>
      </c>
      <c r="N38" s="173" t="e">
        <f>1-M38/M$22</f>
        <v>#REF!</v>
      </c>
      <c r="O38" s="173" t="e">
        <f>M$22/M38-1</f>
        <v>#REF!</v>
      </c>
      <c r="P38" s="174" t="e">
        <f>L38*(970+(212-Tw)+(0.46*(Ts-212)))</f>
        <v>#REF!</v>
      </c>
      <c r="Q38" s="175" t="e">
        <f>0.54*(1-L38)*(970+(212-Tw)+(0.46*(Ts-212)))</f>
        <v>#REF!</v>
      </c>
      <c r="R38" s="174" t="e">
        <f>(Ts-Tw)*(1-L38)*((1.44*ExAir)+1.56)</f>
        <v>#REF!</v>
      </c>
      <c r="S38" s="174" t="e">
        <f>ConvLoss*M38</f>
        <v>#REF!</v>
      </c>
      <c r="T38" s="174" t="e">
        <f>M38-SUM(P38:S38)</f>
        <v>#REF!</v>
      </c>
      <c r="U38" s="176" t="e">
        <f>T38*2000/1000000</f>
        <v>#REF!</v>
      </c>
    </row>
    <row r="39" spans="1:21" x14ac:dyDescent="0.25">
      <c r="A39"/>
      <c r="B39"/>
      <c r="C39"/>
      <c r="D39"/>
      <c r="E39"/>
      <c r="F39"/>
      <c r="G39"/>
      <c r="H39"/>
      <c r="I39" s="139" t="s">
        <v>404</v>
      </c>
      <c r="J39" s="270">
        <f>C54</f>
        <v>0.26600000000000001</v>
      </c>
      <c r="K39" s="271">
        <f t="shared" si="10"/>
        <v>1.266</v>
      </c>
      <c r="L39" s="272">
        <f t="shared" si="11"/>
        <v>0.21011058451816747</v>
      </c>
      <c r="M39" s="273">
        <f t="shared" si="5"/>
        <v>6527.4493720585651</v>
      </c>
      <c r="N39" s="272">
        <f t="shared" si="6"/>
        <v>0.21011058451816744</v>
      </c>
      <c r="O39" s="272">
        <f t="shared" si="7"/>
        <v>0.26600000000000001</v>
      </c>
      <c r="P39" s="273">
        <f t="shared" si="1"/>
        <v>244.24935229067933</v>
      </c>
      <c r="Q39" s="274">
        <f t="shared" si="2"/>
        <v>495.84454976303323</v>
      </c>
      <c r="R39" s="273">
        <f t="shared" si="3"/>
        <v>404.92890995260666</v>
      </c>
      <c r="S39" s="273">
        <f t="shared" si="4"/>
        <v>261.09797488234261</v>
      </c>
      <c r="T39" s="273">
        <f t="shared" si="8"/>
        <v>5121.3285851699029</v>
      </c>
      <c r="U39" s="275">
        <f t="shared" si="9"/>
        <v>10.242657170339806</v>
      </c>
    </row>
    <row r="40" spans="1:21" x14ac:dyDescent="0.25">
      <c r="A40"/>
      <c r="B40"/>
      <c r="C40"/>
      <c r="D40"/>
      <c r="E40"/>
      <c r="F40"/>
      <c r="G40"/>
      <c r="H40"/>
      <c r="I40" s="139" t="s">
        <v>613</v>
      </c>
      <c r="J40" s="177">
        <f>C60</f>
        <v>0.64284753550418072</v>
      </c>
      <c r="K40" s="178">
        <f>1+J40</f>
        <v>1.6428475355041807</v>
      </c>
      <c r="L40" s="179">
        <f t="shared" si="11"/>
        <v>0.39130078818111041</v>
      </c>
      <c r="M40" s="180">
        <f>$M$22*(1-L40)</f>
        <v>5030.1386625570494</v>
      </c>
      <c r="N40" s="179">
        <f>1-M40/M$22</f>
        <v>0.39130078818111036</v>
      </c>
      <c r="O40" s="179">
        <f>M$22/M40-1</f>
        <v>0.6428475355041805</v>
      </c>
      <c r="P40" s="180">
        <f>L40*(970+(212-Tw)+(0.46*(Ts-212)))</f>
        <v>454.87934024477727</v>
      </c>
      <c r="Q40" s="181">
        <f>0.54*(1-L40)*(970+(212-Tw)+(0.46*(Ts-212)))</f>
        <v>382.10435626782038</v>
      </c>
      <c r="R40" s="180">
        <f>(Ts-Tw)*(1-L40)*((1.44*ExAir)+1.56)</f>
        <v>312.0435639468356</v>
      </c>
      <c r="S40" s="180">
        <f>ConvLoss*M40</f>
        <v>201.20554650228198</v>
      </c>
      <c r="T40" s="180">
        <f>M40-SUM(P40:S40)</f>
        <v>3679.9058555953343</v>
      </c>
      <c r="U40" s="182">
        <f>T40*2000/1000000</f>
        <v>7.3598117111906687</v>
      </c>
    </row>
    <row r="41" spans="1:21" x14ac:dyDescent="0.25">
      <c r="A41"/>
      <c r="B41"/>
      <c r="C41"/>
      <c r="D41"/>
      <c r="E41"/>
      <c r="F41"/>
      <c r="G41"/>
      <c r="H41"/>
      <c r="L41" s="139" t="s">
        <v>405</v>
      </c>
      <c r="M41" s="174">
        <v>6053</v>
      </c>
    </row>
    <row r="42" spans="1:21" ht="12.75" customHeight="1" x14ac:dyDescent="0.25">
      <c r="A42"/>
      <c r="B42"/>
      <c r="C42"/>
      <c r="D42"/>
      <c r="E42"/>
      <c r="F42"/>
      <c r="G42"/>
      <c r="H42"/>
      <c r="I42"/>
      <c r="J42"/>
      <c r="K42"/>
      <c r="L42" s="139" t="s">
        <v>406</v>
      </c>
      <c r="M42" s="183">
        <f>M39/M41</f>
        <v>1.0783825164478051</v>
      </c>
      <c r="O42" s="154">
        <f>M35*2/1000</f>
        <v>11.725608325304842</v>
      </c>
    </row>
    <row r="43" spans="1:21" ht="12.75" customHeight="1" x14ac:dyDescent="0.25">
      <c r="A43" s="184" t="s">
        <v>407</v>
      </c>
      <c r="B43"/>
      <c r="C43"/>
      <c r="D43"/>
      <c r="E43"/>
      <c r="F43"/>
      <c r="G43"/>
      <c r="H43"/>
      <c r="I43"/>
      <c r="J43"/>
      <c r="K43"/>
      <c r="L43"/>
      <c r="O43" s="154">
        <f>M36*2/1000</f>
        <v>11.62799614497604</v>
      </c>
    </row>
    <row r="44" spans="1:21" ht="12.75" customHeight="1" x14ac:dyDescent="0.25">
      <c r="A44" s="184"/>
      <c r="B44"/>
      <c r="C44"/>
      <c r="D44"/>
      <c r="E44"/>
      <c r="F44"/>
      <c r="G44"/>
      <c r="H44"/>
      <c r="I44"/>
      <c r="J44"/>
      <c r="K44"/>
      <c r="L44"/>
      <c r="M44" s="185" t="e">
        <f>M22/M37</f>
        <v>#REF!</v>
      </c>
      <c r="O44" s="154" t="e">
        <f>M37*2/1000</f>
        <v>#REF!</v>
      </c>
    </row>
    <row r="45" spans="1:21" ht="12.7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O45" s="154"/>
      <c r="P45" s="186">
        <v>0.4637005615330928</v>
      </c>
      <c r="Q45" s="186">
        <v>0.35138400532752173</v>
      </c>
      <c r="R45" s="186">
        <v>0.18491543313938538</v>
      </c>
      <c r="S45" s="135" t="s">
        <v>408</v>
      </c>
    </row>
    <row r="46" spans="1:21" ht="12.7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P46" s="186">
        <v>0.54623788565977127</v>
      </c>
      <c r="Q46" s="186">
        <v>0.30287510904825726</v>
      </c>
      <c r="R46" s="186">
        <v>0.15088700529197147</v>
      </c>
      <c r="S46" s="135" t="s">
        <v>409</v>
      </c>
    </row>
    <row r="47" spans="1:21" ht="15.75" x14ac:dyDescent="0.25">
      <c r="A47" s="187" t="s">
        <v>410</v>
      </c>
      <c r="P47" s="188">
        <v>0.51941238195173123</v>
      </c>
      <c r="Q47" s="188">
        <v>5.941762854144806E-2</v>
      </c>
      <c r="R47" s="188">
        <v>0.42576075550891901</v>
      </c>
      <c r="S47" s="135" t="s">
        <v>411</v>
      </c>
    </row>
    <row r="48" spans="1:21" x14ac:dyDescent="0.25">
      <c r="P48" s="142" t="s">
        <v>412</v>
      </c>
      <c r="Q48" s="142" t="s">
        <v>413</v>
      </c>
      <c r="R48" s="142" t="s">
        <v>1</v>
      </c>
      <c r="S48" s="142" t="s">
        <v>414</v>
      </c>
    </row>
    <row r="49" spans="1:22" x14ac:dyDescent="0.25">
      <c r="C49" s="146"/>
      <c r="K49" s="142" t="s">
        <v>415</v>
      </c>
      <c r="L49" s="142" t="s">
        <v>416</v>
      </c>
      <c r="O49" s="139" t="s">
        <v>417</v>
      </c>
      <c r="P49" s="189">
        <f>P46</f>
        <v>0.54623788565977127</v>
      </c>
      <c r="Q49" s="189">
        <f>Q46</f>
        <v>0.30287510904825726</v>
      </c>
      <c r="R49" s="189">
        <f>R46</f>
        <v>0.15088700529197147</v>
      </c>
    </row>
    <row r="50" spans="1:22" x14ac:dyDescent="0.25">
      <c r="B50" s="146" t="s">
        <v>418</v>
      </c>
      <c r="C50" s="146" t="s">
        <v>419</v>
      </c>
      <c r="D50" s="8">
        <f>$P49*K50</f>
        <v>0.27311894282988564</v>
      </c>
      <c r="E50" s="8">
        <f>$P49*L50</f>
        <v>0.27311894282988564</v>
      </c>
      <c r="F50" s="8">
        <f>$Q49*K50</f>
        <v>0.15143755452412863</v>
      </c>
      <c r="G50" s="8">
        <f>$Q49*L50</f>
        <v>0.15143755452412863</v>
      </c>
      <c r="H50" s="8">
        <f>$R49*K50</f>
        <v>7.5443502645985733E-2</v>
      </c>
      <c r="I50" s="8">
        <f>$R49*L50</f>
        <v>7.5443502645985733E-2</v>
      </c>
      <c r="J50" s="135" t="s">
        <v>420</v>
      </c>
      <c r="K50" s="190">
        <v>0.5</v>
      </c>
      <c r="L50" s="8">
        <f>1-K50</f>
        <v>0.5</v>
      </c>
      <c r="O50" s="139" t="s">
        <v>421</v>
      </c>
      <c r="P50" s="191">
        <f>(9490+10310)/2</f>
        <v>9900</v>
      </c>
      <c r="Q50" s="191">
        <v>8890</v>
      </c>
      <c r="R50" s="191">
        <f>AVERAGE(8430,8712,8765,9000)</f>
        <v>8726.75</v>
      </c>
      <c r="S50" s="192">
        <f>SUMPRODUCT(P$49:R$49,P50:R50)</f>
        <v>9417.0679609024555</v>
      </c>
      <c r="T50" s="135" t="s">
        <v>422</v>
      </c>
      <c r="U50" s="192">
        <f>S50*2000/1000</f>
        <v>18834.135921804911</v>
      </c>
      <c r="V50" s="135" t="s">
        <v>423</v>
      </c>
    </row>
    <row r="51" spans="1:22" ht="15.75" thickBot="1" x14ac:dyDescent="0.3">
      <c r="A51" s="193" t="s">
        <v>424</v>
      </c>
      <c r="B51" s="194" t="s">
        <v>425</v>
      </c>
      <c r="C51" s="194" t="s">
        <v>414</v>
      </c>
      <c r="D51" s="194" t="s">
        <v>426</v>
      </c>
      <c r="E51" s="194" t="s">
        <v>427</v>
      </c>
      <c r="F51" s="194" t="s">
        <v>428</v>
      </c>
      <c r="G51" s="194" t="s">
        <v>429</v>
      </c>
      <c r="H51" s="194" t="s">
        <v>430</v>
      </c>
      <c r="I51" s="194" t="s">
        <v>431</v>
      </c>
      <c r="O51" s="195" t="s">
        <v>421</v>
      </c>
      <c r="P51" s="196">
        <v>8126.2553802008606</v>
      </c>
      <c r="Q51" s="196">
        <v>8517.6470588235297</v>
      </c>
      <c r="R51" s="196">
        <v>8251.864125932063</v>
      </c>
      <c r="S51" s="197">
        <f>SUMPRODUCT(P$49:R$49,P51:R51)</f>
        <v>8263.7509050261433</v>
      </c>
      <c r="T51" s="135" t="s">
        <v>422</v>
      </c>
      <c r="U51" s="197">
        <f>S51*2000/1000</f>
        <v>16527.501810052287</v>
      </c>
      <c r="V51" s="135" t="s">
        <v>423</v>
      </c>
    </row>
    <row r="52" spans="1:22" ht="15.75" thickTop="1" x14ac:dyDescent="0.25">
      <c r="A52" s="198" t="s">
        <v>432</v>
      </c>
      <c r="B52" s="199">
        <f>B53</f>
        <v>0.33830983111579521</v>
      </c>
      <c r="C52" s="200">
        <f>SUMPRODUCT(D52:I52,D$50:I$50)</f>
        <v>0.62916068472888009</v>
      </c>
      <c r="D52" s="201">
        <v>0.51</v>
      </c>
      <c r="E52" s="201">
        <v>0.58250000000000002</v>
      </c>
      <c r="F52" s="201">
        <v>0.96499999999999997</v>
      </c>
      <c r="G52" s="201">
        <v>0.6725000000000001</v>
      </c>
      <c r="H52" s="201">
        <v>0.51</v>
      </c>
      <c r="I52" s="201">
        <v>0.58750000000000002</v>
      </c>
      <c r="K52" s="516" t="s">
        <v>433</v>
      </c>
      <c r="L52" s="516"/>
    </row>
    <row r="53" spans="1:22" x14ac:dyDescent="0.25">
      <c r="A53" s="198" t="s">
        <v>434</v>
      </c>
      <c r="B53" s="202">
        <v>0.33830983111579521</v>
      </c>
      <c r="C53" s="200">
        <f>SUMPRODUCT(D53:I53,D$50:I$50)</f>
        <v>0.65910067079985035</v>
      </c>
      <c r="D53" s="201">
        <v>0.57250000000000001</v>
      </c>
      <c r="E53" s="201">
        <v>0.62250000000000005</v>
      </c>
      <c r="F53" s="201">
        <v>0.85499999999999998</v>
      </c>
      <c r="G53" s="201">
        <v>0.71875</v>
      </c>
      <c r="H53" s="201">
        <v>0.59124999999999994</v>
      </c>
      <c r="I53" s="201">
        <v>0.65999999999999992</v>
      </c>
      <c r="K53" s="142" t="s">
        <v>435</v>
      </c>
      <c r="L53" s="142" t="s">
        <v>436</v>
      </c>
    </row>
    <row r="54" spans="1:22" x14ac:dyDescent="0.25">
      <c r="A54" s="198" t="s">
        <v>437</v>
      </c>
      <c r="B54" s="203">
        <v>0.51773251318123159</v>
      </c>
      <c r="C54" s="204">
        <v>0.26600000000000001</v>
      </c>
      <c r="D54" s="135" t="s">
        <v>438</v>
      </c>
      <c r="K54" s="190">
        <v>0.25</v>
      </c>
      <c r="L54" s="8">
        <f>1-K54</f>
        <v>0.75</v>
      </c>
    </row>
    <row r="55" spans="1:22" ht="15.75" thickBot="1" x14ac:dyDescent="0.3">
      <c r="A55" s="205" t="s">
        <v>439</v>
      </c>
      <c r="B55" s="206">
        <v>0.14395765570297325</v>
      </c>
      <c r="C55" s="207">
        <f>(B52*C52+B54*C54)/SUM(B52:B54)</f>
        <v>0.2935215430744797</v>
      </c>
    </row>
    <row r="56" spans="1:22" ht="15.75" thickTop="1" x14ac:dyDescent="0.25">
      <c r="A56" s="208" t="s">
        <v>440</v>
      </c>
      <c r="B56" s="204">
        <f>SUM(B52,B54:B55)</f>
        <v>1</v>
      </c>
      <c r="C56" s="209">
        <f>(B52*C52+B$54*C$54)/(B52+B$54)</f>
        <v>0.40952190722459647</v>
      </c>
    </row>
    <row r="57" spans="1:22" x14ac:dyDescent="0.25">
      <c r="A57" s="208" t="s">
        <v>441</v>
      </c>
      <c r="B57" s="204">
        <f>SUM(B53,B54:B55)</f>
        <v>1</v>
      </c>
      <c r="C57" s="210">
        <f>(B53*C53+B$54*C$54)/(B53+B$54)</f>
        <v>0.42135425605495369</v>
      </c>
    </row>
    <row r="58" spans="1:22" x14ac:dyDescent="0.25">
      <c r="A58" s="208" t="s">
        <v>442</v>
      </c>
      <c r="C58" s="211">
        <f>(19*C56+16*C57)/35</f>
        <v>0.41493098097561693</v>
      </c>
    </row>
    <row r="59" spans="1:22" x14ac:dyDescent="0.25">
      <c r="A59" s="208" t="s">
        <v>443</v>
      </c>
      <c r="C59" s="212" t="e">
        <f>(19*K35+16*K36)/35/K37</f>
        <v>#REF!</v>
      </c>
    </row>
    <row r="60" spans="1:22" x14ac:dyDescent="0.25">
      <c r="A60" s="208" t="s">
        <v>611</v>
      </c>
      <c r="C60" s="269">
        <f>(19*C52+16*C53)/35</f>
        <v>0.64284753550418072</v>
      </c>
    </row>
    <row r="61" spans="1:22" x14ac:dyDescent="0.25">
      <c r="A61" s="208" t="s">
        <v>612</v>
      </c>
      <c r="C61" s="267" t="e">
        <f>K40/K37</f>
        <v>#REF!</v>
      </c>
    </row>
    <row r="63" spans="1:22" x14ac:dyDescent="0.25">
      <c r="B63" s="146">
        <v>2011</v>
      </c>
      <c r="C63" s="146">
        <v>2012</v>
      </c>
      <c r="D63" s="146">
        <v>2013</v>
      </c>
      <c r="E63" s="146">
        <v>2014</v>
      </c>
      <c r="F63" s="146">
        <v>2015</v>
      </c>
      <c r="G63" s="146" t="s">
        <v>597</v>
      </c>
      <c r="H63" s="146">
        <v>2013</v>
      </c>
      <c r="I63" s="146">
        <v>2013</v>
      </c>
    </row>
    <row r="64" spans="1:22" x14ac:dyDescent="0.25">
      <c r="B64" s="146" t="s">
        <v>444</v>
      </c>
      <c r="C64" s="146" t="s">
        <v>444</v>
      </c>
      <c r="D64" s="146" t="s">
        <v>444</v>
      </c>
      <c r="E64" s="146" t="s">
        <v>444</v>
      </c>
      <c r="F64" s="146" t="s">
        <v>444</v>
      </c>
      <c r="G64" s="146" t="s">
        <v>444</v>
      </c>
      <c r="H64" s="146" t="s">
        <v>445</v>
      </c>
      <c r="I64" s="146" t="s">
        <v>446</v>
      </c>
    </row>
    <row r="65" spans="1:9" ht="15.75" thickBot="1" x14ac:dyDescent="0.3">
      <c r="A65" s="193" t="s">
        <v>424</v>
      </c>
      <c r="B65" s="194" t="s">
        <v>447</v>
      </c>
      <c r="C65" s="194" t="s">
        <v>447</v>
      </c>
      <c r="D65" s="194" t="s">
        <v>447</v>
      </c>
      <c r="E65" s="194" t="s">
        <v>447</v>
      </c>
      <c r="F65" s="194" t="s">
        <v>447</v>
      </c>
      <c r="G65" s="194" t="s">
        <v>447</v>
      </c>
      <c r="H65" s="194" t="s">
        <v>447</v>
      </c>
      <c r="I65" s="194" t="s">
        <v>447</v>
      </c>
    </row>
    <row r="66" spans="1:9" ht="15.75" thickTop="1" x14ac:dyDescent="0.25">
      <c r="A66" s="198" t="s">
        <v>448</v>
      </c>
      <c r="B66" s="213">
        <v>0.33830983111579521</v>
      </c>
      <c r="C66" s="213">
        <v>0.36087998157670853</v>
      </c>
      <c r="D66" s="213">
        <v>0.35394221563358225</v>
      </c>
      <c r="E66" s="213">
        <v>0.32276959504623765</v>
      </c>
      <c r="F66" s="213">
        <v>0.27169660848578614</v>
      </c>
      <c r="G66" s="213">
        <v>0.33830983111579521</v>
      </c>
      <c r="H66" s="213">
        <v>0.22405532516935692</v>
      </c>
      <c r="I66" s="213">
        <v>0.19900000000000001</v>
      </c>
    </row>
    <row r="67" spans="1:9" x14ac:dyDescent="0.25">
      <c r="A67" s="198" t="s">
        <v>437</v>
      </c>
      <c r="B67" s="200">
        <v>0.51773251318123159</v>
      </c>
      <c r="C67" s="200">
        <v>0.49128234977521285</v>
      </c>
      <c r="D67" s="200">
        <v>0.47111401999000924</v>
      </c>
      <c r="E67" s="200">
        <v>0.54313759166709985</v>
      </c>
      <c r="F67" s="200">
        <v>0.72830339151421397</v>
      </c>
      <c r="G67" s="200">
        <v>0.51773251318123159</v>
      </c>
      <c r="H67" s="200">
        <v>0.63061092590447232</v>
      </c>
      <c r="I67" s="200">
        <v>0.57799999999999996</v>
      </c>
    </row>
    <row r="68" spans="1:9" ht="15.75" thickBot="1" x14ac:dyDescent="0.3">
      <c r="A68" s="205" t="s">
        <v>439</v>
      </c>
      <c r="B68" s="207">
        <v>0.14395765570297325</v>
      </c>
      <c r="C68" s="207">
        <v>0.14783766864807882</v>
      </c>
      <c r="D68" s="207">
        <v>0.17494376437640843</v>
      </c>
      <c r="E68" s="207">
        <v>0.13409281328666259</v>
      </c>
      <c r="F68" s="207">
        <v>0</v>
      </c>
      <c r="G68" s="207">
        <v>0.14395765570297325</v>
      </c>
      <c r="H68" s="207">
        <v>0.14533374892617076</v>
      </c>
      <c r="I68" s="207">
        <v>0.223</v>
      </c>
    </row>
    <row r="69" spans="1:9" ht="15.75" thickTop="1" x14ac:dyDescent="0.25">
      <c r="A69" s="135" t="s">
        <v>222</v>
      </c>
      <c r="B69" s="204">
        <f t="shared" ref="B69:I69" si="12">SUM(B66:B68)</f>
        <v>1</v>
      </c>
      <c r="C69" s="204">
        <f t="shared" si="12"/>
        <v>1.0000000000000002</v>
      </c>
      <c r="D69" s="204">
        <f t="shared" si="12"/>
        <v>1</v>
      </c>
      <c r="E69" s="204">
        <f t="shared" si="12"/>
        <v>1</v>
      </c>
      <c r="F69" s="204">
        <f t="shared" si="12"/>
        <v>1</v>
      </c>
      <c r="G69" s="204">
        <f t="shared" si="12"/>
        <v>1</v>
      </c>
      <c r="H69" s="204">
        <f t="shared" si="12"/>
        <v>1</v>
      </c>
      <c r="I69" s="204">
        <f t="shared" si="12"/>
        <v>0.99999999999999989</v>
      </c>
    </row>
    <row r="71" spans="1:9" x14ac:dyDescent="0.25">
      <c r="A71" s="135" t="s">
        <v>449</v>
      </c>
    </row>
    <row r="72" spans="1:9" x14ac:dyDescent="0.25">
      <c r="A72" s="198" t="s">
        <v>448</v>
      </c>
      <c r="B72" s="200">
        <f t="shared" ref="B72:I73" si="13">B66/(B$69-B$68)</f>
        <v>0.39520221560256086</v>
      </c>
      <c r="C72" s="200">
        <f t="shared" si="13"/>
        <v>0.42348736654926639</v>
      </c>
      <c r="D72" s="200">
        <f t="shared" si="13"/>
        <v>0.42899162548122155</v>
      </c>
      <c r="E72" s="200">
        <f t="shared" si="13"/>
        <v>0.37275310795300282</v>
      </c>
      <c r="F72" s="200">
        <f t="shared" si="13"/>
        <v>0.27169660848578614</v>
      </c>
      <c r="G72" s="200">
        <f t="shared" si="13"/>
        <v>0.39520221560256086</v>
      </c>
      <c r="H72" s="200">
        <f t="shared" si="13"/>
        <v>0.2621553441332764</v>
      </c>
      <c r="I72" s="200">
        <f t="shared" si="13"/>
        <v>0.25611325611325614</v>
      </c>
    </row>
    <row r="73" spans="1:9" x14ac:dyDescent="0.25">
      <c r="A73" s="198" t="s">
        <v>437</v>
      </c>
      <c r="B73" s="200">
        <f t="shared" si="13"/>
        <v>0.60479778439743914</v>
      </c>
      <c r="C73" s="200">
        <f t="shared" si="13"/>
        <v>0.57651263345073356</v>
      </c>
      <c r="D73" s="200">
        <f t="shared" si="13"/>
        <v>0.57100837451877839</v>
      </c>
      <c r="E73" s="200">
        <f t="shared" si="13"/>
        <v>0.62724689204699724</v>
      </c>
      <c r="F73" s="200">
        <f t="shared" si="13"/>
        <v>0.72830339151421397</v>
      </c>
      <c r="G73" s="200">
        <f t="shared" si="13"/>
        <v>0.60479778439743914</v>
      </c>
      <c r="H73" s="200">
        <f t="shared" si="13"/>
        <v>0.73784465586672365</v>
      </c>
      <c r="I73" s="200">
        <f t="shared" si="13"/>
        <v>0.74388674388674392</v>
      </c>
    </row>
    <row r="75" spans="1:9" x14ac:dyDescent="0.25">
      <c r="A75" s="135" t="s">
        <v>450</v>
      </c>
    </row>
    <row r="76" spans="1:9" x14ac:dyDescent="0.25">
      <c r="A76" s="198" t="s">
        <v>232</v>
      </c>
      <c r="B76" s="209">
        <v>0.40952190722459647</v>
      </c>
      <c r="C76" s="209">
        <v>0.41979396201006192</v>
      </c>
      <c r="D76" s="209">
        <v>0.42179289245271567</v>
      </c>
      <c r="E76" s="209">
        <v>0.40136927391903066</v>
      </c>
      <c r="F76" s="209">
        <v>0.36466952637621258</v>
      </c>
      <c r="G76" s="209">
        <v>0.40952190722459647</v>
      </c>
      <c r="H76" s="209">
        <v>0.36120451428077593</v>
      </c>
      <c r="I76" s="209">
        <v>0.35901026545823317</v>
      </c>
    </row>
    <row r="77" spans="1:9" x14ac:dyDescent="0.25">
      <c r="A77" s="198" t="s">
        <v>235</v>
      </c>
      <c r="B77" s="210">
        <v>0.42135425605495369</v>
      </c>
      <c r="C77" s="210">
        <v>0.43247316786577877</v>
      </c>
      <c r="D77" s="210">
        <v>0.43463689574418635</v>
      </c>
      <c r="E77" s="210">
        <v>0.41252949677905443</v>
      </c>
      <c r="F77" s="210">
        <v>0.37280411904980693</v>
      </c>
      <c r="G77" s="210">
        <v>0.42135425605495369</v>
      </c>
      <c r="H77" s="210">
        <v>0.3690534416325566</v>
      </c>
      <c r="I77" s="210">
        <v>0.36667829277885483</v>
      </c>
    </row>
    <row r="78" spans="1:9" x14ac:dyDescent="0.25">
      <c r="A78" s="198" t="s">
        <v>451</v>
      </c>
      <c r="B78" s="211">
        <v>0.41493098097561693</v>
      </c>
      <c r="C78" s="211">
        <v>0.4255901704012468</v>
      </c>
      <c r="D78" s="211">
        <v>0.42766443681453087</v>
      </c>
      <c r="E78" s="211">
        <v>0.40647109008361298</v>
      </c>
      <c r="F78" s="211">
        <v>0.36838819731271288</v>
      </c>
      <c r="G78" s="211">
        <v>0.41493098097561693</v>
      </c>
      <c r="H78" s="211">
        <v>0.36479259535587566</v>
      </c>
      <c r="I78" s="211">
        <v>0.36251564937623165</v>
      </c>
    </row>
    <row r="79" spans="1:9" x14ac:dyDescent="0.25">
      <c r="A79" s="135" t="s">
        <v>452</v>
      </c>
      <c r="B79" s="212">
        <v>1.1791091508130143</v>
      </c>
      <c r="C79" s="212">
        <v>1.1879918086677057</v>
      </c>
      <c r="D79" s="212">
        <v>1.189720364012109</v>
      </c>
      <c r="E79" s="212">
        <v>1.172059241736344</v>
      </c>
      <c r="F79" s="212">
        <v>1.1403234977605938</v>
      </c>
      <c r="G79" s="212">
        <v>1.1791091508130143</v>
      </c>
      <c r="H79" s="212">
        <v>1.136830386267573</v>
      </c>
      <c r="I79" s="212">
        <v>1.1354297078135265</v>
      </c>
    </row>
  </sheetData>
  <sheetProtection algorithmName="SHA-512" hashValue="3/XAKOeiBgXrNFX254aRWZr7Zz4ZvaIWtART3vvDFTKmLuR9WdzTApqprmt+YlUJoeWWZD9LgnC3KR1etIUuwA==" saltValue="va5dpolVvQ9o4WNeugbazQ==" spinCount="100000" sheet="1" objects="1" scenarios="1"/>
  <mergeCells count="4">
    <mergeCell ref="A1:U1"/>
    <mergeCell ref="P19:S19"/>
    <mergeCell ref="T20:U20"/>
    <mergeCell ref="K52:L52"/>
  </mergeCells>
  <printOptions horizontalCentered="1"/>
  <pageMargins left="0.25" right="0.25" top="0.25" bottom="0.25" header="0" footer="0.05"/>
  <pageSetup scale="42" orientation="landscape" r:id="rId1"/>
  <headerFooter alignWithMargins="0">
    <oddFooter>&amp;CBiomass Energy Data Book -- 2010 -- http://cta.ornl.gov/bedb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CCFFCC"/>
    <pageSetUpPr fitToPage="1"/>
  </sheetPr>
  <dimension ref="A1:AE78"/>
  <sheetViews>
    <sheetView workbookViewId="0"/>
  </sheetViews>
  <sheetFormatPr defaultRowHeight="15" x14ac:dyDescent="0.25"/>
  <cols>
    <col min="5" max="5" width="11.5703125" bestFit="1" customWidth="1"/>
    <col min="7" max="7" width="10.140625" customWidth="1"/>
    <col min="14" max="14" width="57.42578125" customWidth="1"/>
    <col min="15" max="15" width="11" customWidth="1"/>
    <col min="17" max="17" width="10.140625" customWidth="1"/>
    <col min="18" max="18" width="52.85546875" customWidth="1"/>
    <col min="19" max="19" width="10.42578125" customWidth="1"/>
    <col min="20" max="20" width="34.5703125" customWidth="1"/>
    <col min="22" max="22" width="10" customWidth="1"/>
    <col min="23" max="23" width="11.140625" customWidth="1"/>
  </cols>
  <sheetData>
    <row r="1" spans="1:31" x14ac:dyDescent="0.25">
      <c r="A1" s="136" t="s">
        <v>640</v>
      </c>
      <c r="O1" s="2" t="s">
        <v>90</v>
      </c>
    </row>
    <row r="2" spans="1:31" ht="15.75" thickBot="1" x14ac:dyDescent="0.3">
      <c r="O2" s="7" t="s">
        <v>96</v>
      </c>
      <c r="R2" s="7" t="s">
        <v>26</v>
      </c>
      <c r="V2" s="53" t="s">
        <v>1459</v>
      </c>
      <c r="W2" s="53"/>
      <c r="X2" s="53"/>
      <c r="Y2" s="53"/>
      <c r="Z2" s="53"/>
    </row>
    <row r="3" spans="1:31" ht="15.75" thickTop="1" x14ac:dyDescent="0.25">
      <c r="E3" s="494" t="s">
        <v>649</v>
      </c>
      <c r="F3" s="494"/>
      <c r="N3" t="s">
        <v>107</v>
      </c>
      <c r="O3" s="393">
        <v>7.0000000000000007E-2</v>
      </c>
      <c r="R3" s="4" t="s">
        <v>30</v>
      </c>
      <c r="S3" s="317">
        <v>17.3</v>
      </c>
      <c r="T3" t="s">
        <v>31</v>
      </c>
      <c r="V3" t="s">
        <v>1444</v>
      </c>
      <c r="W3" t="s">
        <v>628</v>
      </c>
      <c r="X3" t="s">
        <v>1445</v>
      </c>
    </row>
    <row r="4" spans="1:31" x14ac:dyDescent="0.25">
      <c r="E4" s="494" t="s">
        <v>650</v>
      </c>
      <c r="F4" s="494"/>
      <c r="G4" s="108"/>
      <c r="H4" s="1"/>
      <c r="I4" s="1"/>
      <c r="J4" s="1"/>
      <c r="K4" s="1"/>
      <c r="L4" s="1"/>
      <c r="M4" s="1"/>
      <c r="N4" t="s">
        <v>111</v>
      </c>
      <c r="O4" s="393">
        <v>0.4</v>
      </c>
      <c r="R4" s="4" t="s">
        <v>35</v>
      </c>
      <c r="S4" s="318">
        <v>16.527501810052286</v>
      </c>
      <c r="T4" t="s">
        <v>31</v>
      </c>
      <c r="V4" t="s">
        <v>329</v>
      </c>
      <c r="W4" s="294">
        <v>50000</v>
      </c>
      <c r="X4" t="s">
        <v>1447</v>
      </c>
    </row>
    <row r="5" spans="1:31" x14ac:dyDescent="0.25">
      <c r="A5" s="109" t="s">
        <v>23</v>
      </c>
      <c r="E5" s="12">
        <v>2018</v>
      </c>
      <c r="F5" s="12" t="s">
        <v>28</v>
      </c>
      <c r="G5" s="108"/>
      <c r="H5" s="1"/>
      <c r="I5" s="305"/>
      <c r="J5" s="305"/>
      <c r="K5" s="305"/>
      <c r="L5" s="305"/>
      <c r="M5" s="305"/>
      <c r="N5" t="s">
        <v>114</v>
      </c>
      <c r="O5" s="393">
        <v>0.66</v>
      </c>
      <c r="R5" s="4" t="s">
        <v>39</v>
      </c>
      <c r="S5" s="318">
        <v>13.772918175043571</v>
      </c>
      <c r="T5" t="s">
        <v>31</v>
      </c>
      <c r="V5" t="s">
        <v>1446</v>
      </c>
      <c r="W5" s="294">
        <v>100000</v>
      </c>
      <c r="X5" t="s">
        <v>1448</v>
      </c>
    </row>
    <row r="6" spans="1:31" x14ac:dyDescent="0.25">
      <c r="A6" s="52" t="s">
        <v>267</v>
      </c>
      <c r="E6" s="288">
        <f>Lookup!N16</f>
        <v>0.20050000000000001</v>
      </c>
      <c r="F6" t="str">
        <f>Lookup!C16</f>
        <v>/kWh</v>
      </c>
      <c r="H6" s="229"/>
      <c r="I6" s="100"/>
      <c r="J6" s="42"/>
      <c r="K6" s="42"/>
      <c r="L6" s="42"/>
      <c r="M6" s="42"/>
      <c r="N6" t="s">
        <v>117</v>
      </c>
      <c r="O6" s="393">
        <v>0.7</v>
      </c>
      <c r="P6" s="52"/>
      <c r="R6" s="4" t="s">
        <v>43</v>
      </c>
      <c r="S6" s="318">
        <f>Lookup!Y26/10^6</f>
        <v>12.10691595953868</v>
      </c>
      <c r="T6" t="s">
        <v>31</v>
      </c>
      <c r="V6" t="s">
        <v>328</v>
      </c>
      <c r="W6" s="294">
        <v>1000000</v>
      </c>
      <c r="X6" t="s">
        <v>1449</v>
      </c>
    </row>
    <row r="7" spans="1:31" x14ac:dyDescent="0.25">
      <c r="A7" s="52" t="s">
        <v>272</v>
      </c>
      <c r="E7" s="288">
        <f>Lookup!N17</f>
        <v>24.41</v>
      </c>
      <c r="F7" t="str">
        <f>Lookup!$C$17</f>
        <v>/mmBTU</v>
      </c>
      <c r="G7" s="496" t="s">
        <v>1443</v>
      </c>
      <c r="H7" s="496"/>
      <c r="I7" s="496"/>
      <c r="J7" s="496"/>
      <c r="K7" s="496"/>
      <c r="L7" s="496"/>
      <c r="M7" s="49"/>
      <c r="N7" t="s">
        <v>120</v>
      </c>
      <c r="O7" s="393">
        <v>0.54</v>
      </c>
      <c r="P7" s="52"/>
      <c r="R7" s="4" t="s">
        <v>46</v>
      </c>
      <c r="S7" s="318">
        <v>12.141821186058127</v>
      </c>
      <c r="T7" t="s">
        <v>31</v>
      </c>
    </row>
    <row r="8" spans="1:31" x14ac:dyDescent="0.25">
      <c r="A8" s="52" t="s">
        <v>276</v>
      </c>
      <c r="E8" s="288">
        <f>Lookup!N18</f>
        <v>19.59</v>
      </c>
      <c r="F8" t="str">
        <f>Lookup!$C$18</f>
        <v>/1,000 lb</v>
      </c>
      <c r="G8" s="15">
        <v>2019</v>
      </c>
      <c r="H8" s="15">
        <v>2020</v>
      </c>
      <c r="I8" s="15">
        <v>2021</v>
      </c>
      <c r="J8" s="15">
        <v>2022</v>
      </c>
      <c r="K8" s="15">
        <v>2023</v>
      </c>
      <c r="L8" s="15">
        <v>2024</v>
      </c>
      <c r="M8" s="49"/>
      <c r="N8" t="s">
        <v>124</v>
      </c>
      <c r="O8" s="393">
        <v>0.68</v>
      </c>
      <c r="P8" s="52"/>
      <c r="R8" s="4" t="s">
        <v>48</v>
      </c>
      <c r="S8" s="318">
        <v>12.07221084835353</v>
      </c>
      <c r="T8" t="s">
        <v>31</v>
      </c>
      <c r="V8" s="1" t="s">
        <v>1460</v>
      </c>
      <c r="W8" s="49">
        <v>20</v>
      </c>
      <c r="X8" t="s">
        <v>658</v>
      </c>
      <c r="Y8" s="1" t="s">
        <v>1461</v>
      </c>
      <c r="Z8" s="6">
        <f>(CRR*(1+CRR)^W8)/((1+CRR)^W8-1)</f>
        <v>8.3679330034933205E-2</v>
      </c>
    </row>
    <row r="9" spans="1:31" ht="15.75" thickBot="1" x14ac:dyDescent="0.3">
      <c r="A9" s="52" t="s">
        <v>692</v>
      </c>
      <c r="E9" s="458">
        <f ca="1">CostData!G9</f>
        <v>2.8962410171960888</v>
      </c>
      <c r="F9" t="str">
        <f>Lookup!$C$19</f>
        <v>/gal</v>
      </c>
      <c r="G9" s="119">
        <f ca="1">OFFSET(Lookup!$AG$15,MATCH(G8,Lookup!$AB$16:$AB$42,0),0)</f>
        <v>2.8962410171960888</v>
      </c>
      <c r="H9" s="119">
        <f ca="1">OFFSET(Lookup!$AG$15,MATCH(H8,Lookup!$AB$16:$AB$42,0),0)</f>
        <v>2.8103743189740982</v>
      </c>
      <c r="I9" s="119">
        <f ca="1">OFFSET(Lookup!$AG$15,MATCH(I8,Lookup!$AB$16:$AB$42,0),0)</f>
        <v>2.860307585698274</v>
      </c>
      <c r="J9" s="119">
        <f ca="1">OFFSET(Lookup!$AG$15,MATCH(J8,Lookup!$AB$16:$AB$42,0),0)</f>
        <v>2.9247573551739148</v>
      </c>
      <c r="K9" s="119">
        <f ca="1">OFFSET(Lookup!$AG$15,MATCH(K8,Lookup!$AB$16:$AB$42,0),0)</f>
        <v>2.9774981137421901</v>
      </c>
      <c r="L9" s="119">
        <f ca="1">OFFSET(Lookup!$AG$15,MATCH(L8,Lookup!$AB$16:$AB$42,0),0)</f>
        <v>3.0600505885089224</v>
      </c>
      <c r="M9" s="49"/>
      <c r="N9" t="s">
        <v>127</v>
      </c>
      <c r="O9" s="393">
        <v>0.72</v>
      </c>
      <c r="P9" s="52"/>
      <c r="R9" s="4" t="s">
        <v>1410</v>
      </c>
      <c r="S9" s="397">
        <f>Lookup!B22/10^6</f>
        <v>16</v>
      </c>
      <c r="T9" t="s">
        <v>31</v>
      </c>
      <c r="AB9" s="53" t="s">
        <v>1465</v>
      </c>
    </row>
    <row r="10" spans="1:31" ht="15.75" thickTop="1" x14ac:dyDescent="0.25">
      <c r="A10" s="52" t="s">
        <v>66</v>
      </c>
      <c r="E10" s="288">
        <f>Lookup!N20</f>
        <v>20.81</v>
      </c>
      <c r="F10" t="str">
        <f>Lookup!$C$20</f>
        <v>/mcf</v>
      </c>
      <c r="H10" s="229"/>
      <c r="I10" s="49"/>
      <c r="J10" s="49"/>
      <c r="K10" s="49"/>
      <c r="L10" s="49"/>
      <c r="M10" s="49"/>
      <c r="N10" t="s">
        <v>130</v>
      </c>
      <c r="O10" s="393">
        <v>0.56000000000000005</v>
      </c>
      <c r="P10" s="52"/>
      <c r="R10" s="4" t="s">
        <v>50</v>
      </c>
      <c r="S10" s="319">
        <v>125000</v>
      </c>
      <c r="T10" t="s">
        <v>51</v>
      </c>
      <c r="W10" t="s">
        <v>1462</v>
      </c>
      <c r="AB10" t="s">
        <v>1464</v>
      </c>
    </row>
    <row r="11" spans="1:31" x14ac:dyDescent="0.25">
      <c r="A11" s="52" t="s">
        <v>65</v>
      </c>
      <c r="E11" s="288">
        <f>Lookup!N21</f>
        <v>3.43</v>
      </c>
      <c r="F11" t="str">
        <f>Lookup!$C$21</f>
        <v>/gal</v>
      </c>
      <c r="I11" s="100"/>
      <c r="J11" s="42"/>
      <c r="K11" s="42"/>
      <c r="L11" s="42"/>
      <c r="M11" s="42"/>
      <c r="N11" t="s">
        <v>134</v>
      </c>
      <c r="O11" s="393">
        <v>0.78</v>
      </c>
      <c r="P11" s="52"/>
      <c r="R11" s="4" t="s">
        <v>54</v>
      </c>
      <c r="S11" s="319">
        <v>138500</v>
      </c>
      <c r="T11" t="s">
        <v>51</v>
      </c>
      <c r="V11" t="s">
        <v>329</v>
      </c>
      <c r="W11" s="302">
        <f>W4*$Z$8</f>
        <v>4183.9665017466605</v>
      </c>
      <c r="X11" s="220" t="s">
        <v>669</v>
      </c>
      <c r="AB11" t="s">
        <v>329</v>
      </c>
    </row>
    <row r="12" spans="1:31" x14ac:dyDescent="0.25">
      <c r="A12" s="52" t="s">
        <v>289</v>
      </c>
      <c r="E12" s="288">
        <f>Lookup!N22</f>
        <v>272</v>
      </c>
      <c r="F12" t="str">
        <f>Lookup!$C$22</f>
        <v>/ton</v>
      </c>
      <c r="I12" s="49"/>
      <c r="J12" s="49"/>
      <c r="K12" s="49"/>
      <c r="L12" s="49"/>
      <c r="M12" s="49"/>
      <c r="N12" t="s">
        <v>137</v>
      </c>
      <c r="O12" s="393">
        <v>0.43</v>
      </c>
      <c r="P12" s="52"/>
      <c r="R12" s="4" t="s">
        <v>56</v>
      </c>
      <c r="S12" s="319">
        <v>135000</v>
      </c>
      <c r="T12" t="s">
        <v>51</v>
      </c>
      <c r="V12" t="s">
        <v>1446</v>
      </c>
      <c r="W12" s="302">
        <f>W5*$Z$8</f>
        <v>8367.9330034933209</v>
      </c>
      <c r="X12" s="220" t="s">
        <v>669</v>
      </c>
      <c r="AB12" t="s">
        <v>1446</v>
      </c>
    </row>
    <row r="13" spans="1:31" x14ac:dyDescent="0.25">
      <c r="A13" s="52" t="s">
        <v>294</v>
      </c>
      <c r="E13" s="288">
        <f>Lookup!N23</f>
        <v>285</v>
      </c>
      <c r="F13" t="str">
        <f>Lookup!$C$23</f>
        <v>/cord</v>
      </c>
      <c r="H13" s="386">
        <v>0.2</v>
      </c>
      <c r="I13" s="49" t="s">
        <v>1401</v>
      </c>
      <c r="J13" s="49"/>
      <c r="K13" s="49"/>
      <c r="L13" s="49"/>
      <c r="M13" s="49"/>
      <c r="N13" t="s">
        <v>141</v>
      </c>
      <c r="O13" s="393">
        <v>0.43</v>
      </c>
      <c r="P13" s="52"/>
      <c r="R13" s="4" t="s">
        <v>59</v>
      </c>
      <c r="S13" s="319">
        <v>136995</v>
      </c>
      <c r="T13" t="s">
        <v>51</v>
      </c>
      <c r="V13" t="s">
        <v>328</v>
      </c>
      <c r="W13" s="302">
        <f>W6*$Z$8</f>
        <v>83679.330034933198</v>
      </c>
      <c r="X13" s="220" t="s">
        <v>669</v>
      </c>
      <c r="AB13" t="s">
        <v>328</v>
      </c>
    </row>
    <row r="14" spans="1:31" x14ac:dyDescent="0.25">
      <c r="A14" s="52" t="s">
        <v>298</v>
      </c>
      <c r="E14" s="288">
        <f>Lookup!N24</f>
        <v>229.17</v>
      </c>
      <c r="F14" t="str">
        <f>Lookup!$C$24</f>
        <v>/cord</v>
      </c>
      <c r="H14" s="229"/>
      <c r="I14" s="49" t="s">
        <v>414</v>
      </c>
      <c r="J14" s="49"/>
      <c r="K14" s="49"/>
      <c r="L14" s="49"/>
      <c r="M14" s="49"/>
      <c r="N14" t="s">
        <v>144</v>
      </c>
      <c r="O14" s="393">
        <v>0.43</v>
      </c>
      <c r="P14" s="52"/>
      <c r="R14" s="4" t="s">
        <v>63</v>
      </c>
      <c r="S14" s="319">
        <v>135000</v>
      </c>
      <c r="T14" t="s">
        <v>51</v>
      </c>
    </row>
    <row r="15" spans="1:31" ht="15" customHeight="1" thickBot="1" x14ac:dyDescent="0.3">
      <c r="A15" s="52" t="s">
        <v>301</v>
      </c>
      <c r="E15" s="288">
        <f>Lookup!N25</f>
        <v>229.17</v>
      </c>
      <c r="F15" t="str">
        <f>Lookup!$C$25</f>
        <v>/cord</v>
      </c>
      <c r="G15" s="2" t="s">
        <v>1405</v>
      </c>
      <c r="H15" t="s">
        <v>1406</v>
      </c>
      <c r="I15" s="49" t="s">
        <v>1381</v>
      </c>
      <c r="J15" s="49"/>
      <c r="K15" s="49"/>
      <c r="L15" s="49"/>
      <c r="M15" s="49"/>
      <c r="N15" t="s">
        <v>147</v>
      </c>
      <c r="O15" s="393">
        <v>0.43</v>
      </c>
      <c r="P15" s="52"/>
      <c r="R15" s="4" t="s">
        <v>65</v>
      </c>
      <c r="S15" s="319">
        <v>91333</v>
      </c>
      <c r="T15" t="s">
        <v>51</v>
      </c>
      <c r="V15" s="53" t="s">
        <v>1450</v>
      </c>
      <c r="W15" s="53"/>
      <c r="X15" s="53"/>
      <c r="Y15" s="53"/>
      <c r="Z15" s="418"/>
      <c r="AA15" s="417"/>
      <c r="AB15" s="417"/>
      <c r="AC15" s="417"/>
      <c r="AD15" s="417"/>
      <c r="AE15" s="417"/>
    </row>
    <row r="16" spans="1:31" ht="15.75" thickTop="1" x14ac:dyDescent="0.25">
      <c r="A16" s="108" t="s">
        <v>646</v>
      </c>
      <c r="E16" s="288">
        <f>E18+100</f>
        <v>355.05840235039256</v>
      </c>
      <c r="F16" t="str">
        <f>Lookup!$C$26</f>
        <v>/cord</v>
      </c>
      <c r="G16" s="309">
        <v>1.4792057630632425</v>
      </c>
      <c r="H16" s="297">
        <f>E16/G16</f>
        <v>240.03313887522506</v>
      </c>
      <c r="J16" s="49"/>
      <c r="K16" s="49"/>
      <c r="L16" s="49"/>
      <c r="M16" s="49"/>
      <c r="N16" t="s">
        <v>2</v>
      </c>
      <c r="O16" s="393">
        <v>0.85</v>
      </c>
      <c r="P16" s="108"/>
      <c r="R16" s="4" t="s">
        <v>66</v>
      </c>
      <c r="S16" s="319">
        <v>1015</v>
      </c>
      <c r="T16" t="s">
        <v>67</v>
      </c>
      <c r="V16" t="s">
        <v>1444</v>
      </c>
      <c r="W16" t="s">
        <v>1451</v>
      </c>
      <c r="X16" t="s">
        <v>1445</v>
      </c>
      <c r="Z16" s="417"/>
      <c r="AA16" s="417"/>
      <c r="AB16" s="417"/>
      <c r="AC16" s="417"/>
      <c r="AD16" s="417"/>
      <c r="AE16" s="417"/>
    </row>
    <row r="17" spans="1:31" x14ac:dyDescent="0.25">
      <c r="A17" s="108" t="s">
        <v>651</v>
      </c>
      <c r="E17" s="288">
        <f>TREND(D21:D22,C21:C22,36.5%)</f>
        <v>317.81235268899297</v>
      </c>
      <c r="F17" t="str">
        <f>Lookup!C$26</f>
        <v>/cord</v>
      </c>
      <c r="G17" s="309">
        <v>1.6825965554844386</v>
      </c>
      <c r="H17" s="297">
        <f>E17/G17</f>
        <v>188.88208920497354</v>
      </c>
      <c r="I17" s="297">
        <f>H17*Moisture!$G$72+(H$13*H17)*Moisture!$G$73</f>
        <v>97.493713954151573</v>
      </c>
      <c r="J17" s="220" t="s">
        <v>290</v>
      </c>
      <c r="K17" s="220"/>
      <c r="L17" s="220"/>
      <c r="M17" s="220"/>
      <c r="O17" s="2"/>
      <c r="R17" s="4" t="s">
        <v>69</v>
      </c>
      <c r="S17" s="317">
        <v>15.2</v>
      </c>
      <c r="T17" s="43" t="s">
        <v>31</v>
      </c>
      <c r="V17" t="s">
        <v>329</v>
      </c>
      <c r="W17">
        <v>0.25</v>
      </c>
      <c r="X17" t="s">
        <v>1452</v>
      </c>
      <c r="Z17" s="417"/>
      <c r="AA17" s="417"/>
      <c r="AB17" s="417"/>
      <c r="AC17" s="417"/>
      <c r="AD17" s="417"/>
      <c r="AE17" s="417"/>
    </row>
    <row r="18" spans="1:31" x14ac:dyDescent="0.25">
      <c r="A18" s="108" t="s">
        <v>647</v>
      </c>
      <c r="E18" s="288">
        <f>Lookup!N26</f>
        <v>255.05840235039256</v>
      </c>
      <c r="F18" t="str">
        <f>Lookup!$C$26</f>
        <v>/cord</v>
      </c>
      <c r="G18" s="309">
        <v>2.0252792239274231</v>
      </c>
      <c r="H18" s="297">
        <f>E18/G18</f>
        <v>125.93740129115781</v>
      </c>
      <c r="M18" s="42"/>
      <c r="O18" s="2" t="s">
        <v>90</v>
      </c>
      <c r="P18" s="52"/>
      <c r="R18" s="4" t="s">
        <v>3</v>
      </c>
      <c r="S18" s="319">
        <v>3413</v>
      </c>
      <c r="T18" s="47" t="s">
        <v>71</v>
      </c>
      <c r="V18" t="s">
        <v>1446</v>
      </c>
      <c r="W18">
        <v>0.5</v>
      </c>
      <c r="X18" t="s">
        <v>1453</v>
      </c>
      <c r="Z18" s="416"/>
      <c r="AA18" s="416"/>
      <c r="AB18" s="416"/>
      <c r="AC18" s="416"/>
      <c r="AD18" s="416"/>
      <c r="AE18" s="416"/>
    </row>
    <row r="19" spans="1:31" ht="15.75" thickBot="1" x14ac:dyDescent="0.3">
      <c r="A19" s="52" t="s">
        <v>307</v>
      </c>
      <c r="E19" s="288">
        <f>Lookup!M27</f>
        <v>120</v>
      </c>
      <c r="F19" t="str">
        <f>Lookup!$C$27</f>
        <v>/ton</v>
      </c>
      <c r="N19" s="53" t="s">
        <v>150</v>
      </c>
      <c r="O19" s="7" t="s">
        <v>96</v>
      </c>
      <c r="R19" s="4" t="s">
        <v>694</v>
      </c>
      <c r="S19" s="319">
        <v>140000</v>
      </c>
      <c r="T19" t="s">
        <v>696</v>
      </c>
      <c r="V19" t="s">
        <v>328</v>
      </c>
      <c r="W19">
        <v>1</v>
      </c>
      <c r="X19" t="s">
        <v>1454</v>
      </c>
      <c r="Y19" s="417"/>
    </row>
    <row r="20" spans="1:31" ht="15.75" thickTop="1" x14ac:dyDescent="0.25">
      <c r="C20" s="1" t="s">
        <v>652</v>
      </c>
      <c r="D20" s="1" t="s">
        <v>628</v>
      </c>
      <c r="F20" t="s">
        <v>628</v>
      </c>
      <c r="N20" t="s">
        <v>151</v>
      </c>
      <c r="O20" s="393">
        <v>0.81</v>
      </c>
      <c r="Y20" s="417"/>
    </row>
    <row r="21" spans="1:31" x14ac:dyDescent="0.25">
      <c r="C21" s="229">
        <v>0.2</v>
      </c>
      <c r="D21" s="297">
        <f>E16</f>
        <v>355.05840235039256</v>
      </c>
      <c r="E21" s="297" t="str">
        <f>F16</f>
        <v>/cord</v>
      </c>
      <c r="F21" s="297">
        <f>D21/Lookup!$B$37</f>
        <v>210.99820698364326</v>
      </c>
      <c r="G21" s="220" t="s">
        <v>290</v>
      </c>
      <c r="N21" t="s">
        <v>157</v>
      </c>
      <c r="O21" s="393">
        <v>0.81</v>
      </c>
      <c r="V21" t="s">
        <v>1458</v>
      </c>
      <c r="Y21" s="417"/>
    </row>
    <row r="22" spans="1:31" x14ac:dyDescent="0.25">
      <c r="C22" s="95">
        <v>0.64300000000000002</v>
      </c>
      <c r="D22" s="297">
        <f>E18</f>
        <v>255.05840235039256</v>
      </c>
      <c r="E22" s="297" t="str">
        <f>F18</f>
        <v>/cord</v>
      </c>
      <c r="F22" s="297">
        <f>D22/Lookup!$B$37</f>
        <v>151.57186878494383</v>
      </c>
      <c r="G22" s="220" t="s">
        <v>290</v>
      </c>
      <c r="N22" t="s">
        <v>159</v>
      </c>
      <c r="O22" s="393">
        <v>0.81</v>
      </c>
      <c r="R22" s="384" t="s">
        <v>1372</v>
      </c>
      <c r="V22" s="294">
        <v>141629</v>
      </c>
      <c r="W22" t="s">
        <v>1456</v>
      </c>
      <c r="X22" s="492" t="s">
        <v>1457</v>
      </c>
      <c r="Y22" s="492"/>
      <c r="Z22" s="492"/>
      <c r="AA22" s="492"/>
      <c r="AB22" s="492"/>
      <c r="AC22" s="492"/>
      <c r="AD22" s="492"/>
    </row>
    <row r="23" spans="1:31" x14ac:dyDescent="0.25">
      <c r="E23" s="495" t="s">
        <v>641</v>
      </c>
      <c r="F23" s="495"/>
      <c r="N23" t="s">
        <v>161</v>
      </c>
      <c r="O23" s="393">
        <v>0.81</v>
      </c>
      <c r="R23" s="4" t="s">
        <v>1373</v>
      </c>
      <c r="X23" s="492"/>
      <c r="Y23" s="492"/>
      <c r="Z23" s="492"/>
      <c r="AA23" s="492"/>
      <c r="AB23" s="492"/>
      <c r="AC23" s="492"/>
      <c r="AD23" s="492"/>
    </row>
    <row r="24" spans="1:31" x14ac:dyDescent="0.25">
      <c r="A24" s="108" t="s">
        <v>220</v>
      </c>
      <c r="E24" s="293" t="s">
        <v>192</v>
      </c>
      <c r="F24" s="293" t="s">
        <v>648</v>
      </c>
      <c r="N24" t="s">
        <v>165</v>
      </c>
      <c r="O24" s="393">
        <v>0.81</v>
      </c>
      <c r="R24" s="4" t="s">
        <v>1378</v>
      </c>
      <c r="S24" s="229">
        <v>0.2</v>
      </c>
      <c r="T24" s="220" t="s">
        <v>1379</v>
      </c>
      <c r="X24" s="492"/>
      <c r="Y24" s="492"/>
      <c r="Z24" s="492"/>
      <c r="AA24" s="492"/>
      <c r="AB24" s="492"/>
      <c r="AC24" s="492"/>
      <c r="AD24" s="492"/>
    </row>
    <row r="25" spans="1:31" x14ac:dyDescent="0.25">
      <c r="A25" t="s">
        <v>493</v>
      </c>
      <c r="E25" s="289">
        <v>2333</v>
      </c>
      <c r="F25" s="292">
        <v>9467</v>
      </c>
      <c r="G25" t="s">
        <v>698</v>
      </c>
      <c r="N25" t="s">
        <v>169</v>
      </c>
      <c r="O25" s="393">
        <v>0.81</v>
      </c>
      <c r="R25" s="4" t="s">
        <v>1375</v>
      </c>
      <c r="V25" t="s">
        <v>1455</v>
      </c>
      <c r="X25" s="416"/>
    </row>
    <row r="26" spans="1:31" x14ac:dyDescent="0.25">
      <c r="A26" t="s">
        <v>629</v>
      </c>
      <c r="E26" s="289">
        <v>2467</v>
      </c>
      <c r="F26" s="292">
        <v>1767</v>
      </c>
      <c r="G26" t="s">
        <v>698</v>
      </c>
      <c r="J26" s="97"/>
      <c r="K26" s="97"/>
      <c r="L26" s="97"/>
      <c r="M26" s="97"/>
      <c r="N26" t="s">
        <v>172</v>
      </c>
      <c r="O26" s="393">
        <v>0.81</v>
      </c>
      <c r="R26" s="4" t="s">
        <v>1376</v>
      </c>
      <c r="S26" s="385">
        <v>0.21679999999999999</v>
      </c>
      <c r="T26" s="220" t="s">
        <v>1379</v>
      </c>
      <c r="V26" t="s">
        <v>1444</v>
      </c>
      <c r="W26" t="s">
        <v>628</v>
      </c>
    </row>
    <row r="27" spans="1:31" x14ac:dyDescent="0.25">
      <c r="A27" t="s">
        <v>630</v>
      </c>
      <c r="E27" s="289">
        <v>3393</v>
      </c>
      <c r="F27" s="292">
        <v>2600</v>
      </c>
      <c r="G27" t="s">
        <v>698</v>
      </c>
      <c r="J27" s="97"/>
      <c r="K27" s="97"/>
      <c r="L27" s="97"/>
      <c r="M27" s="97"/>
      <c r="N27" t="s">
        <v>176</v>
      </c>
      <c r="O27" s="393">
        <v>0.81</v>
      </c>
      <c r="R27" s="4" t="s">
        <v>1374</v>
      </c>
      <c r="V27" t="s">
        <v>329</v>
      </c>
      <c r="W27" s="294">
        <f>$V$22*W17</f>
        <v>35407.25</v>
      </c>
      <c r="X27" s="220" t="s">
        <v>669</v>
      </c>
    </row>
    <row r="28" spans="1:31" x14ac:dyDescent="0.25">
      <c r="A28" t="s">
        <v>631</v>
      </c>
      <c r="E28" s="289">
        <v>3200</v>
      </c>
      <c r="F28" s="292">
        <v>2167</v>
      </c>
      <c r="G28" t="s">
        <v>698</v>
      </c>
      <c r="J28" s="97"/>
      <c r="K28" s="97"/>
      <c r="L28" s="97"/>
      <c r="M28" s="97"/>
      <c r="N28" t="s">
        <v>178</v>
      </c>
      <c r="O28" s="393">
        <v>0.43</v>
      </c>
      <c r="R28" s="4" t="s">
        <v>1377</v>
      </c>
      <c r="S28" s="229">
        <v>0.05</v>
      </c>
      <c r="T28" s="220" t="s">
        <v>1379</v>
      </c>
      <c r="V28" t="s">
        <v>1446</v>
      </c>
      <c r="W28" s="294">
        <f>$V$22*W18</f>
        <v>70814.5</v>
      </c>
      <c r="X28" s="220" t="s">
        <v>669</v>
      </c>
    </row>
    <row r="29" spans="1:31" x14ac:dyDescent="0.25">
      <c r="A29" t="s">
        <v>632</v>
      </c>
      <c r="E29" s="289">
        <v>3333</v>
      </c>
      <c r="F29" s="292">
        <v>2333</v>
      </c>
      <c r="G29" t="s">
        <v>698</v>
      </c>
      <c r="H29" s="1"/>
      <c r="I29" s="1"/>
      <c r="J29" s="97"/>
      <c r="K29" s="97"/>
      <c r="L29" s="97"/>
      <c r="M29" s="97"/>
      <c r="N29" t="s">
        <v>183</v>
      </c>
      <c r="O29" s="2" t="s">
        <v>19</v>
      </c>
      <c r="V29" t="s">
        <v>328</v>
      </c>
      <c r="W29" s="294">
        <f>$V$22*W19</f>
        <v>141629</v>
      </c>
      <c r="X29" s="220" t="s">
        <v>669</v>
      </c>
    </row>
    <row r="30" spans="1:31" x14ac:dyDescent="0.25">
      <c r="A30" t="s">
        <v>624</v>
      </c>
      <c r="E30" s="292">
        <v>3000</v>
      </c>
      <c r="F30" s="292">
        <v>2517</v>
      </c>
      <c r="G30" t="s">
        <v>654</v>
      </c>
      <c r="H30" s="292"/>
      <c r="I30" s="292"/>
      <c r="J30" s="97"/>
      <c r="K30" s="97"/>
      <c r="L30" s="97"/>
      <c r="M30" s="97"/>
      <c r="N30" t="s">
        <v>187</v>
      </c>
      <c r="O30" s="2" t="s">
        <v>19</v>
      </c>
    </row>
    <row r="31" spans="1:31" x14ac:dyDescent="0.25">
      <c r="A31" t="s">
        <v>625</v>
      </c>
      <c r="E31" s="289">
        <v>6250</v>
      </c>
      <c r="F31" s="292">
        <v>9000</v>
      </c>
      <c r="G31" t="s">
        <v>698</v>
      </c>
      <c r="J31" s="290"/>
      <c r="K31" s="290"/>
      <c r="L31" s="290"/>
      <c r="M31" s="290"/>
      <c r="U31" s="2"/>
      <c r="V31" s="2"/>
      <c r="W31" s="2"/>
    </row>
    <row r="32" spans="1:31" x14ac:dyDescent="0.25">
      <c r="A32" t="s">
        <v>626</v>
      </c>
      <c r="E32" s="289">
        <v>3867</v>
      </c>
      <c r="F32" s="292">
        <v>2233</v>
      </c>
      <c r="G32" t="s">
        <v>654</v>
      </c>
      <c r="J32" s="290"/>
      <c r="K32" s="290"/>
      <c r="L32" s="290"/>
      <c r="M32" s="290"/>
      <c r="N32" s="496" t="s">
        <v>596</v>
      </c>
      <c r="O32" s="496"/>
      <c r="P32" s="496"/>
      <c r="R32" t="s">
        <v>1387</v>
      </c>
      <c r="S32" s="49">
        <v>948267.8163983241</v>
      </c>
      <c r="T32" t="s">
        <v>1385</v>
      </c>
    </row>
    <row r="33" spans="1:20" x14ac:dyDescent="0.25">
      <c r="A33" t="s">
        <v>639</v>
      </c>
      <c r="E33" s="289">
        <v>5860</v>
      </c>
      <c r="F33" s="292">
        <v>1969</v>
      </c>
      <c r="G33" t="s">
        <v>654</v>
      </c>
      <c r="J33" s="290"/>
      <c r="K33" s="290"/>
      <c r="L33" s="290"/>
      <c r="M33" s="290"/>
      <c r="N33" s="497" t="s">
        <v>609</v>
      </c>
      <c r="O33" s="497"/>
      <c r="P33" s="497"/>
      <c r="R33" t="s">
        <v>1388</v>
      </c>
      <c r="S33" s="49">
        <v>746362.11042039457</v>
      </c>
      <c r="T33" t="s">
        <v>1386</v>
      </c>
    </row>
    <row r="34" spans="1:20" x14ac:dyDescent="0.25">
      <c r="A34" s="52" t="s">
        <v>307</v>
      </c>
      <c r="E34" s="289">
        <v>4500</v>
      </c>
      <c r="F34" s="292">
        <v>5000</v>
      </c>
      <c r="G34" t="s">
        <v>698</v>
      </c>
      <c r="J34" s="290"/>
      <c r="K34" s="290"/>
      <c r="L34" s="290"/>
      <c r="M34" s="290"/>
      <c r="N34" s="4" t="s">
        <v>608</v>
      </c>
      <c r="O34" s="266">
        <f>'EFs-BTU'!$D$54/'EFs-BTU'!$D$37</f>
        <v>11.571428571428571</v>
      </c>
      <c r="R34" t="s">
        <v>1389</v>
      </c>
      <c r="S34" s="49">
        <v>457622.67324183136</v>
      </c>
      <c r="T34" t="s">
        <v>1386</v>
      </c>
    </row>
    <row r="35" spans="1:20" x14ac:dyDescent="0.25">
      <c r="E35" s="289"/>
      <c r="F35" s="292"/>
      <c r="J35" s="290"/>
      <c r="K35" s="290"/>
      <c r="L35" s="290"/>
      <c r="M35" s="290"/>
      <c r="N35" s="4" t="s">
        <v>605</v>
      </c>
      <c r="O35" s="266">
        <f>'EFs-BTU'!$D$54/'EFs-BTU'!$D$38</f>
        <v>2.0249999999999999</v>
      </c>
    </row>
    <row r="36" spans="1:20" x14ac:dyDescent="0.25">
      <c r="A36" t="s">
        <v>666</v>
      </c>
      <c r="E36" s="308">
        <v>180</v>
      </c>
      <c r="F36" t="s">
        <v>667</v>
      </c>
      <c r="J36" s="290"/>
      <c r="K36" s="290"/>
      <c r="L36" s="290"/>
      <c r="M36" s="290"/>
      <c r="N36" s="4" t="s">
        <v>606</v>
      </c>
      <c r="O36" s="266">
        <f>'EFs-BTU'!$D$54/'EFs-BTU'!$D$41</f>
        <v>1.5</v>
      </c>
      <c r="R36" t="s">
        <v>1390</v>
      </c>
      <c r="S36" s="283">
        <f>S$34/S32</f>
        <v>0.48258800449429673</v>
      </c>
      <c r="T36" t="s">
        <v>1391</v>
      </c>
    </row>
    <row r="37" spans="1:20" x14ac:dyDescent="0.25">
      <c r="C37" s="1" t="s">
        <v>1384</v>
      </c>
      <c r="E37" s="291">
        <v>5.5E-2</v>
      </c>
      <c r="F37" s="493" t="s">
        <v>1383</v>
      </c>
      <c r="G37" s="493"/>
      <c r="J37" s="290"/>
      <c r="K37" s="290"/>
      <c r="L37" s="290"/>
      <c r="M37" s="290"/>
      <c r="N37" s="4" t="s">
        <v>607</v>
      </c>
      <c r="O37" s="266">
        <f>'EFs-BTU'!$D$54/'EFs-BTU'!$D$46</f>
        <v>1.8837209302325584</v>
      </c>
      <c r="R37" t="s">
        <v>1394</v>
      </c>
      <c r="S37" s="283">
        <f>S$34/S33</f>
        <v>0.61313760017114438</v>
      </c>
      <c r="T37" t="s">
        <v>1395</v>
      </c>
    </row>
    <row r="38" spans="1:20" x14ac:dyDescent="0.25">
      <c r="C38" s="1" t="s">
        <v>1382</v>
      </c>
      <c r="D38">
        <v>5</v>
      </c>
      <c r="E38">
        <v>10</v>
      </c>
      <c r="F38">
        <v>15</v>
      </c>
      <c r="G38">
        <v>20</v>
      </c>
      <c r="H38">
        <v>30</v>
      </c>
      <c r="I38">
        <v>40</v>
      </c>
      <c r="J38" s="290"/>
      <c r="K38" s="290"/>
      <c r="L38" s="290"/>
      <c r="M38" s="290"/>
      <c r="N38" s="4" t="s">
        <v>610</v>
      </c>
      <c r="O38" s="266">
        <f>'EFs-BTU'!$D$54/'EFs-BTU'!$D$62</f>
        <v>1.8837209302325584</v>
      </c>
      <c r="R38" t="s">
        <v>1407</v>
      </c>
      <c r="S38" s="283">
        <f>S$33/S32</f>
        <v>0.78707944898435933</v>
      </c>
      <c r="T38" t="s">
        <v>1408</v>
      </c>
    </row>
    <row r="39" spans="1:20" x14ac:dyDescent="0.25">
      <c r="C39" s="1" t="s">
        <v>1392</v>
      </c>
      <c r="D39" s="6">
        <f t="shared" ref="D39:I39" si="0">(CRR*(1+CRR)^D38)/((1+CRR)^D38-1)</f>
        <v>0.2341764361857932</v>
      </c>
      <c r="E39" s="6">
        <f t="shared" si="0"/>
        <v>0.13266776870339814</v>
      </c>
      <c r="F39" s="6">
        <f t="shared" si="0"/>
        <v>9.9625597604811239E-2</v>
      </c>
      <c r="G39" s="6">
        <f t="shared" si="0"/>
        <v>8.3679330034933205E-2</v>
      </c>
      <c r="H39" s="6">
        <f t="shared" si="0"/>
        <v>6.8805389679389581E-2</v>
      </c>
      <c r="I39" s="6">
        <f t="shared" si="0"/>
        <v>6.2320343360637943E-2</v>
      </c>
      <c r="J39" s="97"/>
      <c r="K39" s="97"/>
      <c r="L39" s="97"/>
      <c r="M39" s="97"/>
    </row>
    <row r="40" spans="1:20" x14ac:dyDescent="0.25">
      <c r="J40" s="290"/>
      <c r="K40" s="290"/>
      <c r="L40" s="290"/>
      <c r="M40" s="290"/>
    </row>
    <row r="41" spans="1:20" x14ac:dyDescent="0.25">
      <c r="A41" s="108" t="s">
        <v>220</v>
      </c>
      <c r="E41" s="258" t="s">
        <v>642</v>
      </c>
      <c r="J41" s="290"/>
      <c r="K41" s="290"/>
      <c r="L41" s="290"/>
      <c r="M41" s="290"/>
      <c r="N41" s="4" t="s">
        <v>672</v>
      </c>
      <c r="O41" s="229">
        <v>0.25</v>
      </c>
      <c r="P41" s="301" t="s">
        <v>623</v>
      </c>
    </row>
    <row r="42" spans="1:20" x14ac:dyDescent="0.25">
      <c r="A42" t="s">
        <v>493</v>
      </c>
      <c r="E42" s="292">
        <v>200</v>
      </c>
      <c r="F42" s="222" t="s">
        <v>697</v>
      </c>
      <c r="J42" s="290"/>
      <c r="K42" s="290"/>
      <c r="L42" s="290"/>
      <c r="M42" s="290"/>
      <c r="N42" s="4" t="s">
        <v>673</v>
      </c>
      <c r="O42" s="229">
        <f>1-O41</f>
        <v>0.75</v>
      </c>
      <c r="P42" s="301" t="s">
        <v>623</v>
      </c>
    </row>
    <row r="43" spans="1:20" x14ac:dyDescent="0.25">
      <c r="A43" t="s">
        <v>629</v>
      </c>
      <c r="E43" s="292">
        <v>200</v>
      </c>
      <c r="F43" s="301" t="s">
        <v>623</v>
      </c>
      <c r="H43" s="292">
        <v>165</v>
      </c>
      <c r="J43" s="290"/>
      <c r="K43" s="290"/>
      <c r="L43" s="290"/>
      <c r="M43" s="290"/>
    </row>
    <row r="44" spans="1:20" x14ac:dyDescent="0.25">
      <c r="A44" t="s">
        <v>630</v>
      </c>
      <c r="E44" s="292">
        <v>200</v>
      </c>
      <c r="F44" s="301" t="s">
        <v>623</v>
      </c>
      <c r="H44" s="292">
        <v>100</v>
      </c>
      <c r="J44" s="290"/>
      <c r="K44" s="290"/>
      <c r="L44" s="290"/>
      <c r="M44" s="290"/>
      <c r="N44" t="s">
        <v>674</v>
      </c>
      <c r="O44" s="95">
        <v>0.41293517842264571</v>
      </c>
      <c r="P44" t="s">
        <v>1402</v>
      </c>
    </row>
    <row r="45" spans="1:20" x14ac:dyDescent="0.25">
      <c r="A45" t="s">
        <v>631</v>
      </c>
      <c r="E45" s="292">
        <v>200</v>
      </c>
      <c r="F45" s="301" t="s">
        <v>623</v>
      </c>
      <c r="H45" s="292">
        <v>75</v>
      </c>
      <c r="J45" s="290"/>
      <c r="K45" s="290"/>
      <c r="L45" s="290"/>
      <c r="M45" s="290"/>
    </row>
    <row r="46" spans="1:20" x14ac:dyDescent="0.25">
      <c r="A46" t="s">
        <v>632</v>
      </c>
      <c r="E46" s="292">
        <v>200</v>
      </c>
      <c r="F46" s="301" t="s">
        <v>623</v>
      </c>
      <c r="H46" s="292">
        <v>50</v>
      </c>
      <c r="J46" s="290"/>
      <c r="K46" s="290"/>
      <c r="L46" s="290"/>
      <c r="M46" s="290"/>
    </row>
    <row r="47" spans="1:20" x14ac:dyDescent="0.25">
      <c r="A47" t="s">
        <v>624</v>
      </c>
      <c r="E47" s="292">
        <v>200</v>
      </c>
      <c r="F47" s="301" t="s">
        <v>623</v>
      </c>
      <c r="H47" s="292">
        <v>50</v>
      </c>
      <c r="J47" s="290"/>
      <c r="K47" s="290"/>
      <c r="L47" s="290"/>
      <c r="M47" s="290"/>
      <c r="N47" s="91" t="s">
        <v>693</v>
      </c>
    </row>
    <row r="48" spans="1:20" x14ac:dyDescent="0.25">
      <c r="A48" t="s">
        <v>625</v>
      </c>
      <c r="E48" s="292">
        <v>200</v>
      </c>
      <c r="F48" s="301" t="s">
        <v>623</v>
      </c>
      <c r="H48" s="292">
        <v>75</v>
      </c>
      <c r="N48" t="s">
        <v>675</v>
      </c>
      <c r="O48" s="314">
        <v>100000</v>
      </c>
      <c r="P48" s="220" t="s">
        <v>676</v>
      </c>
    </row>
    <row r="49" spans="1:17" x14ac:dyDescent="0.25">
      <c r="A49" t="s">
        <v>626</v>
      </c>
      <c r="E49" s="292">
        <v>200</v>
      </c>
      <c r="F49" s="301" t="s">
        <v>623</v>
      </c>
      <c r="H49" s="292">
        <v>50</v>
      </c>
      <c r="N49" t="s">
        <v>678</v>
      </c>
      <c r="O49">
        <v>6</v>
      </c>
      <c r="P49" t="s">
        <v>679</v>
      </c>
    </row>
    <row r="50" spans="1:17" x14ac:dyDescent="0.25">
      <c r="A50" t="s">
        <v>639</v>
      </c>
      <c r="E50" s="292">
        <v>200</v>
      </c>
      <c r="F50" s="301" t="s">
        <v>623</v>
      </c>
      <c r="H50" s="292">
        <v>50</v>
      </c>
      <c r="N50" t="s">
        <v>677</v>
      </c>
      <c r="O50">
        <v>30</v>
      </c>
      <c r="P50" s="220" t="s">
        <v>676</v>
      </c>
    </row>
    <row r="51" spans="1:17" x14ac:dyDescent="0.25">
      <c r="A51" t="s">
        <v>307</v>
      </c>
      <c r="E51" s="292">
        <v>200</v>
      </c>
      <c r="F51" s="301" t="s">
        <v>623</v>
      </c>
      <c r="H51" s="292">
        <v>75</v>
      </c>
      <c r="N51" t="s">
        <v>683</v>
      </c>
      <c r="O51" s="292">
        <v>18000</v>
      </c>
      <c r="P51" t="s">
        <v>682</v>
      </c>
    </row>
    <row r="52" spans="1:17" x14ac:dyDescent="0.25">
      <c r="A52" t="s">
        <v>695</v>
      </c>
      <c r="E52" s="292">
        <v>350</v>
      </c>
      <c r="F52" s="301" t="s">
        <v>623</v>
      </c>
      <c r="H52" s="292">
        <v>75</v>
      </c>
      <c r="N52" t="s">
        <v>680</v>
      </c>
      <c r="O52">
        <v>8</v>
      </c>
      <c r="P52" t="s">
        <v>681</v>
      </c>
    </row>
    <row r="53" spans="1:17" x14ac:dyDescent="0.25">
      <c r="H53" s="292">
        <f>6*50</f>
        <v>300</v>
      </c>
      <c r="N53" t="s">
        <v>685</v>
      </c>
      <c r="O53" s="99">
        <f>(CRR*(1+CRR)^O52)/((1+CRR)^O52-1)</f>
        <v>0.15786401182269527</v>
      </c>
    </row>
    <row r="54" spans="1:17" x14ac:dyDescent="0.25">
      <c r="A54" s="108" t="s">
        <v>220</v>
      </c>
      <c r="E54" s="293" t="s">
        <v>643</v>
      </c>
      <c r="F54" s="12"/>
      <c r="H54" s="12" t="s">
        <v>671</v>
      </c>
      <c r="I54" s="293"/>
      <c r="N54" t="s">
        <v>684</v>
      </c>
      <c r="O54" s="292">
        <f>O51*O53</f>
        <v>2841.5522128085149</v>
      </c>
      <c r="P54" s="220" t="s">
        <v>659</v>
      </c>
    </row>
    <row r="55" spans="1:17" x14ac:dyDescent="0.25">
      <c r="A55" t="s">
        <v>493</v>
      </c>
      <c r="E55">
        <v>40</v>
      </c>
      <c r="F55" s="300" t="s">
        <v>645</v>
      </c>
      <c r="G55" s="300"/>
      <c r="H55">
        <v>40</v>
      </c>
      <c r="I55" s="221">
        <f>1/E55</f>
        <v>2.5000000000000001E-2</v>
      </c>
      <c r="N55" t="s">
        <v>686</v>
      </c>
      <c r="O55" s="292">
        <f>3000</f>
        <v>3000</v>
      </c>
      <c r="P55" s="220" t="s">
        <v>659</v>
      </c>
    </row>
    <row r="56" spans="1:17" x14ac:dyDescent="0.25">
      <c r="A56" t="s">
        <v>629</v>
      </c>
      <c r="E56">
        <v>10</v>
      </c>
      <c r="F56" s="300" t="s">
        <v>645</v>
      </c>
      <c r="G56" s="300"/>
      <c r="H56">
        <v>20</v>
      </c>
      <c r="I56" s="221">
        <f t="shared" ref="I56:I63" si="1">1/E56</f>
        <v>0.1</v>
      </c>
      <c r="N56" t="s">
        <v>687</v>
      </c>
      <c r="O56" s="292">
        <f>O54+O55</f>
        <v>5841.5522128085149</v>
      </c>
      <c r="P56" s="220" t="s">
        <v>659</v>
      </c>
    </row>
    <row r="57" spans="1:17" x14ac:dyDescent="0.25">
      <c r="A57" t="s">
        <v>630</v>
      </c>
      <c r="E57">
        <v>10</v>
      </c>
      <c r="F57" s="300" t="s">
        <v>645</v>
      </c>
      <c r="G57" s="300"/>
      <c r="H57">
        <v>20</v>
      </c>
      <c r="I57" s="221">
        <f t="shared" si="1"/>
        <v>0.1</v>
      </c>
      <c r="N57" t="s">
        <v>688</v>
      </c>
      <c r="O57" s="299">
        <f>O56/2</f>
        <v>2920.7761064042575</v>
      </c>
      <c r="P57" s="220" t="s">
        <v>689</v>
      </c>
    </row>
    <row r="58" spans="1:17" x14ac:dyDescent="0.25">
      <c r="A58" t="s">
        <v>631</v>
      </c>
      <c r="E58">
        <v>10</v>
      </c>
      <c r="F58" s="300" t="s">
        <v>645</v>
      </c>
      <c r="G58" s="300"/>
      <c r="H58">
        <v>20</v>
      </c>
      <c r="I58" s="221">
        <f t="shared" si="1"/>
        <v>0.1</v>
      </c>
      <c r="N58" t="s">
        <v>690</v>
      </c>
      <c r="O58">
        <v>15</v>
      </c>
    </row>
    <row r="59" spans="1:17" x14ac:dyDescent="0.25">
      <c r="A59" t="s">
        <v>632</v>
      </c>
      <c r="E59">
        <v>10</v>
      </c>
      <c r="F59" s="300" t="s">
        <v>645</v>
      </c>
      <c r="G59" s="300"/>
      <c r="H59">
        <v>20</v>
      </c>
      <c r="I59" s="221">
        <f t="shared" si="1"/>
        <v>0.1</v>
      </c>
      <c r="N59" t="s">
        <v>691</v>
      </c>
      <c r="O59" s="299">
        <f>O57*O58</f>
        <v>43811.641596063862</v>
      </c>
      <c r="P59" s="220" t="s">
        <v>689</v>
      </c>
    </row>
    <row r="60" spans="1:17" x14ac:dyDescent="0.25">
      <c r="A60" t="s">
        <v>624</v>
      </c>
      <c r="E60">
        <v>10</v>
      </c>
      <c r="F60" s="300" t="s">
        <v>645</v>
      </c>
      <c r="G60" s="300"/>
      <c r="H60">
        <v>20</v>
      </c>
      <c r="I60" s="221">
        <f t="shared" si="1"/>
        <v>0.1</v>
      </c>
    </row>
    <row r="61" spans="1:17" x14ac:dyDescent="0.25">
      <c r="A61" t="s">
        <v>625</v>
      </c>
      <c r="E61">
        <v>10</v>
      </c>
      <c r="F61" s="300" t="s">
        <v>645</v>
      </c>
      <c r="G61" s="300"/>
      <c r="H61">
        <v>30</v>
      </c>
      <c r="I61" s="221">
        <f t="shared" si="1"/>
        <v>0.1</v>
      </c>
    </row>
    <row r="62" spans="1:17" x14ac:dyDescent="0.25">
      <c r="A62" t="s">
        <v>626</v>
      </c>
      <c r="E62">
        <v>10</v>
      </c>
      <c r="F62" s="300" t="s">
        <v>645</v>
      </c>
      <c r="G62" s="300"/>
      <c r="H62">
        <v>20</v>
      </c>
      <c r="I62" s="221">
        <f t="shared" si="1"/>
        <v>0.1</v>
      </c>
      <c r="N62" s="91" t="s">
        <v>1422</v>
      </c>
    </row>
    <row r="63" spans="1:17" x14ac:dyDescent="0.25">
      <c r="A63" t="s">
        <v>639</v>
      </c>
      <c r="E63">
        <v>10</v>
      </c>
      <c r="F63" s="300" t="s">
        <v>645</v>
      </c>
      <c r="G63" s="300"/>
      <c r="H63">
        <v>30</v>
      </c>
      <c r="I63" s="221">
        <f t="shared" si="1"/>
        <v>0.1</v>
      </c>
      <c r="N63" t="s">
        <v>1564</v>
      </c>
      <c r="O63" s="13">
        <v>2035.3928754647418</v>
      </c>
      <c r="P63" t="s">
        <v>1424</v>
      </c>
    </row>
    <row r="64" spans="1:17" x14ac:dyDescent="0.25">
      <c r="A64" t="s">
        <v>644</v>
      </c>
      <c r="E64">
        <v>8</v>
      </c>
      <c r="F64" s="300" t="s">
        <v>645</v>
      </c>
      <c r="G64" s="300"/>
      <c r="N64" t="s">
        <v>1423</v>
      </c>
      <c r="O64">
        <v>15</v>
      </c>
      <c r="P64" t="s">
        <v>1424</v>
      </c>
      <c r="Q64" s="14"/>
    </row>
    <row r="65" spans="1:17" x14ac:dyDescent="0.25">
      <c r="A65" t="s">
        <v>1380</v>
      </c>
      <c r="E65">
        <v>20</v>
      </c>
      <c r="F65" s="300" t="s">
        <v>645</v>
      </c>
      <c r="N65" t="s">
        <v>1600</v>
      </c>
      <c r="O65" s="294">
        <v>491.97546434304058</v>
      </c>
      <c r="Q65" t="s">
        <v>1562</v>
      </c>
    </row>
    <row r="66" spans="1:17" x14ac:dyDescent="0.25">
      <c r="N66" t="str">
        <f>"Average Duration Between Boiler Cleanings ("&amp;TEXT(O63,"0")&amp;" ppm Fuel) ="</f>
        <v>Average Duration Between Boiler Cleanings (2035 ppm Fuel) =</v>
      </c>
      <c r="O66" s="14">
        <v>1.1138181664406654</v>
      </c>
      <c r="P66" s="14" t="s">
        <v>658</v>
      </c>
      <c r="Q66" t="s">
        <v>1562</v>
      </c>
    </row>
    <row r="67" spans="1:17" x14ac:dyDescent="0.25">
      <c r="A67" s="91" t="s">
        <v>633</v>
      </c>
      <c r="N67" t="str">
        <f>"Average Duration Between Boiler Cleanings ("&amp;TEXT(O64,"0")&amp;" ppm ULS Fuel) ="</f>
        <v>Average Duration Between Boiler Cleanings (15 ppm ULS Fuel) =</v>
      </c>
      <c r="O67" s="14">
        <f>O66*O70</f>
        <v>5.1235635656270606</v>
      </c>
      <c r="P67" s="14" t="s">
        <v>658</v>
      </c>
      <c r="Q67" t="s">
        <v>1574</v>
      </c>
    </row>
    <row r="68" spans="1:17" x14ac:dyDescent="0.25">
      <c r="A68" t="s">
        <v>634</v>
      </c>
      <c r="E68" s="292">
        <v>34</v>
      </c>
      <c r="F68" t="s">
        <v>698</v>
      </c>
      <c r="N68" t="s">
        <v>1567</v>
      </c>
      <c r="O68" s="14">
        <f>O67-(O67-O66)*(900-O64)/(O63-O64)</f>
        <v>3.3671602831893885</v>
      </c>
      <c r="P68" s="14" t="s">
        <v>658</v>
      </c>
      <c r="Q68" t="s">
        <v>1563</v>
      </c>
    </row>
    <row r="69" spans="1:17" x14ac:dyDescent="0.25">
      <c r="A69" t="s">
        <v>635</v>
      </c>
      <c r="E69" s="292">
        <v>30</v>
      </c>
      <c r="F69" s="307" t="s">
        <v>636</v>
      </c>
      <c r="G69" s="300"/>
      <c r="N69" t="s">
        <v>1566</v>
      </c>
      <c r="O69" s="95">
        <v>1.4999999999999999E-2</v>
      </c>
      <c r="Q69" t="s">
        <v>1565</v>
      </c>
    </row>
    <row r="70" spans="1:17" x14ac:dyDescent="0.25">
      <c r="A70" t="s">
        <v>653</v>
      </c>
      <c r="E70" s="292">
        <v>200</v>
      </c>
      <c r="F70" s="300" t="s">
        <v>623</v>
      </c>
      <c r="G70" s="300"/>
      <c r="N70" t="s">
        <v>1573</v>
      </c>
      <c r="O70">
        <v>4.5999999999999996</v>
      </c>
      <c r="Q70" t="s">
        <v>1565</v>
      </c>
    </row>
    <row r="71" spans="1:17" x14ac:dyDescent="0.25">
      <c r="A71" t="s">
        <v>656</v>
      </c>
      <c r="E71" s="292">
        <f>825+120</f>
        <v>945</v>
      </c>
      <c r="F71" t="s">
        <v>654</v>
      </c>
      <c r="N71" t="s">
        <v>1590</v>
      </c>
      <c r="O71" s="302">
        <v>2.860307585698274</v>
      </c>
      <c r="P71" s="14" t="s">
        <v>753</v>
      </c>
    </row>
    <row r="72" spans="1:17" x14ac:dyDescent="0.25">
      <c r="A72" t="s">
        <v>655</v>
      </c>
      <c r="E72" s="292">
        <v>400</v>
      </c>
      <c r="F72" t="s">
        <v>654</v>
      </c>
      <c r="N72" t="s">
        <v>1599</v>
      </c>
      <c r="O72" s="302">
        <v>5.0999999999999996</v>
      </c>
      <c r="P72" s="14" t="s">
        <v>753</v>
      </c>
      <c r="Q72" t="s">
        <v>1607</v>
      </c>
    </row>
    <row r="73" spans="1:17" x14ac:dyDescent="0.25">
      <c r="A73" t="s">
        <v>657</v>
      </c>
      <c r="E73" s="292">
        <f>E72</f>
        <v>400</v>
      </c>
      <c r="F73" s="300" t="s">
        <v>623</v>
      </c>
      <c r="N73" t="s">
        <v>1601</v>
      </c>
      <c r="O73" s="302">
        <v>7.0000000000000007E-2</v>
      </c>
      <c r="P73" s="14" t="s">
        <v>753</v>
      </c>
      <c r="Q73" t="s">
        <v>1609</v>
      </c>
    </row>
    <row r="74" spans="1:17" x14ac:dyDescent="0.25">
      <c r="A74" t="s">
        <v>664</v>
      </c>
      <c r="E74" s="292">
        <v>35</v>
      </c>
      <c r="F74" s="307" t="s">
        <v>665</v>
      </c>
      <c r="G74" s="300"/>
      <c r="N74" t="s">
        <v>1602</v>
      </c>
      <c r="O74" s="302">
        <v>0.34</v>
      </c>
      <c r="P74" s="14" t="s">
        <v>753</v>
      </c>
      <c r="Q74" t="s">
        <v>1610</v>
      </c>
    </row>
    <row r="75" spans="1:17" x14ac:dyDescent="0.25">
      <c r="N75" t="s">
        <v>1603</v>
      </c>
      <c r="O75" s="302">
        <v>0.41</v>
      </c>
      <c r="P75" s="14" t="s">
        <v>753</v>
      </c>
      <c r="Q75" t="s">
        <v>1608</v>
      </c>
    </row>
    <row r="76" spans="1:17" x14ac:dyDescent="0.25">
      <c r="N76" t="s">
        <v>1604</v>
      </c>
      <c r="O76" s="221">
        <f>2.28/2.21-1</f>
        <v>3.1674208144796268E-2</v>
      </c>
      <c r="P76" s="14"/>
      <c r="Q76" t="s">
        <v>1611</v>
      </c>
    </row>
    <row r="77" spans="1:17" x14ac:dyDescent="0.25">
      <c r="N77" t="s">
        <v>1605</v>
      </c>
      <c r="O77" s="221">
        <f>2.62/2.28-1</f>
        <v>0.1491228070175441</v>
      </c>
      <c r="P77" s="14"/>
      <c r="Q77" t="s">
        <v>1612</v>
      </c>
    </row>
    <row r="78" spans="1:17" x14ac:dyDescent="0.25">
      <c r="N78" t="s">
        <v>1606</v>
      </c>
      <c r="O78" s="221">
        <f>2.62/2.21-1</f>
        <v>0.18552036199095023</v>
      </c>
      <c r="Q78" t="s">
        <v>1613</v>
      </c>
    </row>
  </sheetData>
  <sheetProtection algorithmName="SHA-512" hashValue="JlQZFL97VXZ5eGKY9wBLjEKZNbtheJlPH83VF3S6U3Eyj1jB+sGuv0TgyNMJK4Ob/S4y2Lv2AM031ieUnaFNHg==" saltValue="JFh/9bLZFxXRp71CCMJH4A==" spinCount="100000" sheet="1" objects="1" scenarios="1"/>
  <mergeCells count="8">
    <mergeCell ref="X22:AD24"/>
    <mergeCell ref="F37:G37"/>
    <mergeCell ref="E3:F3"/>
    <mergeCell ref="E4:F4"/>
    <mergeCell ref="E23:F23"/>
    <mergeCell ref="N32:P32"/>
    <mergeCell ref="N33:P33"/>
    <mergeCell ref="G7:L7"/>
  </mergeCells>
  <printOptions horizontalCentered="1" verticalCentered="1" headings="1" gridLines="1"/>
  <pageMargins left="0" right="0" top="0" bottom="0" header="0.05" footer="0.05"/>
  <pageSetup scale="47" fitToHeight="0" orientation="landscape" r:id="rId1"/>
  <headerFooter>
    <oddHeader>&amp;A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:AF95"/>
  <sheetViews>
    <sheetView workbookViewId="0">
      <selection sqref="A1:L1"/>
    </sheetView>
  </sheetViews>
  <sheetFormatPr defaultRowHeight="15" x14ac:dyDescent="0.25"/>
  <cols>
    <col min="1" max="1" width="4.5703125" customWidth="1"/>
    <col min="2" max="2" width="9.140625" customWidth="1"/>
    <col min="9" max="9" width="9.140625" customWidth="1"/>
    <col min="13" max="13" width="23.5703125" customWidth="1"/>
    <col min="15" max="15" width="9.140625" customWidth="1"/>
    <col min="17" max="17" width="8.85546875" customWidth="1"/>
    <col min="20" max="26" width="10.5703125" customWidth="1"/>
    <col min="27" max="28" width="8.85546875" customWidth="1"/>
  </cols>
  <sheetData>
    <row r="1" spans="1:27" ht="18.75" x14ac:dyDescent="0.3">
      <c r="A1" s="504" t="s">
        <v>587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</row>
    <row r="4" spans="1:27" ht="15.75" x14ac:dyDescent="0.25">
      <c r="A4" s="241" t="s">
        <v>586</v>
      </c>
      <c r="O4" s="503" t="s">
        <v>585</v>
      </c>
      <c r="P4" s="503"/>
      <c r="Q4" s="503"/>
      <c r="R4" s="503"/>
      <c r="S4" s="503"/>
    </row>
    <row r="5" spans="1:27" x14ac:dyDescent="0.25">
      <c r="G5" s="497" t="s">
        <v>584</v>
      </c>
      <c r="H5" s="497"/>
      <c r="I5" s="497"/>
      <c r="J5" s="497"/>
      <c r="K5" s="497"/>
      <c r="L5" s="497"/>
      <c r="O5" s="497" t="s">
        <v>494</v>
      </c>
      <c r="P5" s="497"/>
      <c r="Q5" s="497"/>
      <c r="R5" s="15" t="s">
        <v>583</v>
      </c>
      <c r="S5" s="15" t="s">
        <v>582</v>
      </c>
    </row>
    <row r="6" spans="1:27" x14ac:dyDescent="0.25">
      <c r="B6" s="1" t="s">
        <v>581</v>
      </c>
      <c r="C6" s="517">
        <v>2104004000</v>
      </c>
      <c r="D6" s="517"/>
      <c r="G6" s="2" t="s">
        <v>105</v>
      </c>
      <c r="H6" s="2" t="s">
        <v>100</v>
      </c>
      <c r="I6" s="2" t="s">
        <v>580</v>
      </c>
      <c r="J6" s="2" t="s">
        <v>580</v>
      </c>
      <c r="K6" s="2" t="s">
        <v>101</v>
      </c>
      <c r="L6" s="2" t="s">
        <v>99</v>
      </c>
      <c r="Q6" s="1" t="s">
        <v>579</v>
      </c>
      <c r="R6" s="246">
        <v>2035.3928754647418</v>
      </c>
      <c r="S6" s="246">
        <v>896</v>
      </c>
    </row>
    <row r="7" spans="1:27" x14ac:dyDescent="0.25">
      <c r="B7" s="1" t="s">
        <v>578</v>
      </c>
      <c r="C7" t="s">
        <v>577</v>
      </c>
      <c r="G7" s="2">
        <v>5</v>
      </c>
      <c r="H7" s="2">
        <v>18</v>
      </c>
      <c r="I7" s="245">
        <v>3</v>
      </c>
      <c r="J7" s="244">
        <v>0.4</v>
      </c>
      <c r="K7" s="3" t="s">
        <v>576</v>
      </c>
      <c r="L7" s="2">
        <v>0.71299999999999997</v>
      </c>
      <c r="Q7" s="1" t="s">
        <v>575</v>
      </c>
      <c r="R7" s="243">
        <v>134210.66096932575</v>
      </c>
      <c r="S7" s="242">
        <v>125000</v>
      </c>
    </row>
    <row r="8" spans="1:27" x14ac:dyDescent="0.25">
      <c r="B8" s="1" t="s">
        <v>574</v>
      </c>
      <c r="C8" t="s">
        <v>465</v>
      </c>
    </row>
    <row r="9" spans="1:27" x14ac:dyDescent="0.25">
      <c r="B9" s="1" t="s">
        <v>573</v>
      </c>
      <c r="C9" t="s">
        <v>572</v>
      </c>
      <c r="I9" s="1" t="s">
        <v>571</v>
      </c>
      <c r="J9" s="219">
        <v>2000</v>
      </c>
      <c r="K9">
        <f>142*J9/10000</f>
        <v>28.4</v>
      </c>
      <c r="L9" t="s">
        <v>181</v>
      </c>
    </row>
    <row r="10" spans="1:27" x14ac:dyDescent="0.25">
      <c r="B10" s="1" t="s">
        <v>570</v>
      </c>
      <c r="C10" t="s">
        <v>569</v>
      </c>
      <c r="I10" s="1" t="s">
        <v>568</v>
      </c>
      <c r="J10" s="219">
        <v>15</v>
      </c>
      <c r="K10">
        <f>142*J10/10000</f>
        <v>0.21299999999999999</v>
      </c>
      <c r="L10" t="s">
        <v>181</v>
      </c>
    </row>
    <row r="13" spans="1:27" ht="15.75" x14ac:dyDescent="0.25">
      <c r="A13" s="241" t="s">
        <v>567</v>
      </c>
    </row>
    <row r="14" spans="1:27" x14ac:dyDescent="0.25">
      <c r="T14" s="2"/>
      <c r="U14" s="2"/>
      <c r="V14" s="2"/>
      <c r="W14" s="2"/>
      <c r="X14" s="2"/>
      <c r="Y14" s="2"/>
      <c r="Z14" s="2" t="s">
        <v>566</v>
      </c>
    </row>
    <row r="15" spans="1:27" x14ac:dyDescent="0.25">
      <c r="A15" s="91" t="s">
        <v>565</v>
      </c>
      <c r="S15" s="2" t="s">
        <v>564</v>
      </c>
      <c r="T15" s="2" t="s">
        <v>462</v>
      </c>
      <c r="U15" s="2" t="s">
        <v>91</v>
      </c>
      <c r="V15" s="2" t="s">
        <v>91</v>
      </c>
      <c r="W15" s="2" t="s">
        <v>563</v>
      </c>
      <c r="X15" s="2" t="s">
        <v>91</v>
      </c>
      <c r="Y15" s="2" t="s">
        <v>91</v>
      </c>
      <c r="Z15" s="2" t="s">
        <v>562</v>
      </c>
      <c r="AA15" s="2" t="s">
        <v>619</v>
      </c>
    </row>
    <row r="16" spans="1:27" x14ac:dyDescent="0.25">
      <c r="G16" s="496" t="s">
        <v>561</v>
      </c>
      <c r="H16" s="496"/>
      <c r="I16" s="496"/>
      <c r="O16" s="497" t="s">
        <v>560</v>
      </c>
      <c r="P16" s="497"/>
      <c r="Q16" s="497"/>
      <c r="R16" s="497"/>
      <c r="S16" s="15" t="s">
        <v>559</v>
      </c>
      <c r="T16" s="15" t="s">
        <v>464</v>
      </c>
      <c r="U16" s="15" t="s">
        <v>558</v>
      </c>
      <c r="V16" s="15" t="s">
        <v>557</v>
      </c>
      <c r="W16" s="15" t="s">
        <v>557</v>
      </c>
      <c r="X16" s="15" t="s">
        <v>556</v>
      </c>
      <c r="Y16" s="15" t="s">
        <v>555</v>
      </c>
      <c r="Z16" s="15" t="s">
        <v>554</v>
      </c>
      <c r="AA16" s="15" t="s">
        <v>96</v>
      </c>
    </row>
    <row r="17" spans="2:27" x14ac:dyDescent="0.25">
      <c r="B17" s="5" t="s">
        <v>553</v>
      </c>
      <c r="C17" s="5"/>
      <c r="D17" s="5"/>
      <c r="E17" s="5"/>
      <c r="F17" s="5"/>
      <c r="G17" s="15" t="s">
        <v>206</v>
      </c>
      <c r="H17" s="15"/>
      <c r="I17" s="15" t="s">
        <v>552</v>
      </c>
      <c r="N17" s="59"/>
      <c r="O17" s="59"/>
      <c r="P17" s="59"/>
      <c r="Q17" s="59"/>
      <c r="R17" s="402" t="s">
        <v>548</v>
      </c>
      <c r="S17" s="59">
        <v>3</v>
      </c>
      <c r="T17" s="59">
        <v>5780</v>
      </c>
      <c r="U17" s="59">
        <v>4.5999999999999996</v>
      </c>
      <c r="V17" s="59">
        <v>203.1</v>
      </c>
      <c r="W17" s="59">
        <v>5.6</v>
      </c>
      <c r="X17" s="59">
        <v>1.0999999999999999E-2</v>
      </c>
      <c r="Y17" s="59">
        <v>1.4</v>
      </c>
      <c r="Z17" s="287">
        <f>3405*60/1.49</f>
        <v>137114.09395973154</v>
      </c>
      <c r="AA17" s="403">
        <v>0.86</v>
      </c>
    </row>
    <row r="18" spans="2:27" x14ac:dyDescent="0.25">
      <c r="B18" t="s">
        <v>551</v>
      </c>
      <c r="G18">
        <v>3.5499999999999997E-2</v>
      </c>
      <c r="H18" s="2" t="s">
        <v>544</v>
      </c>
      <c r="I18">
        <v>0.99690000000000001</v>
      </c>
      <c r="N18" s="59"/>
      <c r="O18" s="59"/>
      <c r="P18" s="59"/>
      <c r="Q18" s="59"/>
      <c r="R18" s="402" t="s">
        <v>548</v>
      </c>
      <c r="S18" s="59">
        <v>4</v>
      </c>
      <c r="T18" s="59">
        <f>AVERAGE(1700,1440)</f>
        <v>1570</v>
      </c>
      <c r="U18" s="59">
        <v>1.32</v>
      </c>
      <c r="V18" s="59">
        <v>60</v>
      </c>
      <c r="W18" s="59">
        <v>4.8</v>
      </c>
      <c r="X18" s="59">
        <v>3.0999999999999999E-3</v>
      </c>
      <c r="Y18" s="59">
        <v>0.43</v>
      </c>
      <c r="Z18" s="287">
        <f>10.68/1.5*AVERAGE(19696,19342)</f>
        <v>138975.28</v>
      </c>
      <c r="AA18" s="403">
        <v>0.86</v>
      </c>
    </row>
    <row r="19" spans="2:27" x14ac:dyDescent="0.25">
      <c r="B19" t="s">
        <v>550</v>
      </c>
      <c r="H19" s="2"/>
      <c r="N19" s="59"/>
      <c r="O19" s="59"/>
      <c r="P19" s="59"/>
      <c r="Q19" s="59"/>
      <c r="R19" s="402" t="s">
        <v>548</v>
      </c>
      <c r="S19" s="59">
        <v>2</v>
      </c>
      <c r="T19" s="59">
        <v>332</v>
      </c>
      <c r="U19" s="59">
        <v>0.49</v>
      </c>
      <c r="V19" s="59">
        <v>22</v>
      </c>
      <c r="W19" s="277">
        <f>V19/0.49*0.04</f>
        <v>1.795918367346939</v>
      </c>
      <c r="X19" s="59">
        <v>1.1999999999999999E-3</v>
      </c>
      <c r="Y19" s="59">
        <v>0.16</v>
      </c>
      <c r="Z19" s="287">
        <f>10.74/1.5*19333</f>
        <v>138424.28</v>
      </c>
      <c r="AA19" s="403">
        <v>0.88</v>
      </c>
    </row>
    <row r="20" spans="2:27" x14ac:dyDescent="0.25">
      <c r="B20" s="1" t="s">
        <v>19</v>
      </c>
      <c r="C20" t="s">
        <v>549</v>
      </c>
      <c r="G20">
        <v>8.9999999999999998E-4</v>
      </c>
      <c r="H20" s="2" t="s">
        <v>544</v>
      </c>
      <c r="I20">
        <v>0.98919999999999997</v>
      </c>
      <c r="N20" s="59"/>
      <c r="O20" s="59"/>
      <c r="P20" s="59"/>
      <c r="Q20" s="59"/>
      <c r="R20" s="402" t="s">
        <v>548</v>
      </c>
      <c r="S20" s="59">
        <v>2</v>
      </c>
      <c r="T20" s="59">
        <v>11</v>
      </c>
      <c r="U20" s="59">
        <v>2.5000000000000001E-2</v>
      </c>
      <c r="V20" s="59">
        <v>1.18</v>
      </c>
      <c r="W20" s="59">
        <v>0.36</v>
      </c>
      <c r="X20" s="404">
        <f>V20/19865</f>
        <v>5.940095645607853E-5</v>
      </c>
      <c r="Y20" s="286">
        <v>8.0000000000000002E-3</v>
      </c>
      <c r="Z20" s="287">
        <f>10.29/1.5*19865</f>
        <v>136273.9</v>
      </c>
      <c r="AA20" s="403">
        <v>0.88</v>
      </c>
    </row>
    <row r="21" spans="2:27" x14ac:dyDescent="0.25">
      <c r="B21" s="1" t="s">
        <v>19</v>
      </c>
      <c r="C21" t="s">
        <v>547</v>
      </c>
      <c r="G21">
        <v>1.4E-3</v>
      </c>
      <c r="H21" s="2" t="s">
        <v>544</v>
      </c>
      <c r="I21">
        <v>0.99070000000000003</v>
      </c>
      <c r="R21" s="1" t="s">
        <v>546</v>
      </c>
      <c r="S21">
        <v>3</v>
      </c>
      <c r="T21">
        <v>5780</v>
      </c>
      <c r="U21">
        <v>5.0999999999999996</v>
      </c>
      <c r="V21">
        <v>224.5</v>
      </c>
      <c r="W21">
        <v>4.8</v>
      </c>
      <c r="X21" s="6">
        <v>1.2E-2</v>
      </c>
      <c r="Y21" s="42">
        <v>1.6</v>
      </c>
      <c r="Z21" s="49">
        <f>3405*60/1.49</f>
        <v>137114.09395973154</v>
      </c>
      <c r="AA21" s="95">
        <v>0.874</v>
      </c>
    </row>
    <row r="22" spans="2:27" x14ac:dyDescent="0.25">
      <c r="B22" s="1" t="s">
        <v>19</v>
      </c>
      <c r="C22" t="s">
        <v>536</v>
      </c>
      <c r="G22">
        <v>1.2999999999999999E-3</v>
      </c>
      <c r="H22" s="2" t="s">
        <v>544</v>
      </c>
      <c r="I22">
        <v>0.99990000000000001</v>
      </c>
      <c r="R22" s="1" t="s">
        <v>546</v>
      </c>
      <c r="S22">
        <v>3</v>
      </c>
      <c r="T22">
        <v>1440</v>
      </c>
      <c r="U22">
        <v>1.02</v>
      </c>
      <c r="V22">
        <v>45.9</v>
      </c>
      <c r="W22">
        <v>7.8</v>
      </c>
      <c r="X22" s="99">
        <f>V22/19342</f>
        <v>2.3730741391789888E-3</v>
      </c>
      <c r="Y22" s="14">
        <f>X22*1.5*10^3/10.7</f>
        <v>0.33267394474471806</v>
      </c>
      <c r="Z22" s="49">
        <f>10.7/1.5*19342</f>
        <v>137972.93333333332</v>
      </c>
      <c r="AA22" s="95">
        <v>0.91600000000000004</v>
      </c>
    </row>
    <row r="23" spans="2:27" x14ac:dyDescent="0.25">
      <c r="B23" s="1" t="s">
        <v>19</v>
      </c>
      <c r="C23" t="s">
        <v>545</v>
      </c>
      <c r="G23">
        <v>1.2999999999999999E-3</v>
      </c>
      <c r="H23" s="2" t="s">
        <v>544</v>
      </c>
      <c r="I23">
        <v>0.99609999999999999</v>
      </c>
      <c r="N23" s="278"/>
      <c r="O23" s="278"/>
      <c r="P23" s="278"/>
      <c r="Q23" s="278"/>
      <c r="R23" s="279" t="s">
        <v>542</v>
      </c>
      <c r="S23" s="278">
        <v>3</v>
      </c>
      <c r="T23" s="400">
        <v>1440</v>
      </c>
      <c r="U23" s="278">
        <v>2.1</v>
      </c>
      <c r="V23" s="278">
        <v>95.9</v>
      </c>
      <c r="W23" s="282">
        <f>STDEV(95.7,96.7,95.3)</f>
        <v>0.72111025509280025</v>
      </c>
      <c r="X23" s="278">
        <v>5.0000000000000001E-3</v>
      </c>
      <c r="Y23" s="278">
        <v>0.69</v>
      </c>
      <c r="Z23" s="281">
        <f>1536*60/0.67</f>
        <v>137552.23880597015</v>
      </c>
      <c r="AA23" s="261">
        <v>0.89500000000000002</v>
      </c>
    </row>
    <row r="24" spans="2:27" x14ac:dyDescent="0.25">
      <c r="R24" s="1" t="s">
        <v>542</v>
      </c>
      <c r="S24">
        <v>3</v>
      </c>
      <c r="T24">
        <v>450</v>
      </c>
      <c r="U24">
        <v>0.51</v>
      </c>
      <c r="V24" s="42">
        <f>AVERAGE(23.4,26.7,25.75)</f>
        <v>25.283333333333331</v>
      </c>
      <c r="W24" s="42">
        <f>STDEV(23.4,26.7,25.75)</f>
        <v>1.6987740677716194</v>
      </c>
      <c r="X24">
        <v>1.1999999999999999E-3</v>
      </c>
      <c r="Y24">
        <v>0.18</v>
      </c>
      <c r="Z24" s="49">
        <f>1537*60/0.67</f>
        <v>137641.79104477612</v>
      </c>
      <c r="AA24" s="95">
        <v>0.85699999999999998</v>
      </c>
    </row>
    <row r="25" spans="2:27" x14ac:dyDescent="0.25">
      <c r="G25" s="496" t="s">
        <v>543</v>
      </c>
      <c r="H25" s="496"/>
      <c r="R25" s="1" t="s">
        <v>542</v>
      </c>
      <c r="S25">
        <v>2</v>
      </c>
      <c r="T25">
        <v>11</v>
      </c>
      <c r="U25">
        <v>0.06</v>
      </c>
      <c r="V25">
        <v>2.6</v>
      </c>
      <c r="W25" s="42">
        <v>0.6</v>
      </c>
      <c r="X25">
        <v>1.2999999999999999E-3</v>
      </c>
      <c r="Y25">
        <v>1.7999999999999999E-2</v>
      </c>
      <c r="Z25" s="49">
        <f>1411*60/0.62</f>
        <v>136548.38709677418</v>
      </c>
      <c r="AA25" s="95">
        <v>0.86099999999999999</v>
      </c>
    </row>
    <row r="26" spans="2:27" x14ac:dyDescent="0.25">
      <c r="B26" s="5" t="s">
        <v>541</v>
      </c>
      <c r="C26" s="5"/>
      <c r="D26" s="5"/>
      <c r="E26" s="5"/>
      <c r="F26" s="5"/>
      <c r="G26" s="15" t="s">
        <v>98</v>
      </c>
      <c r="H26" s="15" t="s">
        <v>540</v>
      </c>
      <c r="N26" s="59"/>
      <c r="O26" s="59"/>
      <c r="P26" s="59"/>
      <c r="Q26" s="59"/>
      <c r="R26" s="402" t="s">
        <v>538</v>
      </c>
      <c r="S26" s="59">
        <v>3</v>
      </c>
      <c r="T26" s="59">
        <v>1900</v>
      </c>
      <c r="U26" s="59">
        <v>2.5</v>
      </c>
      <c r="V26" s="59">
        <v>109.8</v>
      </c>
      <c r="W26" s="277">
        <v>2</v>
      </c>
      <c r="X26" s="59">
        <v>5.7000000000000002E-3</v>
      </c>
      <c r="Y26" s="59">
        <v>0.79</v>
      </c>
      <c r="Z26" s="287">
        <f>AVERAGE(1286,1307,1317)*60/AVERAGE(0.56,0.57,0.57)</f>
        <v>138000.00000000003</v>
      </c>
      <c r="AA26" s="387">
        <v>0.91700000000000004</v>
      </c>
    </row>
    <row r="27" spans="2:27" x14ac:dyDescent="0.25">
      <c r="B27" s="1" t="s">
        <v>19</v>
      </c>
      <c r="C27" t="s">
        <v>539</v>
      </c>
      <c r="G27">
        <v>1.0999999999999999E-2</v>
      </c>
      <c r="H27">
        <v>0.63</v>
      </c>
      <c r="N27" s="59"/>
      <c r="O27" s="59"/>
      <c r="P27" s="59"/>
      <c r="Q27" s="59"/>
      <c r="R27" s="402" t="s">
        <v>538</v>
      </c>
      <c r="S27" s="59">
        <v>3</v>
      </c>
      <c r="T27" s="59">
        <v>37</v>
      </c>
      <c r="U27" s="59">
        <v>0.03</v>
      </c>
      <c r="V27" s="59">
        <v>1.34</v>
      </c>
      <c r="W27" s="277">
        <v>0.2</v>
      </c>
      <c r="X27" s="59">
        <v>6.9999999999999994E-5</v>
      </c>
      <c r="Y27" s="59">
        <v>0.01</v>
      </c>
      <c r="Z27" s="287">
        <f>AVERAGE(1330,1309,1254)*60/AVERAGE(0.58,0.57,0.55)</f>
        <v>137400</v>
      </c>
      <c r="AA27" s="387">
        <v>0.91700000000000004</v>
      </c>
    </row>
    <row r="28" spans="2:27" x14ac:dyDescent="0.25">
      <c r="B28" s="1" t="s">
        <v>19</v>
      </c>
      <c r="C28" t="s">
        <v>537</v>
      </c>
      <c r="G28">
        <v>1.6E-2</v>
      </c>
      <c r="H28">
        <v>0.9</v>
      </c>
      <c r="N28" s="278"/>
      <c r="O28" s="278"/>
      <c r="P28" s="278"/>
      <c r="Q28" s="278"/>
      <c r="R28" s="279" t="s">
        <v>535</v>
      </c>
      <c r="S28" s="278">
        <v>3</v>
      </c>
      <c r="T28" s="278">
        <v>1440</v>
      </c>
      <c r="U28" s="278">
        <v>1.8</v>
      </c>
      <c r="V28" s="278">
        <v>77.900000000000006</v>
      </c>
      <c r="W28" s="280">
        <v>7.9</v>
      </c>
      <c r="X28" s="278">
        <v>4.1999999999999997E-3</v>
      </c>
      <c r="Y28" s="278">
        <v>0.56000000000000005</v>
      </c>
      <c r="Z28" s="281">
        <f>1114*60/0.48</f>
        <v>139250</v>
      </c>
      <c r="AA28" s="261">
        <v>0.93700000000000006</v>
      </c>
    </row>
    <row r="29" spans="2:27" x14ac:dyDescent="0.25">
      <c r="B29" s="1" t="s">
        <v>19</v>
      </c>
      <c r="C29" t="s">
        <v>536</v>
      </c>
      <c r="G29">
        <v>3.5999999999999997E-2</v>
      </c>
      <c r="H29">
        <v>1.96</v>
      </c>
      <c r="R29" s="1" t="s">
        <v>535</v>
      </c>
      <c r="S29">
        <v>2</v>
      </c>
      <c r="T29">
        <v>332</v>
      </c>
      <c r="U29">
        <v>0.499</v>
      </c>
      <c r="V29">
        <v>22.4</v>
      </c>
      <c r="W29" s="42">
        <v>0.2</v>
      </c>
      <c r="X29">
        <v>1.6000000000000001E-3</v>
      </c>
      <c r="Y29">
        <v>0.159</v>
      </c>
      <c r="Z29" s="49">
        <f>1080*60/0.48</f>
        <v>135000</v>
      </c>
      <c r="AA29" s="95">
        <v>0.94699999999999995</v>
      </c>
    </row>
    <row r="30" spans="2:27" x14ac:dyDescent="0.25">
      <c r="R30" s="1" t="s">
        <v>535</v>
      </c>
      <c r="S30">
        <v>2</v>
      </c>
      <c r="T30">
        <v>11</v>
      </c>
      <c r="U30">
        <v>1.4E-2</v>
      </c>
      <c r="V30">
        <v>0.85</v>
      </c>
      <c r="W30" s="42">
        <v>0.2</v>
      </c>
      <c r="X30">
        <v>3.0000000000000001E-5</v>
      </c>
      <c r="Y30">
        <v>6.0000000000000001E-3</v>
      </c>
      <c r="Z30" s="49">
        <f>1015*60/0.45</f>
        <v>135333.33333333334</v>
      </c>
      <c r="AA30" s="95">
        <v>0.93500000000000005</v>
      </c>
    </row>
    <row r="31" spans="2:27" x14ac:dyDescent="0.25">
      <c r="R31" s="1" t="s">
        <v>534</v>
      </c>
      <c r="S31">
        <v>3</v>
      </c>
      <c r="T31">
        <v>37</v>
      </c>
      <c r="U31">
        <v>3.9E-2</v>
      </c>
      <c r="V31">
        <v>1.8</v>
      </c>
      <c r="W31" s="42">
        <f>STDEV(1.9,1.6,1.8)</f>
        <v>0.15275252316519458</v>
      </c>
      <c r="X31">
        <v>9.0000000000000006E-5</v>
      </c>
      <c r="Y31">
        <v>1.2999999999999999E-2</v>
      </c>
      <c r="Z31" s="49">
        <f>AVERAGE(1535,1485,1563)*60/AVERAGE(0.67,0.65,0.68)</f>
        <v>137490</v>
      </c>
      <c r="AA31" s="95"/>
    </row>
    <row r="32" spans="2:27" x14ac:dyDescent="0.25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27" x14ac:dyDescent="0.25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O33" s="493" t="s">
        <v>1419</v>
      </c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  <c r="AA33" s="493"/>
    </row>
    <row r="34" spans="1:27" x14ac:dyDescent="0.25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R34" s="1" t="s">
        <v>548</v>
      </c>
      <c r="T34" s="219">
        <v>2000</v>
      </c>
      <c r="U34" s="14">
        <f>TREND(U17:U20,$T17:$T20,$T34)</f>
        <v>1.6683271585769128</v>
      </c>
      <c r="V34" s="14">
        <f>TREND(V17:V20,$T17:$T20,$T34)</f>
        <v>74.195627132190623</v>
      </c>
      <c r="X34" s="323">
        <f>TREND(X17:X20,$T17:$T20,$T34)</f>
        <v>3.9822294293094165E-3</v>
      </c>
      <c r="Y34" s="6">
        <f>TREND(Y17:Y20,$T17:$T20,$T34)</f>
        <v>0.51753065371145945</v>
      </c>
      <c r="Z34" s="49">
        <f>TREND(Z17:Z20,$T17:$T20,$T34)</f>
        <v>137692.77485159552</v>
      </c>
      <c r="AA34" s="95">
        <f>TREND(AA17:AA20,$T17:$T20,$T34)</f>
        <v>0.8697461840902051</v>
      </c>
    </row>
    <row r="35" spans="1:27" x14ac:dyDescent="0.25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R35" s="1" t="s">
        <v>538</v>
      </c>
      <c r="T35" s="219">
        <f>T34</f>
        <v>2000</v>
      </c>
      <c r="U35" s="14">
        <f>TREND(U26:U27,$T26:$T27,$T35)</f>
        <v>2.632581857219539</v>
      </c>
      <c r="V35" s="14">
        <f>TREND(V26:V27,$T26:$T27,$T35)</f>
        <v>115.62179280730004</v>
      </c>
      <c r="X35" s="323">
        <f>TREND(X26:X27,$T26:$T27,$T35)</f>
        <v>6.002200751476114E-3</v>
      </c>
      <c r="Y35" s="6">
        <f>TREND(Y26:Y27,$T26:$T27,$T35)</f>
        <v>0.83186795491143317</v>
      </c>
      <c r="Z35" s="49">
        <f>TREND(Z26:Z27,$T26:$T27,$T35)</f>
        <v>138032.20611916267</v>
      </c>
      <c r="AA35" s="95">
        <f>TREND(AA26:AA27,$T26:$T27,$T35)</f>
        <v>0.91700000000000004</v>
      </c>
    </row>
    <row r="36" spans="1:27" x14ac:dyDescent="0.25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27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T37" s="1" t="s">
        <v>1418</v>
      </c>
      <c r="U37" s="221">
        <f>1-U35/U34</f>
        <v>-0.57797698352230742</v>
      </c>
      <c r="V37" s="221">
        <f>1-V35/V34</f>
        <v>-0.55833702438153798</v>
      </c>
      <c r="X37" s="221">
        <f>1-X35/X34</f>
        <v>-0.50724634479862041</v>
      </c>
      <c r="Y37" s="221">
        <f>1-Y35/Y34</f>
        <v>-0.6073790971524311</v>
      </c>
    </row>
    <row r="38" spans="1:27" x14ac:dyDescent="0.25">
      <c r="A38" s="91" t="s">
        <v>533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T38" s="1" t="s">
        <v>1417</v>
      </c>
      <c r="U38" s="221">
        <f>1-(U35*$AA34/$AA35)/U34</f>
        <v>-0.49666244274885396</v>
      </c>
      <c r="V38" s="221">
        <f>1-(V35*$AA34/$AA35)/V34</f>
        <v>-0.47803454796327971</v>
      </c>
      <c r="X38" s="221">
        <f>1-(X35*$AA34/$AA35)/X34</f>
        <v>-0.42957661600055563</v>
      </c>
      <c r="Y38" s="276">
        <f>1-(Y35*$AA34/$AA35)/Y34</f>
        <v>-0.52454943962343092</v>
      </c>
      <c r="Z38" s="1" t="s">
        <v>621</v>
      </c>
      <c r="AA38" s="283">
        <f>AA35/AA34</f>
        <v>1.0543305814663901</v>
      </c>
    </row>
    <row r="39" spans="1:27" x14ac:dyDescent="0.25">
      <c r="T39" s="1" t="s">
        <v>618</v>
      </c>
      <c r="U39" s="221">
        <f>1-U28/U23</f>
        <v>0.1428571428571429</v>
      </c>
      <c r="V39" s="221">
        <f>1-V28/V23</f>
        <v>0.18769551616266944</v>
      </c>
      <c r="W39" s="95"/>
      <c r="X39" s="221">
        <f>1-X28/X23</f>
        <v>0.16000000000000003</v>
      </c>
      <c r="Y39" s="221">
        <f>1-Y28/Y23</f>
        <v>0.18840579710144911</v>
      </c>
    </row>
    <row r="40" spans="1:27" x14ac:dyDescent="0.25">
      <c r="B40" s="91"/>
      <c r="C40" s="91"/>
      <c r="D40" s="91"/>
      <c r="E40" s="91"/>
      <c r="F40" s="91"/>
      <c r="G40" s="91"/>
      <c r="H40" s="91"/>
      <c r="I40" s="17" t="s">
        <v>532</v>
      </c>
      <c r="J40" s="17" t="s">
        <v>532</v>
      </c>
      <c r="K40" s="17" t="s">
        <v>531</v>
      </c>
      <c r="L40" s="17" t="s">
        <v>530</v>
      </c>
      <c r="T40" s="1" t="s">
        <v>620</v>
      </c>
      <c r="U40" s="221">
        <f>1-(U28*$AA23/$AA28)/U23</f>
        <v>0.1812776337856381</v>
      </c>
      <c r="V40" s="221">
        <f>1-(V28*$AA23/$AA28)/V23</f>
        <v>0.2241061760571923</v>
      </c>
      <c r="X40" s="221">
        <f>1-(X28*$AA23/$AA28)/X23</f>
        <v>0.19765208110992549</v>
      </c>
      <c r="Y40" s="401">
        <f>1-(Y28*$AA23/$AA28)/Y23</f>
        <v>0.22478461942987937</v>
      </c>
      <c r="Z40" s="1" t="s">
        <v>621</v>
      </c>
      <c r="AA40" s="65">
        <f>AA28/AA23</f>
        <v>1.046927374301676</v>
      </c>
    </row>
    <row r="41" spans="1:27" x14ac:dyDescent="0.25">
      <c r="B41" s="240" t="s">
        <v>528</v>
      </c>
      <c r="C41" s="240"/>
      <c r="D41" s="240"/>
      <c r="E41" s="240"/>
      <c r="F41" s="240"/>
      <c r="G41" s="240"/>
      <c r="H41" s="240"/>
      <c r="I41" s="239" t="s">
        <v>527</v>
      </c>
      <c r="J41" s="239" t="s">
        <v>527</v>
      </c>
      <c r="K41" s="239" t="s">
        <v>4</v>
      </c>
      <c r="L41" s="239" t="s">
        <v>4</v>
      </c>
    </row>
    <row r="42" spans="1:27" ht="15" customHeight="1" x14ac:dyDescent="0.25">
      <c r="B42" s="237" t="s">
        <v>526</v>
      </c>
      <c r="T42" s="503" t="s">
        <v>529</v>
      </c>
      <c r="U42" s="503"/>
      <c r="V42" s="503"/>
      <c r="W42" s="503"/>
      <c r="X42" s="503"/>
      <c r="Y42" s="503"/>
      <c r="Z42" s="503"/>
    </row>
    <row r="43" spans="1:27" ht="30" customHeight="1" x14ac:dyDescent="0.25">
      <c r="B43" s="236" t="s">
        <v>19</v>
      </c>
      <c r="C43" s="235" t="s">
        <v>8</v>
      </c>
      <c r="I43" s="234" t="s">
        <v>525</v>
      </c>
      <c r="J43" s="234" t="s">
        <v>524</v>
      </c>
      <c r="K43" s="234" t="s">
        <v>523</v>
      </c>
      <c r="L43" s="234" t="s">
        <v>522</v>
      </c>
    </row>
    <row r="44" spans="1:27" x14ac:dyDescent="0.25">
      <c r="B44" s="1" t="s">
        <v>19</v>
      </c>
      <c r="C44" t="s">
        <v>467</v>
      </c>
      <c r="I44">
        <v>5780</v>
      </c>
      <c r="J44">
        <f>AVERAGE(1700,1440)</f>
        <v>1570</v>
      </c>
      <c r="K44">
        <v>332</v>
      </c>
      <c r="L44">
        <v>11</v>
      </c>
    </row>
    <row r="45" spans="1:27" x14ac:dyDescent="0.25">
      <c r="B45" s="1" t="s">
        <v>19</v>
      </c>
      <c r="C45" t="s">
        <v>500</v>
      </c>
      <c r="I45">
        <v>4.5999999999999996</v>
      </c>
      <c r="J45">
        <v>1.32</v>
      </c>
      <c r="K45">
        <v>0.49</v>
      </c>
      <c r="L45">
        <v>2.5000000000000001E-2</v>
      </c>
    </row>
    <row r="46" spans="1:27" x14ac:dyDescent="0.25">
      <c r="B46" s="1" t="s">
        <v>19</v>
      </c>
      <c r="C46" t="s">
        <v>499</v>
      </c>
      <c r="I46">
        <v>203.1</v>
      </c>
      <c r="J46">
        <v>60</v>
      </c>
      <c r="K46">
        <v>22</v>
      </c>
      <c r="L46">
        <v>1.18</v>
      </c>
    </row>
    <row r="47" spans="1:27" x14ac:dyDescent="0.25">
      <c r="B47" s="1" t="s">
        <v>19</v>
      </c>
      <c r="C47" t="s">
        <v>498</v>
      </c>
      <c r="I47">
        <v>5.6</v>
      </c>
      <c r="J47">
        <v>4.8</v>
      </c>
      <c r="K47" s="42">
        <f>K46/0.49*0.04</f>
        <v>1.795918367346939</v>
      </c>
      <c r="L47">
        <v>0.36</v>
      </c>
    </row>
    <row r="48" spans="1:27" x14ac:dyDescent="0.25">
      <c r="B48" s="1" t="s">
        <v>19</v>
      </c>
      <c r="C48" t="s">
        <v>497</v>
      </c>
      <c r="I48">
        <v>1.0999999999999999E-2</v>
      </c>
      <c r="J48">
        <v>3.0999999999999999E-3</v>
      </c>
      <c r="K48">
        <v>1.1999999999999999E-3</v>
      </c>
      <c r="L48" s="238">
        <f>L46/19865</f>
        <v>5.940095645607853E-5</v>
      </c>
    </row>
    <row r="49" spans="2:32" x14ac:dyDescent="0.25">
      <c r="B49" s="1" t="s">
        <v>19</v>
      </c>
      <c r="C49" t="s">
        <v>496</v>
      </c>
      <c r="I49">
        <v>1.4</v>
      </c>
      <c r="J49">
        <v>0.43</v>
      </c>
      <c r="K49">
        <v>0.16</v>
      </c>
      <c r="L49" s="99">
        <v>8.0000000000000002E-3</v>
      </c>
    </row>
    <row r="50" spans="2:32" x14ac:dyDescent="0.25">
      <c r="B50" s="1" t="s">
        <v>19</v>
      </c>
      <c r="C50" t="s">
        <v>495</v>
      </c>
      <c r="I50" s="49">
        <f>3405*60/1.49</f>
        <v>137114.09395973154</v>
      </c>
      <c r="J50" s="49">
        <f>10.68/1.5*AVERAGE(19696,19342)</f>
        <v>138975.28</v>
      </c>
      <c r="K50" s="49">
        <f>10.74/1.5*19333</f>
        <v>138424.28</v>
      </c>
      <c r="L50" s="49">
        <f>10.29/1.5*19865</f>
        <v>136273.9</v>
      </c>
    </row>
    <row r="51" spans="2:32" x14ac:dyDescent="0.25">
      <c r="B51" s="237" t="s">
        <v>521</v>
      </c>
    </row>
    <row r="52" spans="2:32" ht="30" x14ac:dyDescent="0.25">
      <c r="B52" s="236" t="s">
        <v>19</v>
      </c>
      <c r="C52" s="235" t="s">
        <v>8</v>
      </c>
      <c r="I52" s="234" t="s">
        <v>520</v>
      </c>
      <c r="J52" s="234" t="s">
        <v>519</v>
      </c>
    </row>
    <row r="53" spans="2:32" x14ac:dyDescent="0.25">
      <c r="B53" s="1" t="s">
        <v>19</v>
      </c>
      <c r="C53" t="s">
        <v>467</v>
      </c>
      <c r="I53">
        <v>5780</v>
      </c>
      <c r="J53">
        <v>1440</v>
      </c>
    </row>
    <row r="54" spans="2:32" x14ac:dyDescent="0.25">
      <c r="B54" s="1" t="s">
        <v>19</v>
      </c>
      <c r="C54" t="s">
        <v>500</v>
      </c>
      <c r="I54">
        <v>5.0999999999999996</v>
      </c>
      <c r="J54">
        <v>1.02</v>
      </c>
    </row>
    <row r="55" spans="2:32" x14ac:dyDescent="0.25">
      <c r="B55" s="1" t="s">
        <v>19</v>
      </c>
      <c r="C55" t="s">
        <v>499</v>
      </c>
      <c r="I55">
        <v>224.5</v>
      </c>
      <c r="J55">
        <v>45.9</v>
      </c>
    </row>
    <row r="56" spans="2:32" x14ac:dyDescent="0.25">
      <c r="B56" s="1" t="s">
        <v>19</v>
      </c>
      <c r="C56" t="s">
        <v>498</v>
      </c>
      <c r="I56">
        <v>4.8</v>
      </c>
      <c r="J56">
        <v>7.8</v>
      </c>
    </row>
    <row r="57" spans="2:32" x14ac:dyDescent="0.25">
      <c r="B57" s="1" t="s">
        <v>19</v>
      </c>
      <c r="C57" t="s">
        <v>497</v>
      </c>
      <c r="I57" s="6">
        <v>1.2E-2</v>
      </c>
      <c r="J57" s="99">
        <f>J55/19342</f>
        <v>2.3730741391789888E-3</v>
      </c>
    </row>
    <row r="58" spans="2:32" x14ac:dyDescent="0.25">
      <c r="B58" s="1" t="s">
        <v>19</v>
      </c>
      <c r="C58" t="s">
        <v>496</v>
      </c>
      <c r="I58" s="42">
        <v>1.6</v>
      </c>
      <c r="J58" s="14">
        <f>J57*1.5*10^3/10.7</f>
        <v>0.33267394474471806</v>
      </c>
    </row>
    <row r="59" spans="2:32" x14ac:dyDescent="0.25">
      <c r="B59" s="1" t="s">
        <v>19</v>
      </c>
      <c r="C59" t="s">
        <v>495</v>
      </c>
      <c r="I59" s="49">
        <f>3405*60/1.49</f>
        <v>137114.09395973154</v>
      </c>
      <c r="J59" s="49">
        <f>10.7/1.5*19342</f>
        <v>137972.93333333332</v>
      </c>
    </row>
    <row r="60" spans="2:32" x14ac:dyDescent="0.25">
      <c r="B60" s="237" t="s">
        <v>518</v>
      </c>
      <c r="T60" s="503" t="s">
        <v>472</v>
      </c>
      <c r="U60" s="503"/>
      <c r="V60" s="503"/>
      <c r="W60" s="503"/>
      <c r="X60" s="503"/>
      <c r="Y60" s="503"/>
      <c r="Z60" s="503"/>
    </row>
    <row r="61" spans="2:32" ht="30" x14ac:dyDescent="0.25">
      <c r="B61" s="236" t="s">
        <v>19</v>
      </c>
      <c r="C61" s="235" t="s">
        <v>8</v>
      </c>
      <c r="J61" s="234" t="s">
        <v>517</v>
      </c>
      <c r="K61" s="234" t="s">
        <v>516</v>
      </c>
      <c r="L61" s="234" t="s">
        <v>515</v>
      </c>
      <c r="N61" s="518" t="s">
        <v>514</v>
      </c>
      <c r="O61" s="518"/>
      <c r="P61" s="518"/>
      <c r="Q61" s="518"/>
      <c r="R61" s="518"/>
      <c r="S61" s="518"/>
      <c r="AA61" s="518" t="s">
        <v>513</v>
      </c>
      <c r="AB61" s="518"/>
      <c r="AC61" s="518"/>
      <c r="AD61" s="518"/>
      <c r="AE61" s="518"/>
      <c r="AF61" s="518"/>
    </row>
    <row r="62" spans="2:32" x14ac:dyDescent="0.25">
      <c r="B62" s="1" t="s">
        <v>19</v>
      </c>
      <c r="C62" t="s">
        <v>467</v>
      </c>
      <c r="J62">
        <v>1440</v>
      </c>
      <c r="K62">
        <v>450</v>
      </c>
      <c r="L62">
        <v>11</v>
      </c>
      <c r="N62" s="59">
        <f t="array" ref="N62:S66">LINEST($X$17:$X$31,$T$17:$T$31,TRUE,TRUE)</f>
        <v>1.942443864412639E-6</v>
      </c>
      <c r="O62">
        <v>5.9763082405351123E-4</v>
      </c>
      <c r="P62" t="e">
        <v>#N/A</v>
      </c>
      <c r="Q62" t="e">
        <v>#N/A</v>
      </c>
      <c r="R62" t="e">
        <v>#N/A</v>
      </c>
      <c r="S62" t="e">
        <v>#N/A</v>
      </c>
      <c r="AA62">
        <f t="array" ref="AA62:AF66">LINEST($X$17:$X$31,$T$17:$T$31,FALSE,TRUE)</f>
        <v>2.0970087117246603E-6</v>
      </c>
      <c r="AB62">
        <v>0</v>
      </c>
      <c r="AC62" t="e">
        <v>#N/A</v>
      </c>
      <c r="AD62" t="e">
        <v>#N/A</v>
      </c>
      <c r="AE62" t="e">
        <v>#N/A</v>
      </c>
      <c r="AF62" t="e">
        <v>#N/A</v>
      </c>
    </row>
    <row r="63" spans="2:32" x14ac:dyDescent="0.25">
      <c r="B63" s="1" t="s">
        <v>19</v>
      </c>
      <c r="C63" t="s">
        <v>500</v>
      </c>
      <c r="J63">
        <v>2.1</v>
      </c>
      <c r="K63">
        <v>0.51</v>
      </c>
      <c r="L63">
        <v>0.06</v>
      </c>
      <c r="N63" s="59">
        <v>1.1802757246404243E-7</v>
      </c>
      <c r="O63">
        <v>2.7178574676352046E-4</v>
      </c>
      <c r="P63" t="e">
        <v>#N/A</v>
      </c>
      <c r="Q63" t="e">
        <v>#N/A</v>
      </c>
      <c r="R63" t="e">
        <v>#N/A</v>
      </c>
      <c r="S63" t="e">
        <v>#N/A</v>
      </c>
      <c r="AA63">
        <v>1.0701492213471273E-7</v>
      </c>
      <c r="AB63" t="e">
        <v>#N/A</v>
      </c>
      <c r="AC63" t="e">
        <v>#N/A</v>
      </c>
      <c r="AD63" t="e">
        <v>#N/A</v>
      </c>
      <c r="AE63" t="e">
        <v>#N/A</v>
      </c>
      <c r="AF63" t="e">
        <v>#N/A</v>
      </c>
    </row>
    <row r="64" spans="2:32" x14ac:dyDescent="0.25">
      <c r="B64" s="1" t="s">
        <v>19</v>
      </c>
      <c r="C64" t="s">
        <v>499</v>
      </c>
      <c r="J64">
        <v>95.9</v>
      </c>
      <c r="K64" s="42">
        <f>AVERAGE(23.4,26.7,25.75)</f>
        <v>25.283333333333331</v>
      </c>
      <c r="L64">
        <v>2.6</v>
      </c>
      <c r="N64" s="59">
        <v>0.95420127970725499</v>
      </c>
      <c r="O64">
        <v>8.4558728590953766E-4</v>
      </c>
      <c r="P64" t="e">
        <v>#N/A</v>
      </c>
      <c r="Q64" t="e">
        <v>#N/A</v>
      </c>
      <c r="R64" t="e">
        <v>#N/A</v>
      </c>
      <c r="S64" t="e">
        <v>#N/A</v>
      </c>
      <c r="AA64">
        <v>0.9648226018241548</v>
      </c>
      <c r="AB64">
        <v>9.544060239697076E-4</v>
      </c>
      <c r="AC64" t="e">
        <v>#N/A</v>
      </c>
      <c r="AD64" t="e">
        <v>#N/A</v>
      </c>
      <c r="AE64" t="e">
        <v>#N/A</v>
      </c>
      <c r="AF64" t="e">
        <v>#N/A</v>
      </c>
    </row>
    <row r="65" spans="2:32" x14ac:dyDescent="0.25">
      <c r="B65" s="1" t="s">
        <v>19</v>
      </c>
      <c r="C65" t="s">
        <v>498</v>
      </c>
      <c r="J65" s="14">
        <f>STDEV(95.7,96.7,95.3)</f>
        <v>0.72111025509280025</v>
      </c>
      <c r="K65" s="42">
        <f>STDEV(23.4,26.7,25.75)</f>
        <v>1.6987740677716194</v>
      </c>
      <c r="L65" s="42">
        <v>0.6</v>
      </c>
      <c r="N65">
        <v>270.85072589155544</v>
      </c>
      <c r="O65">
        <v>13</v>
      </c>
      <c r="P65" t="e">
        <v>#N/A</v>
      </c>
      <c r="Q65" t="e">
        <v>#N/A</v>
      </c>
      <c r="R65" t="e">
        <v>#N/A</v>
      </c>
      <c r="S65" t="e">
        <v>#N/A</v>
      </c>
      <c r="AA65">
        <v>383.98281641003246</v>
      </c>
      <c r="AB65">
        <v>14</v>
      </c>
      <c r="AC65" t="e">
        <v>#N/A</v>
      </c>
      <c r="AD65" t="e">
        <v>#N/A</v>
      </c>
      <c r="AE65" t="e">
        <v>#N/A</v>
      </c>
      <c r="AF65" t="e">
        <v>#N/A</v>
      </c>
    </row>
    <row r="66" spans="2:32" x14ac:dyDescent="0.25">
      <c r="B66" s="1" t="s">
        <v>19</v>
      </c>
      <c r="C66" t="s">
        <v>497</v>
      </c>
      <c r="J66">
        <v>5.0000000000000001E-3</v>
      </c>
      <c r="K66">
        <v>1.1999999999999999E-3</v>
      </c>
      <c r="L66">
        <v>1.2999999999999999E-3</v>
      </c>
      <c r="N66">
        <v>1.9366310588960492E-4</v>
      </c>
      <c r="O66">
        <v>9.2952321551941554E-6</v>
      </c>
      <c r="P66" t="e">
        <v>#N/A</v>
      </c>
      <c r="Q66" t="e">
        <v>#N/A</v>
      </c>
      <c r="R66" t="e">
        <v>#N/A</v>
      </c>
      <c r="S66" t="e">
        <v>#N/A</v>
      </c>
      <c r="AA66">
        <v>3.4976643732341256E-4</v>
      </c>
      <c r="AB66">
        <v>1.2752472020255325E-5</v>
      </c>
      <c r="AC66" t="e">
        <v>#N/A</v>
      </c>
      <c r="AD66" t="e">
        <v>#N/A</v>
      </c>
      <c r="AE66" t="e">
        <v>#N/A</v>
      </c>
      <c r="AF66" t="e">
        <v>#N/A</v>
      </c>
    </row>
    <row r="67" spans="2:32" x14ac:dyDescent="0.25">
      <c r="B67" s="1" t="s">
        <v>19</v>
      </c>
      <c r="C67" t="s">
        <v>496</v>
      </c>
      <c r="J67">
        <v>0.69</v>
      </c>
      <c r="K67">
        <v>0.18</v>
      </c>
      <c r="L67">
        <v>1.7999999999999999E-2</v>
      </c>
    </row>
    <row r="68" spans="2:32" x14ac:dyDescent="0.25">
      <c r="B68" s="1" t="s">
        <v>19</v>
      </c>
      <c r="C68" t="s">
        <v>495</v>
      </c>
      <c r="J68" s="49">
        <f>1536*60/0.67</f>
        <v>137552.23880597015</v>
      </c>
      <c r="K68" s="49">
        <f>1537*60/0.67</f>
        <v>137641.79104477612</v>
      </c>
      <c r="L68" s="49">
        <f>1411*60/0.62</f>
        <v>136548.38709677418</v>
      </c>
      <c r="N68" s="136" t="s">
        <v>512</v>
      </c>
    </row>
    <row r="69" spans="2:32" x14ac:dyDescent="0.25">
      <c r="B69" s="237" t="s">
        <v>511</v>
      </c>
      <c r="N69" s="223" t="s">
        <v>510</v>
      </c>
      <c r="O69" s="224">
        <f>$N$62</f>
        <v>1.942443864412639E-6</v>
      </c>
      <c r="P69" s="225" t="s">
        <v>473</v>
      </c>
      <c r="Q69" s="224">
        <f>$O$62</f>
        <v>5.9763082405351123E-4</v>
      </c>
    </row>
    <row r="70" spans="2:32" ht="30" x14ac:dyDescent="0.25">
      <c r="B70" s="236" t="s">
        <v>19</v>
      </c>
      <c r="C70" s="235" t="s">
        <v>8</v>
      </c>
      <c r="J70" s="234" t="s">
        <v>509</v>
      </c>
      <c r="L70" s="234" t="s">
        <v>508</v>
      </c>
    </row>
    <row r="71" spans="2:32" x14ac:dyDescent="0.25">
      <c r="B71" s="1" t="s">
        <v>19</v>
      </c>
      <c r="C71" t="s">
        <v>467</v>
      </c>
      <c r="J71">
        <v>1900</v>
      </c>
      <c r="L71">
        <v>37</v>
      </c>
    </row>
    <row r="72" spans="2:32" x14ac:dyDescent="0.25">
      <c r="B72" s="1" t="s">
        <v>19</v>
      </c>
      <c r="C72" t="s">
        <v>500</v>
      </c>
      <c r="J72">
        <v>2.5</v>
      </c>
      <c r="L72">
        <v>0.03</v>
      </c>
    </row>
    <row r="73" spans="2:32" x14ac:dyDescent="0.25">
      <c r="B73" s="1" t="s">
        <v>19</v>
      </c>
      <c r="C73" t="s">
        <v>499</v>
      </c>
      <c r="J73">
        <v>109.8</v>
      </c>
      <c r="L73">
        <v>1.34</v>
      </c>
    </row>
    <row r="74" spans="2:32" x14ac:dyDescent="0.25">
      <c r="B74" s="1" t="s">
        <v>19</v>
      </c>
      <c r="C74" t="s">
        <v>498</v>
      </c>
      <c r="J74" s="42">
        <v>2</v>
      </c>
      <c r="L74" s="42">
        <v>0.2</v>
      </c>
    </row>
    <row r="75" spans="2:32" x14ac:dyDescent="0.25">
      <c r="B75" s="1" t="s">
        <v>19</v>
      </c>
      <c r="C75" t="s">
        <v>497</v>
      </c>
      <c r="J75">
        <v>5.7000000000000002E-3</v>
      </c>
      <c r="L75">
        <v>6.9999999999999994E-5</v>
      </c>
    </row>
    <row r="76" spans="2:32" x14ac:dyDescent="0.25">
      <c r="B76" s="1" t="s">
        <v>19</v>
      </c>
      <c r="C76" t="s">
        <v>496</v>
      </c>
      <c r="J76">
        <v>0.79</v>
      </c>
      <c r="L76">
        <v>0.01</v>
      </c>
    </row>
    <row r="77" spans="2:32" x14ac:dyDescent="0.25">
      <c r="B77" s="1" t="s">
        <v>19</v>
      </c>
      <c r="C77" t="s">
        <v>495</v>
      </c>
      <c r="J77" s="49">
        <f>AVERAGE(1286,1307,1317)*60/AVERAGE(0.56,0.57,0.57)</f>
        <v>138000.00000000003</v>
      </c>
      <c r="L77" s="49">
        <f>AVERAGE(1330,1309,1254)*60/AVERAGE(0.58,0.57,0.55)</f>
        <v>137400</v>
      </c>
    </row>
    <row r="78" spans="2:32" x14ac:dyDescent="0.25">
      <c r="B78" s="237" t="s">
        <v>506</v>
      </c>
      <c r="T78" s="503" t="s">
        <v>507</v>
      </c>
      <c r="U78" s="503"/>
      <c r="V78" s="503"/>
      <c r="W78" s="503"/>
      <c r="X78" s="503"/>
      <c r="Y78" s="503"/>
      <c r="Z78" s="503"/>
    </row>
    <row r="79" spans="2:32" ht="30" x14ac:dyDescent="0.25">
      <c r="B79" s="236" t="s">
        <v>19</v>
      </c>
      <c r="C79" s="235" t="s">
        <v>8</v>
      </c>
      <c r="J79" s="234" t="s">
        <v>505</v>
      </c>
      <c r="K79" s="234" t="s">
        <v>504</v>
      </c>
      <c r="L79" s="234" t="s">
        <v>503</v>
      </c>
    </row>
    <row r="80" spans="2:32" x14ac:dyDescent="0.25">
      <c r="B80" s="1" t="s">
        <v>19</v>
      </c>
      <c r="C80" t="s">
        <v>467</v>
      </c>
      <c r="J80">
        <v>1440</v>
      </c>
      <c r="K80">
        <v>332</v>
      </c>
      <c r="L80">
        <v>11</v>
      </c>
    </row>
    <row r="81" spans="2:12" x14ac:dyDescent="0.25">
      <c r="B81" s="1" t="s">
        <v>19</v>
      </c>
      <c r="C81" t="s">
        <v>500</v>
      </c>
      <c r="J81">
        <v>1.8</v>
      </c>
      <c r="K81">
        <v>0.499</v>
      </c>
      <c r="L81">
        <v>1.4E-2</v>
      </c>
    </row>
    <row r="82" spans="2:12" x14ac:dyDescent="0.25">
      <c r="B82" s="1" t="s">
        <v>19</v>
      </c>
      <c r="C82" t="s">
        <v>499</v>
      </c>
      <c r="J82">
        <v>77.900000000000006</v>
      </c>
      <c r="K82">
        <v>22.4</v>
      </c>
      <c r="L82">
        <v>0.85</v>
      </c>
    </row>
    <row r="83" spans="2:12" x14ac:dyDescent="0.25">
      <c r="B83" s="1" t="s">
        <v>19</v>
      </c>
      <c r="C83" t="s">
        <v>498</v>
      </c>
      <c r="J83" s="42">
        <v>7.9</v>
      </c>
      <c r="K83" s="42">
        <v>0.2</v>
      </c>
      <c r="L83" s="42">
        <v>0.2</v>
      </c>
    </row>
    <row r="84" spans="2:12" x14ac:dyDescent="0.25">
      <c r="B84" s="1" t="s">
        <v>19</v>
      </c>
      <c r="C84" t="s">
        <v>497</v>
      </c>
      <c r="J84">
        <v>4.1999999999999997E-3</v>
      </c>
      <c r="K84">
        <v>1.6000000000000001E-3</v>
      </c>
      <c r="L84">
        <v>3.0000000000000001E-5</v>
      </c>
    </row>
    <row r="85" spans="2:12" x14ac:dyDescent="0.25">
      <c r="B85" s="1" t="s">
        <v>19</v>
      </c>
      <c r="C85" t="s">
        <v>496</v>
      </c>
      <c r="J85">
        <v>0.56000000000000005</v>
      </c>
      <c r="K85">
        <v>0.159</v>
      </c>
      <c r="L85">
        <v>6.0000000000000001E-3</v>
      </c>
    </row>
    <row r="86" spans="2:12" x14ac:dyDescent="0.25">
      <c r="B86" s="1" t="s">
        <v>19</v>
      </c>
      <c r="C86" t="s">
        <v>495</v>
      </c>
      <c r="J86" s="49">
        <f>1114*60/0.48</f>
        <v>139250</v>
      </c>
      <c r="K86" s="49">
        <f>1080*60/0.48</f>
        <v>135000</v>
      </c>
      <c r="L86" s="49">
        <f>1015*60/0.45</f>
        <v>135333.33333333334</v>
      </c>
    </row>
    <row r="87" spans="2:12" x14ac:dyDescent="0.25">
      <c r="B87" s="237" t="s">
        <v>502</v>
      </c>
    </row>
    <row r="88" spans="2:12" ht="30" x14ac:dyDescent="0.25">
      <c r="B88" s="236" t="s">
        <v>19</v>
      </c>
      <c r="C88" s="235" t="s">
        <v>8</v>
      </c>
      <c r="J88" s="234"/>
      <c r="K88" s="234"/>
      <c r="L88" s="234" t="s">
        <v>501</v>
      </c>
    </row>
    <row r="89" spans="2:12" x14ac:dyDescent="0.25">
      <c r="B89" s="1" t="s">
        <v>19</v>
      </c>
      <c r="C89" t="s">
        <v>467</v>
      </c>
      <c r="L89">
        <v>37</v>
      </c>
    </row>
    <row r="90" spans="2:12" x14ac:dyDescent="0.25">
      <c r="B90" s="1" t="s">
        <v>19</v>
      </c>
      <c r="C90" t="s">
        <v>500</v>
      </c>
      <c r="L90">
        <v>3.9E-2</v>
      </c>
    </row>
    <row r="91" spans="2:12" x14ac:dyDescent="0.25">
      <c r="B91" s="1" t="s">
        <v>19</v>
      </c>
      <c r="C91" t="s">
        <v>499</v>
      </c>
      <c r="L91">
        <v>1.8</v>
      </c>
    </row>
    <row r="92" spans="2:12" x14ac:dyDescent="0.25">
      <c r="B92" s="1" t="s">
        <v>19</v>
      </c>
      <c r="C92" t="s">
        <v>498</v>
      </c>
      <c r="J92" s="42"/>
      <c r="K92" s="42"/>
      <c r="L92" s="42">
        <f>STDEV(1.9,1.6,1.8)</f>
        <v>0.15275252316519458</v>
      </c>
    </row>
    <row r="93" spans="2:12" x14ac:dyDescent="0.25">
      <c r="B93" s="1" t="s">
        <v>19</v>
      </c>
      <c r="C93" t="s">
        <v>497</v>
      </c>
      <c r="L93">
        <v>9.0000000000000006E-5</v>
      </c>
    </row>
    <row r="94" spans="2:12" x14ac:dyDescent="0.25">
      <c r="B94" s="1" t="s">
        <v>19</v>
      </c>
      <c r="C94" t="s">
        <v>496</v>
      </c>
      <c r="L94">
        <v>1.2999999999999999E-2</v>
      </c>
    </row>
    <row r="95" spans="2:12" x14ac:dyDescent="0.25">
      <c r="B95" s="1" t="s">
        <v>19</v>
      </c>
      <c r="C95" t="s">
        <v>495</v>
      </c>
      <c r="L95" s="49">
        <f>AVERAGE(1535,1485,1563)*60/AVERAGE(0.67,0.65,0.68)</f>
        <v>137490</v>
      </c>
    </row>
  </sheetData>
  <sheetProtection algorithmName="SHA-512" hashValue="ei4aDcFxqQcWoblo4i6qTb9OwSAM92Xa+qcl94DOG2/ewdDAkpWYJRjr/snqELi3xpOGx5NcY3x9ocBxdQqbpg==" saltValue="XbAK+3rAHwZCHNsb8FxOpw==" spinCount="100000" sheet="1" objects="1" scenarios="1"/>
  <mergeCells count="14">
    <mergeCell ref="T78:Z78"/>
    <mergeCell ref="N61:S61"/>
    <mergeCell ref="AA61:AF61"/>
    <mergeCell ref="G25:H25"/>
    <mergeCell ref="O16:R16"/>
    <mergeCell ref="T42:Z42"/>
    <mergeCell ref="T60:Z60"/>
    <mergeCell ref="O33:AA33"/>
    <mergeCell ref="O4:S4"/>
    <mergeCell ref="A1:L1"/>
    <mergeCell ref="G5:L5"/>
    <mergeCell ref="C6:D6"/>
    <mergeCell ref="G16:I16"/>
    <mergeCell ref="O5:Q5"/>
  </mergeCells>
  <pageMargins left="0.7" right="0.7" top="0.75" bottom="0.75" header="0.3" footer="0.3"/>
  <pageSetup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44EC-CABC-44FF-9E7B-2431EE34C758}">
  <sheetPr codeName="Sheet16"/>
  <dimension ref="A1:GD464"/>
  <sheetViews>
    <sheetView zoomScale="75" zoomScaleNormal="75" workbookViewId="0">
      <pane ySplit="5" topLeftCell="A6" activePane="bottomLeft" state="frozen"/>
      <selection activeCell="C11" sqref="C11"/>
      <selection pane="bottomLeft" activeCell="C11" sqref="C11"/>
    </sheetView>
  </sheetViews>
  <sheetFormatPr defaultRowHeight="12.75" x14ac:dyDescent="0.2"/>
  <cols>
    <col min="1" max="4" width="8.85546875" style="346"/>
    <col min="5" max="5" width="11" style="346" customWidth="1"/>
    <col min="6" max="10" width="8.85546875" style="346"/>
    <col min="11" max="24" width="9.140625" style="346" customWidth="1"/>
    <col min="25" max="26" width="10.5703125" style="346" customWidth="1"/>
    <col min="27" max="176" width="9.140625" style="346" customWidth="1"/>
    <col min="177" max="305" width="8.85546875" style="346"/>
    <col min="306" max="306" width="12.5703125" style="346" bestFit="1" customWidth="1"/>
    <col min="307" max="311" width="14.5703125" style="346" customWidth="1"/>
    <col min="312" max="312" width="8.85546875" style="346"/>
    <col min="313" max="313" width="11.5703125" style="346" customWidth="1"/>
    <col min="314" max="318" width="14.5703125" style="346" customWidth="1"/>
    <col min="319" max="319" width="8.85546875" style="346"/>
    <col min="320" max="320" width="11.5703125" style="346" customWidth="1"/>
    <col min="321" max="325" width="14.5703125" style="346" customWidth="1"/>
    <col min="326" max="326" width="8.85546875" style="346"/>
    <col min="327" max="327" width="14.5703125" style="346" customWidth="1"/>
    <col min="328" max="561" width="8.85546875" style="346"/>
    <col min="562" max="562" width="12.5703125" style="346" bestFit="1" customWidth="1"/>
    <col min="563" max="567" width="14.5703125" style="346" customWidth="1"/>
    <col min="568" max="568" width="8.85546875" style="346"/>
    <col min="569" max="569" width="11.5703125" style="346" customWidth="1"/>
    <col min="570" max="574" width="14.5703125" style="346" customWidth="1"/>
    <col min="575" max="575" width="8.85546875" style="346"/>
    <col min="576" max="576" width="11.5703125" style="346" customWidth="1"/>
    <col min="577" max="581" width="14.5703125" style="346" customWidth="1"/>
    <col min="582" max="582" width="8.85546875" style="346"/>
    <col min="583" max="583" width="14.5703125" style="346" customWidth="1"/>
    <col min="584" max="817" width="8.85546875" style="346"/>
    <col min="818" max="818" width="12.5703125" style="346" bestFit="1" customWidth="1"/>
    <col min="819" max="823" width="14.5703125" style="346" customWidth="1"/>
    <col min="824" max="824" width="8.85546875" style="346"/>
    <col min="825" max="825" width="11.5703125" style="346" customWidth="1"/>
    <col min="826" max="830" width="14.5703125" style="346" customWidth="1"/>
    <col min="831" max="831" width="8.85546875" style="346"/>
    <col min="832" max="832" width="11.5703125" style="346" customWidth="1"/>
    <col min="833" max="837" width="14.5703125" style="346" customWidth="1"/>
    <col min="838" max="838" width="8.85546875" style="346"/>
    <col min="839" max="839" width="14.5703125" style="346" customWidth="1"/>
    <col min="840" max="1073" width="8.85546875" style="346"/>
    <col min="1074" max="1074" width="12.5703125" style="346" bestFit="1" customWidth="1"/>
    <col min="1075" max="1079" width="14.5703125" style="346" customWidth="1"/>
    <col min="1080" max="1080" width="8.85546875" style="346"/>
    <col min="1081" max="1081" width="11.5703125" style="346" customWidth="1"/>
    <col min="1082" max="1086" width="14.5703125" style="346" customWidth="1"/>
    <col min="1087" max="1087" width="8.85546875" style="346"/>
    <col min="1088" max="1088" width="11.5703125" style="346" customWidth="1"/>
    <col min="1089" max="1093" width="14.5703125" style="346" customWidth="1"/>
    <col min="1094" max="1094" width="8.85546875" style="346"/>
    <col min="1095" max="1095" width="14.5703125" style="346" customWidth="1"/>
    <col min="1096" max="1329" width="8.85546875" style="346"/>
    <col min="1330" max="1330" width="12.5703125" style="346" bestFit="1" customWidth="1"/>
    <col min="1331" max="1335" width="14.5703125" style="346" customWidth="1"/>
    <col min="1336" max="1336" width="8.85546875" style="346"/>
    <col min="1337" max="1337" width="11.5703125" style="346" customWidth="1"/>
    <col min="1338" max="1342" width="14.5703125" style="346" customWidth="1"/>
    <col min="1343" max="1343" width="8.85546875" style="346"/>
    <col min="1344" max="1344" width="11.5703125" style="346" customWidth="1"/>
    <col min="1345" max="1349" width="14.5703125" style="346" customWidth="1"/>
    <col min="1350" max="1350" width="8.85546875" style="346"/>
    <col min="1351" max="1351" width="14.5703125" style="346" customWidth="1"/>
    <col min="1352" max="1585" width="8.85546875" style="346"/>
    <col min="1586" max="1586" width="12.5703125" style="346" bestFit="1" customWidth="1"/>
    <col min="1587" max="1591" width="14.5703125" style="346" customWidth="1"/>
    <col min="1592" max="1592" width="8.85546875" style="346"/>
    <col min="1593" max="1593" width="11.5703125" style="346" customWidth="1"/>
    <col min="1594" max="1598" width="14.5703125" style="346" customWidth="1"/>
    <col min="1599" max="1599" width="8.85546875" style="346"/>
    <col min="1600" max="1600" width="11.5703125" style="346" customWidth="1"/>
    <col min="1601" max="1605" width="14.5703125" style="346" customWidth="1"/>
    <col min="1606" max="1606" width="8.85546875" style="346"/>
    <col min="1607" max="1607" width="14.5703125" style="346" customWidth="1"/>
    <col min="1608" max="1841" width="8.85546875" style="346"/>
    <col min="1842" max="1842" width="12.5703125" style="346" bestFit="1" customWidth="1"/>
    <col min="1843" max="1847" width="14.5703125" style="346" customWidth="1"/>
    <col min="1848" max="1848" width="8.85546875" style="346"/>
    <col min="1849" max="1849" width="11.5703125" style="346" customWidth="1"/>
    <col min="1850" max="1854" width="14.5703125" style="346" customWidth="1"/>
    <col min="1855" max="1855" width="8.85546875" style="346"/>
    <col min="1856" max="1856" width="11.5703125" style="346" customWidth="1"/>
    <col min="1857" max="1861" width="14.5703125" style="346" customWidth="1"/>
    <col min="1862" max="1862" width="8.85546875" style="346"/>
    <col min="1863" max="1863" width="14.5703125" style="346" customWidth="1"/>
    <col min="1864" max="2097" width="8.85546875" style="346"/>
    <col min="2098" max="2098" width="12.5703125" style="346" bestFit="1" customWidth="1"/>
    <col min="2099" max="2103" width="14.5703125" style="346" customWidth="1"/>
    <col min="2104" max="2104" width="8.85546875" style="346"/>
    <col min="2105" max="2105" width="11.5703125" style="346" customWidth="1"/>
    <col min="2106" max="2110" width="14.5703125" style="346" customWidth="1"/>
    <col min="2111" max="2111" width="8.85546875" style="346"/>
    <col min="2112" max="2112" width="11.5703125" style="346" customWidth="1"/>
    <col min="2113" max="2117" width="14.5703125" style="346" customWidth="1"/>
    <col min="2118" max="2118" width="8.85546875" style="346"/>
    <col min="2119" max="2119" width="14.5703125" style="346" customWidth="1"/>
    <col min="2120" max="2353" width="8.85546875" style="346"/>
    <col min="2354" max="2354" width="12.5703125" style="346" bestFit="1" customWidth="1"/>
    <col min="2355" max="2359" width="14.5703125" style="346" customWidth="1"/>
    <col min="2360" max="2360" width="8.85546875" style="346"/>
    <col min="2361" max="2361" width="11.5703125" style="346" customWidth="1"/>
    <col min="2362" max="2366" width="14.5703125" style="346" customWidth="1"/>
    <col min="2367" max="2367" width="8.85546875" style="346"/>
    <col min="2368" max="2368" width="11.5703125" style="346" customWidth="1"/>
    <col min="2369" max="2373" width="14.5703125" style="346" customWidth="1"/>
    <col min="2374" max="2374" width="8.85546875" style="346"/>
    <col min="2375" max="2375" width="14.5703125" style="346" customWidth="1"/>
    <col min="2376" max="2609" width="8.85546875" style="346"/>
    <col min="2610" max="2610" width="12.5703125" style="346" bestFit="1" customWidth="1"/>
    <col min="2611" max="2615" width="14.5703125" style="346" customWidth="1"/>
    <col min="2616" max="2616" width="8.85546875" style="346"/>
    <col min="2617" max="2617" width="11.5703125" style="346" customWidth="1"/>
    <col min="2618" max="2622" width="14.5703125" style="346" customWidth="1"/>
    <col min="2623" max="2623" width="8.85546875" style="346"/>
    <col min="2624" max="2624" width="11.5703125" style="346" customWidth="1"/>
    <col min="2625" max="2629" width="14.5703125" style="346" customWidth="1"/>
    <col min="2630" max="2630" width="8.85546875" style="346"/>
    <col min="2631" max="2631" width="14.5703125" style="346" customWidth="1"/>
    <col min="2632" max="2865" width="8.85546875" style="346"/>
    <col min="2866" max="2866" width="12.5703125" style="346" bestFit="1" customWidth="1"/>
    <col min="2867" max="2871" width="14.5703125" style="346" customWidth="1"/>
    <col min="2872" max="2872" width="8.85546875" style="346"/>
    <col min="2873" max="2873" width="11.5703125" style="346" customWidth="1"/>
    <col min="2874" max="2878" width="14.5703125" style="346" customWidth="1"/>
    <col min="2879" max="2879" width="8.85546875" style="346"/>
    <col min="2880" max="2880" width="11.5703125" style="346" customWidth="1"/>
    <col min="2881" max="2885" width="14.5703125" style="346" customWidth="1"/>
    <col min="2886" max="2886" width="8.85546875" style="346"/>
    <col min="2887" max="2887" width="14.5703125" style="346" customWidth="1"/>
    <col min="2888" max="3121" width="8.85546875" style="346"/>
    <col min="3122" max="3122" width="12.5703125" style="346" bestFit="1" customWidth="1"/>
    <col min="3123" max="3127" width="14.5703125" style="346" customWidth="1"/>
    <col min="3128" max="3128" width="8.85546875" style="346"/>
    <col min="3129" max="3129" width="11.5703125" style="346" customWidth="1"/>
    <col min="3130" max="3134" width="14.5703125" style="346" customWidth="1"/>
    <col min="3135" max="3135" width="8.85546875" style="346"/>
    <col min="3136" max="3136" width="11.5703125" style="346" customWidth="1"/>
    <col min="3137" max="3141" width="14.5703125" style="346" customWidth="1"/>
    <col min="3142" max="3142" width="8.85546875" style="346"/>
    <col min="3143" max="3143" width="14.5703125" style="346" customWidth="1"/>
    <col min="3144" max="3377" width="8.85546875" style="346"/>
    <col min="3378" max="3378" width="12.5703125" style="346" bestFit="1" customWidth="1"/>
    <col min="3379" max="3383" width="14.5703125" style="346" customWidth="1"/>
    <col min="3384" max="3384" width="8.85546875" style="346"/>
    <col min="3385" max="3385" width="11.5703125" style="346" customWidth="1"/>
    <col min="3386" max="3390" width="14.5703125" style="346" customWidth="1"/>
    <col min="3391" max="3391" width="8.85546875" style="346"/>
    <col min="3392" max="3392" width="11.5703125" style="346" customWidth="1"/>
    <col min="3393" max="3397" width="14.5703125" style="346" customWidth="1"/>
    <col min="3398" max="3398" width="8.85546875" style="346"/>
    <col min="3399" max="3399" width="14.5703125" style="346" customWidth="1"/>
    <col min="3400" max="3633" width="8.85546875" style="346"/>
    <col min="3634" max="3634" width="12.5703125" style="346" bestFit="1" customWidth="1"/>
    <col min="3635" max="3639" width="14.5703125" style="346" customWidth="1"/>
    <col min="3640" max="3640" width="8.85546875" style="346"/>
    <col min="3641" max="3641" width="11.5703125" style="346" customWidth="1"/>
    <col min="3642" max="3646" width="14.5703125" style="346" customWidth="1"/>
    <col min="3647" max="3647" width="8.85546875" style="346"/>
    <col min="3648" max="3648" width="11.5703125" style="346" customWidth="1"/>
    <col min="3649" max="3653" width="14.5703125" style="346" customWidth="1"/>
    <col min="3654" max="3654" width="8.85546875" style="346"/>
    <col min="3655" max="3655" width="14.5703125" style="346" customWidth="1"/>
    <col min="3656" max="3889" width="8.85546875" style="346"/>
    <col min="3890" max="3890" width="12.5703125" style="346" bestFit="1" customWidth="1"/>
    <col min="3891" max="3895" width="14.5703125" style="346" customWidth="1"/>
    <col min="3896" max="3896" width="8.85546875" style="346"/>
    <col min="3897" max="3897" width="11.5703125" style="346" customWidth="1"/>
    <col min="3898" max="3902" width="14.5703125" style="346" customWidth="1"/>
    <col min="3903" max="3903" width="8.85546875" style="346"/>
    <col min="3904" max="3904" width="11.5703125" style="346" customWidth="1"/>
    <col min="3905" max="3909" width="14.5703125" style="346" customWidth="1"/>
    <col min="3910" max="3910" width="8.85546875" style="346"/>
    <col min="3911" max="3911" width="14.5703125" style="346" customWidth="1"/>
    <col min="3912" max="4145" width="8.85546875" style="346"/>
    <col min="4146" max="4146" width="12.5703125" style="346" bestFit="1" customWidth="1"/>
    <col min="4147" max="4151" width="14.5703125" style="346" customWidth="1"/>
    <col min="4152" max="4152" width="8.85546875" style="346"/>
    <col min="4153" max="4153" width="11.5703125" style="346" customWidth="1"/>
    <col min="4154" max="4158" width="14.5703125" style="346" customWidth="1"/>
    <col min="4159" max="4159" width="8.85546875" style="346"/>
    <col min="4160" max="4160" width="11.5703125" style="346" customWidth="1"/>
    <col min="4161" max="4165" width="14.5703125" style="346" customWidth="1"/>
    <col min="4166" max="4166" width="8.85546875" style="346"/>
    <col min="4167" max="4167" width="14.5703125" style="346" customWidth="1"/>
    <col min="4168" max="4401" width="8.85546875" style="346"/>
    <col min="4402" max="4402" width="12.5703125" style="346" bestFit="1" customWidth="1"/>
    <col min="4403" max="4407" width="14.5703125" style="346" customWidth="1"/>
    <col min="4408" max="4408" width="8.85546875" style="346"/>
    <col min="4409" max="4409" width="11.5703125" style="346" customWidth="1"/>
    <col min="4410" max="4414" width="14.5703125" style="346" customWidth="1"/>
    <col min="4415" max="4415" width="8.85546875" style="346"/>
    <col min="4416" max="4416" width="11.5703125" style="346" customWidth="1"/>
    <col min="4417" max="4421" width="14.5703125" style="346" customWidth="1"/>
    <col min="4422" max="4422" width="8.85546875" style="346"/>
    <col min="4423" max="4423" width="14.5703125" style="346" customWidth="1"/>
    <col min="4424" max="4657" width="8.85546875" style="346"/>
    <col min="4658" max="4658" width="12.5703125" style="346" bestFit="1" customWidth="1"/>
    <col min="4659" max="4663" width="14.5703125" style="346" customWidth="1"/>
    <col min="4664" max="4664" width="8.85546875" style="346"/>
    <col min="4665" max="4665" width="11.5703125" style="346" customWidth="1"/>
    <col min="4666" max="4670" width="14.5703125" style="346" customWidth="1"/>
    <col min="4671" max="4671" width="8.85546875" style="346"/>
    <col min="4672" max="4672" width="11.5703125" style="346" customWidth="1"/>
    <col min="4673" max="4677" width="14.5703125" style="346" customWidth="1"/>
    <col min="4678" max="4678" width="8.85546875" style="346"/>
    <col min="4679" max="4679" width="14.5703125" style="346" customWidth="1"/>
    <col min="4680" max="4913" width="8.85546875" style="346"/>
    <col min="4914" max="4914" width="12.5703125" style="346" bestFit="1" customWidth="1"/>
    <col min="4915" max="4919" width="14.5703125" style="346" customWidth="1"/>
    <col min="4920" max="4920" width="8.85546875" style="346"/>
    <col min="4921" max="4921" width="11.5703125" style="346" customWidth="1"/>
    <col min="4922" max="4926" width="14.5703125" style="346" customWidth="1"/>
    <col min="4927" max="4927" width="8.85546875" style="346"/>
    <col min="4928" max="4928" width="11.5703125" style="346" customWidth="1"/>
    <col min="4929" max="4933" width="14.5703125" style="346" customWidth="1"/>
    <col min="4934" max="4934" width="8.85546875" style="346"/>
    <col min="4935" max="4935" width="14.5703125" style="346" customWidth="1"/>
    <col min="4936" max="5169" width="8.85546875" style="346"/>
    <col min="5170" max="5170" width="12.5703125" style="346" bestFit="1" customWidth="1"/>
    <col min="5171" max="5175" width="14.5703125" style="346" customWidth="1"/>
    <col min="5176" max="5176" width="8.85546875" style="346"/>
    <col min="5177" max="5177" width="11.5703125" style="346" customWidth="1"/>
    <col min="5178" max="5182" width="14.5703125" style="346" customWidth="1"/>
    <col min="5183" max="5183" width="8.85546875" style="346"/>
    <col min="5184" max="5184" width="11.5703125" style="346" customWidth="1"/>
    <col min="5185" max="5189" width="14.5703125" style="346" customWidth="1"/>
    <col min="5190" max="5190" width="8.85546875" style="346"/>
    <col min="5191" max="5191" width="14.5703125" style="346" customWidth="1"/>
    <col min="5192" max="5425" width="8.85546875" style="346"/>
    <col min="5426" max="5426" width="12.5703125" style="346" bestFit="1" customWidth="1"/>
    <col min="5427" max="5431" width="14.5703125" style="346" customWidth="1"/>
    <col min="5432" max="5432" width="8.85546875" style="346"/>
    <col min="5433" max="5433" width="11.5703125" style="346" customWidth="1"/>
    <col min="5434" max="5438" width="14.5703125" style="346" customWidth="1"/>
    <col min="5439" max="5439" width="8.85546875" style="346"/>
    <col min="5440" max="5440" width="11.5703125" style="346" customWidth="1"/>
    <col min="5441" max="5445" width="14.5703125" style="346" customWidth="1"/>
    <col min="5446" max="5446" width="8.85546875" style="346"/>
    <col min="5447" max="5447" width="14.5703125" style="346" customWidth="1"/>
    <col min="5448" max="5681" width="8.85546875" style="346"/>
    <col min="5682" max="5682" width="12.5703125" style="346" bestFit="1" customWidth="1"/>
    <col min="5683" max="5687" width="14.5703125" style="346" customWidth="1"/>
    <col min="5688" max="5688" width="8.85546875" style="346"/>
    <col min="5689" max="5689" width="11.5703125" style="346" customWidth="1"/>
    <col min="5690" max="5694" width="14.5703125" style="346" customWidth="1"/>
    <col min="5695" max="5695" width="8.85546875" style="346"/>
    <col min="5696" max="5696" width="11.5703125" style="346" customWidth="1"/>
    <col min="5697" max="5701" width="14.5703125" style="346" customWidth="1"/>
    <col min="5702" max="5702" width="8.85546875" style="346"/>
    <col min="5703" max="5703" width="14.5703125" style="346" customWidth="1"/>
    <col min="5704" max="5937" width="8.85546875" style="346"/>
    <col min="5938" max="5938" width="12.5703125" style="346" bestFit="1" customWidth="1"/>
    <col min="5939" max="5943" width="14.5703125" style="346" customWidth="1"/>
    <col min="5944" max="5944" width="8.85546875" style="346"/>
    <col min="5945" max="5945" width="11.5703125" style="346" customWidth="1"/>
    <col min="5946" max="5950" width="14.5703125" style="346" customWidth="1"/>
    <col min="5951" max="5951" width="8.85546875" style="346"/>
    <col min="5952" max="5952" width="11.5703125" style="346" customWidth="1"/>
    <col min="5953" max="5957" width="14.5703125" style="346" customWidth="1"/>
    <col min="5958" max="5958" width="8.85546875" style="346"/>
    <col min="5959" max="5959" width="14.5703125" style="346" customWidth="1"/>
    <col min="5960" max="6193" width="8.85546875" style="346"/>
    <col min="6194" max="6194" width="12.5703125" style="346" bestFit="1" customWidth="1"/>
    <col min="6195" max="6199" width="14.5703125" style="346" customWidth="1"/>
    <col min="6200" max="6200" width="8.85546875" style="346"/>
    <col min="6201" max="6201" width="11.5703125" style="346" customWidth="1"/>
    <col min="6202" max="6206" width="14.5703125" style="346" customWidth="1"/>
    <col min="6207" max="6207" width="8.85546875" style="346"/>
    <col min="6208" max="6208" width="11.5703125" style="346" customWidth="1"/>
    <col min="6209" max="6213" width="14.5703125" style="346" customWidth="1"/>
    <col min="6214" max="6214" width="8.85546875" style="346"/>
    <col min="6215" max="6215" width="14.5703125" style="346" customWidth="1"/>
    <col min="6216" max="6449" width="8.85546875" style="346"/>
    <col min="6450" max="6450" width="12.5703125" style="346" bestFit="1" customWidth="1"/>
    <col min="6451" max="6455" width="14.5703125" style="346" customWidth="1"/>
    <col min="6456" max="6456" width="8.85546875" style="346"/>
    <col min="6457" max="6457" width="11.5703125" style="346" customWidth="1"/>
    <col min="6458" max="6462" width="14.5703125" style="346" customWidth="1"/>
    <col min="6463" max="6463" width="8.85546875" style="346"/>
    <col min="6464" max="6464" width="11.5703125" style="346" customWidth="1"/>
    <col min="6465" max="6469" width="14.5703125" style="346" customWidth="1"/>
    <col min="6470" max="6470" width="8.85546875" style="346"/>
    <col min="6471" max="6471" width="14.5703125" style="346" customWidth="1"/>
    <col min="6472" max="6705" width="8.85546875" style="346"/>
    <col min="6706" max="6706" width="12.5703125" style="346" bestFit="1" customWidth="1"/>
    <col min="6707" max="6711" width="14.5703125" style="346" customWidth="1"/>
    <col min="6712" max="6712" width="8.85546875" style="346"/>
    <col min="6713" max="6713" width="11.5703125" style="346" customWidth="1"/>
    <col min="6714" max="6718" width="14.5703125" style="346" customWidth="1"/>
    <col min="6719" max="6719" width="8.85546875" style="346"/>
    <col min="6720" max="6720" width="11.5703125" style="346" customWidth="1"/>
    <col min="6721" max="6725" width="14.5703125" style="346" customWidth="1"/>
    <col min="6726" max="6726" width="8.85546875" style="346"/>
    <col min="6727" max="6727" width="14.5703125" style="346" customWidth="1"/>
    <col min="6728" max="6961" width="8.85546875" style="346"/>
    <col min="6962" max="6962" width="12.5703125" style="346" bestFit="1" customWidth="1"/>
    <col min="6963" max="6967" width="14.5703125" style="346" customWidth="1"/>
    <col min="6968" max="6968" width="8.85546875" style="346"/>
    <col min="6969" max="6969" width="11.5703125" style="346" customWidth="1"/>
    <col min="6970" max="6974" width="14.5703125" style="346" customWidth="1"/>
    <col min="6975" max="6975" width="8.85546875" style="346"/>
    <col min="6976" max="6976" width="11.5703125" style="346" customWidth="1"/>
    <col min="6977" max="6981" width="14.5703125" style="346" customWidth="1"/>
    <col min="6982" max="6982" width="8.85546875" style="346"/>
    <col min="6983" max="6983" width="14.5703125" style="346" customWidth="1"/>
    <col min="6984" max="7217" width="8.85546875" style="346"/>
    <col min="7218" max="7218" width="12.5703125" style="346" bestFit="1" customWidth="1"/>
    <col min="7219" max="7223" width="14.5703125" style="346" customWidth="1"/>
    <col min="7224" max="7224" width="8.85546875" style="346"/>
    <col min="7225" max="7225" width="11.5703125" style="346" customWidth="1"/>
    <col min="7226" max="7230" width="14.5703125" style="346" customWidth="1"/>
    <col min="7231" max="7231" width="8.85546875" style="346"/>
    <col min="7232" max="7232" width="11.5703125" style="346" customWidth="1"/>
    <col min="7233" max="7237" width="14.5703125" style="346" customWidth="1"/>
    <col min="7238" max="7238" width="8.85546875" style="346"/>
    <col min="7239" max="7239" width="14.5703125" style="346" customWidth="1"/>
    <col min="7240" max="7473" width="8.85546875" style="346"/>
    <col min="7474" max="7474" width="12.5703125" style="346" bestFit="1" customWidth="1"/>
    <col min="7475" max="7479" width="14.5703125" style="346" customWidth="1"/>
    <col min="7480" max="7480" width="8.85546875" style="346"/>
    <col min="7481" max="7481" width="11.5703125" style="346" customWidth="1"/>
    <col min="7482" max="7486" width="14.5703125" style="346" customWidth="1"/>
    <col min="7487" max="7487" width="8.85546875" style="346"/>
    <col min="7488" max="7488" width="11.5703125" style="346" customWidth="1"/>
    <col min="7489" max="7493" width="14.5703125" style="346" customWidth="1"/>
    <col min="7494" max="7494" width="8.85546875" style="346"/>
    <col min="7495" max="7495" width="14.5703125" style="346" customWidth="1"/>
    <col min="7496" max="7729" width="8.85546875" style="346"/>
    <col min="7730" max="7730" width="12.5703125" style="346" bestFit="1" customWidth="1"/>
    <col min="7731" max="7735" width="14.5703125" style="346" customWidth="1"/>
    <col min="7736" max="7736" width="8.85546875" style="346"/>
    <col min="7737" max="7737" width="11.5703125" style="346" customWidth="1"/>
    <col min="7738" max="7742" width="14.5703125" style="346" customWidth="1"/>
    <col min="7743" max="7743" width="8.85546875" style="346"/>
    <col min="7744" max="7744" width="11.5703125" style="346" customWidth="1"/>
    <col min="7745" max="7749" width="14.5703125" style="346" customWidth="1"/>
    <col min="7750" max="7750" width="8.85546875" style="346"/>
    <col min="7751" max="7751" width="14.5703125" style="346" customWidth="1"/>
    <col min="7752" max="7985" width="8.85546875" style="346"/>
    <col min="7986" max="7986" width="12.5703125" style="346" bestFit="1" customWidth="1"/>
    <col min="7987" max="7991" width="14.5703125" style="346" customWidth="1"/>
    <col min="7992" max="7992" width="8.85546875" style="346"/>
    <col min="7993" max="7993" width="11.5703125" style="346" customWidth="1"/>
    <col min="7994" max="7998" width="14.5703125" style="346" customWidth="1"/>
    <col min="7999" max="7999" width="8.85546875" style="346"/>
    <col min="8000" max="8000" width="11.5703125" style="346" customWidth="1"/>
    <col min="8001" max="8005" width="14.5703125" style="346" customWidth="1"/>
    <col min="8006" max="8006" width="8.85546875" style="346"/>
    <col min="8007" max="8007" width="14.5703125" style="346" customWidth="1"/>
    <col min="8008" max="8241" width="8.85546875" style="346"/>
    <col min="8242" max="8242" width="12.5703125" style="346" bestFit="1" customWidth="1"/>
    <col min="8243" max="8247" width="14.5703125" style="346" customWidth="1"/>
    <col min="8248" max="8248" width="8.85546875" style="346"/>
    <col min="8249" max="8249" width="11.5703125" style="346" customWidth="1"/>
    <col min="8250" max="8254" width="14.5703125" style="346" customWidth="1"/>
    <col min="8255" max="8255" width="8.85546875" style="346"/>
    <col min="8256" max="8256" width="11.5703125" style="346" customWidth="1"/>
    <col min="8257" max="8261" width="14.5703125" style="346" customWidth="1"/>
    <col min="8262" max="8262" width="8.85546875" style="346"/>
    <col min="8263" max="8263" width="14.5703125" style="346" customWidth="1"/>
    <col min="8264" max="8497" width="8.85546875" style="346"/>
    <col min="8498" max="8498" width="12.5703125" style="346" bestFit="1" customWidth="1"/>
    <col min="8499" max="8503" width="14.5703125" style="346" customWidth="1"/>
    <col min="8504" max="8504" width="8.85546875" style="346"/>
    <col min="8505" max="8505" width="11.5703125" style="346" customWidth="1"/>
    <col min="8506" max="8510" width="14.5703125" style="346" customWidth="1"/>
    <col min="8511" max="8511" width="8.85546875" style="346"/>
    <col min="8512" max="8512" width="11.5703125" style="346" customWidth="1"/>
    <col min="8513" max="8517" width="14.5703125" style="346" customWidth="1"/>
    <col min="8518" max="8518" width="8.85546875" style="346"/>
    <col min="8519" max="8519" width="14.5703125" style="346" customWidth="1"/>
    <col min="8520" max="8753" width="8.85546875" style="346"/>
    <col min="8754" max="8754" width="12.5703125" style="346" bestFit="1" customWidth="1"/>
    <col min="8755" max="8759" width="14.5703125" style="346" customWidth="1"/>
    <col min="8760" max="8760" width="8.85546875" style="346"/>
    <col min="8761" max="8761" width="11.5703125" style="346" customWidth="1"/>
    <col min="8762" max="8766" width="14.5703125" style="346" customWidth="1"/>
    <col min="8767" max="8767" width="8.85546875" style="346"/>
    <col min="8768" max="8768" width="11.5703125" style="346" customWidth="1"/>
    <col min="8769" max="8773" width="14.5703125" style="346" customWidth="1"/>
    <col min="8774" max="8774" width="8.85546875" style="346"/>
    <col min="8775" max="8775" width="14.5703125" style="346" customWidth="1"/>
    <col min="8776" max="9009" width="8.85546875" style="346"/>
    <col min="9010" max="9010" width="12.5703125" style="346" bestFit="1" customWidth="1"/>
    <col min="9011" max="9015" width="14.5703125" style="346" customWidth="1"/>
    <col min="9016" max="9016" width="8.85546875" style="346"/>
    <col min="9017" max="9017" width="11.5703125" style="346" customWidth="1"/>
    <col min="9018" max="9022" width="14.5703125" style="346" customWidth="1"/>
    <col min="9023" max="9023" width="8.85546875" style="346"/>
    <col min="9024" max="9024" width="11.5703125" style="346" customWidth="1"/>
    <col min="9025" max="9029" width="14.5703125" style="346" customWidth="1"/>
    <col min="9030" max="9030" width="8.85546875" style="346"/>
    <col min="9031" max="9031" width="14.5703125" style="346" customWidth="1"/>
    <col min="9032" max="9265" width="8.85546875" style="346"/>
    <col min="9266" max="9266" width="12.5703125" style="346" bestFit="1" customWidth="1"/>
    <col min="9267" max="9271" width="14.5703125" style="346" customWidth="1"/>
    <col min="9272" max="9272" width="8.85546875" style="346"/>
    <col min="9273" max="9273" width="11.5703125" style="346" customWidth="1"/>
    <col min="9274" max="9278" width="14.5703125" style="346" customWidth="1"/>
    <col min="9279" max="9279" width="8.85546875" style="346"/>
    <col min="9280" max="9280" width="11.5703125" style="346" customWidth="1"/>
    <col min="9281" max="9285" width="14.5703125" style="346" customWidth="1"/>
    <col min="9286" max="9286" width="8.85546875" style="346"/>
    <col min="9287" max="9287" width="14.5703125" style="346" customWidth="1"/>
    <col min="9288" max="9521" width="8.85546875" style="346"/>
    <col min="9522" max="9522" width="12.5703125" style="346" bestFit="1" customWidth="1"/>
    <col min="9523" max="9527" width="14.5703125" style="346" customWidth="1"/>
    <col min="9528" max="9528" width="8.85546875" style="346"/>
    <col min="9529" max="9529" width="11.5703125" style="346" customWidth="1"/>
    <col min="9530" max="9534" width="14.5703125" style="346" customWidth="1"/>
    <col min="9535" max="9535" width="8.85546875" style="346"/>
    <col min="9536" max="9536" width="11.5703125" style="346" customWidth="1"/>
    <col min="9537" max="9541" width="14.5703125" style="346" customWidth="1"/>
    <col min="9542" max="9542" width="8.85546875" style="346"/>
    <col min="9543" max="9543" width="14.5703125" style="346" customWidth="1"/>
    <col min="9544" max="9777" width="8.85546875" style="346"/>
    <col min="9778" max="9778" width="12.5703125" style="346" bestFit="1" customWidth="1"/>
    <col min="9779" max="9783" width="14.5703125" style="346" customWidth="1"/>
    <col min="9784" max="9784" width="8.85546875" style="346"/>
    <col min="9785" max="9785" width="11.5703125" style="346" customWidth="1"/>
    <col min="9786" max="9790" width="14.5703125" style="346" customWidth="1"/>
    <col min="9791" max="9791" width="8.85546875" style="346"/>
    <col min="9792" max="9792" width="11.5703125" style="346" customWidth="1"/>
    <col min="9793" max="9797" width="14.5703125" style="346" customWidth="1"/>
    <col min="9798" max="9798" width="8.85546875" style="346"/>
    <col min="9799" max="9799" width="14.5703125" style="346" customWidth="1"/>
    <col min="9800" max="10033" width="8.85546875" style="346"/>
    <col min="10034" max="10034" width="12.5703125" style="346" bestFit="1" customWidth="1"/>
    <col min="10035" max="10039" width="14.5703125" style="346" customWidth="1"/>
    <col min="10040" max="10040" width="8.85546875" style="346"/>
    <col min="10041" max="10041" width="11.5703125" style="346" customWidth="1"/>
    <col min="10042" max="10046" width="14.5703125" style="346" customWidth="1"/>
    <col min="10047" max="10047" width="8.85546875" style="346"/>
    <col min="10048" max="10048" width="11.5703125" style="346" customWidth="1"/>
    <col min="10049" max="10053" width="14.5703125" style="346" customWidth="1"/>
    <col min="10054" max="10054" width="8.85546875" style="346"/>
    <col min="10055" max="10055" width="14.5703125" style="346" customWidth="1"/>
    <col min="10056" max="10289" width="8.85546875" style="346"/>
    <col min="10290" max="10290" width="12.5703125" style="346" bestFit="1" customWidth="1"/>
    <col min="10291" max="10295" width="14.5703125" style="346" customWidth="1"/>
    <col min="10296" max="10296" width="8.85546875" style="346"/>
    <col min="10297" max="10297" width="11.5703125" style="346" customWidth="1"/>
    <col min="10298" max="10302" width="14.5703125" style="346" customWidth="1"/>
    <col min="10303" max="10303" width="8.85546875" style="346"/>
    <col min="10304" max="10304" width="11.5703125" style="346" customWidth="1"/>
    <col min="10305" max="10309" width="14.5703125" style="346" customWidth="1"/>
    <col min="10310" max="10310" width="8.85546875" style="346"/>
    <col min="10311" max="10311" width="14.5703125" style="346" customWidth="1"/>
    <col min="10312" max="10545" width="8.85546875" style="346"/>
    <col min="10546" max="10546" width="12.5703125" style="346" bestFit="1" customWidth="1"/>
    <col min="10547" max="10551" width="14.5703125" style="346" customWidth="1"/>
    <col min="10552" max="10552" width="8.85546875" style="346"/>
    <col min="10553" max="10553" width="11.5703125" style="346" customWidth="1"/>
    <col min="10554" max="10558" width="14.5703125" style="346" customWidth="1"/>
    <col min="10559" max="10559" width="8.85546875" style="346"/>
    <col min="10560" max="10560" width="11.5703125" style="346" customWidth="1"/>
    <col min="10561" max="10565" width="14.5703125" style="346" customWidth="1"/>
    <col min="10566" max="10566" width="8.85546875" style="346"/>
    <col min="10567" max="10567" width="14.5703125" style="346" customWidth="1"/>
    <col min="10568" max="10801" width="8.85546875" style="346"/>
    <col min="10802" max="10802" width="12.5703125" style="346" bestFit="1" customWidth="1"/>
    <col min="10803" max="10807" width="14.5703125" style="346" customWidth="1"/>
    <col min="10808" max="10808" width="8.85546875" style="346"/>
    <col min="10809" max="10809" width="11.5703125" style="346" customWidth="1"/>
    <col min="10810" max="10814" width="14.5703125" style="346" customWidth="1"/>
    <col min="10815" max="10815" width="8.85546875" style="346"/>
    <col min="10816" max="10816" width="11.5703125" style="346" customWidth="1"/>
    <col min="10817" max="10821" width="14.5703125" style="346" customWidth="1"/>
    <col min="10822" max="10822" width="8.85546875" style="346"/>
    <col min="10823" max="10823" width="14.5703125" style="346" customWidth="1"/>
    <col min="10824" max="11057" width="8.85546875" style="346"/>
    <col min="11058" max="11058" width="12.5703125" style="346" bestFit="1" customWidth="1"/>
    <col min="11059" max="11063" width="14.5703125" style="346" customWidth="1"/>
    <col min="11064" max="11064" width="8.85546875" style="346"/>
    <col min="11065" max="11065" width="11.5703125" style="346" customWidth="1"/>
    <col min="11066" max="11070" width="14.5703125" style="346" customWidth="1"/>
    <col min="11071" max="11071" width="8.85546875" style="346"/>
    <col min="11072" max="11072" width="11.5703125" style="346" customWidth="1"/>
    <col min="11073" max="11077" width="14.5703125" style="346" customWidth="1"/>
    <col min="11078" max="11078" width="8.85546875" style="346"/>
    <col min="11079" max="11079" width="14.5703125" style="346" customWidth="1"/>
    <col min="11080" max="11313" width="8.85546875" style="346"/>
    <col min="11314" max="11314" width="12.5703125" style="346" bestFit="1" customWidth="1"/>
    <col min="11315" max="11319" width="14.5703125" style="346" customWidth="1"/>
    <col min="11320" max="11320" width="8.85546875" style="346"/>
    <col min="11321" max="11321" width="11.5703125" style="346" customWidth="1"/>
    <col min="11322" max="11326" width="14.5703125" style="346" customWidth="1"/>
    <col min="11327" max="11327" width="8.85546875" style="346"/>
    <col min="11328" max="11328" width="11.5703125" style="346" customWidth="1"/>
    <col min="11329" max="11333" width="14.5703125" style="346" customWidth="1"/>
    <col min="11334" max="11334" width="8.85546875" style="346"/>
    <col min="11335" max="11335" width="14.5703125" style="346" customWidth="1"/>
    <col min="11336" max="11569" width="8.85546875" style="346"/>
    <col min="11570" max="11570" width="12.5703125" style="346" bestFit="1" customWidth="1"/>
    <col min="11571" max="11575" width="14.5703125" style="346" customWidth="1"/>
    <col min="11576" max="11576" width="8.85546875" style="346"/>
    <col min="11577" max="11577" width="11.5703125" style="346" customWidth="1"/>
    <col min="11578" max="11582" width="14.5703125" style="346" customWidth="1"/>
    <col min="11583" max="11583" width="8.85546875" style="346"/>
    <col min="11584" max="11584" width="11.5703125" style="346" customWidth="1"/>
    <col min="11585" max="11589" width="14.5703125" style="346" customWidth="1"/>
    <col min="11590" max="11590" width="8.85546875" style="346"/>
    <col min="11591" max="11591" width="14.5703125" style="346" customWidth="1"/>
    <col min="11592" max="11825" width="8.85546875" style="346"/>
    <col min="11826" max="11826" width="12.5703125" style="346" bestFit="1" customWidth="1"/>
    <col min="11827" max="11831" width="14.5703125" style="346" customWidth="1"/>
    <col min="11832" max="11832" width="8.85546875" style="346"/>
    <col min="11833" max="11833" width="11.5703125" style="346" customWidth="1"/>
    <col min="11834" max="11838" width="14.5703125" style="346" customWidth="1"/>
    <col min="11839" max="11839" width="8.85546875" style="346"/>
    <col min="11840" max="11840" width="11.5703125" style="346" customWidth="1"/>
    <col min="11841" max="11845" width="14.5703125" style="346" customWidth="1"/>
    <col min="11846" max="11846" width="8.85546875" style="346"/>
    <col min="11847" max="11847" width="14.5703125" style="346" customWidth="1"/>
    <col min="11848" max="12081" width="8.85546875" style="346"/>
    <col min="12082" max="12082" width="12.5703125" style="346" bestFit="1" customWidth="1"/>
    <col min="12083" max="12087" width="14.5703125" style="346" customWidth="1"/>
    <col min="12088" max="12088" width="8.85546875" style="346"/>
    <col min="12089" max="12089" width="11.5703125" style="346" customWidth="1"/>
    <col min="12090" max="12094" width="14.5703125" style="346" customWidth="1"/>
    <col min="12095" max="12095" width="8.85546875" style="346"/>
    <col min="12096" max="12096" width="11.5703125" style="346" customWidth="1"/>
    <col min="12097" max="12101" width="14.5703125" style="346" customWidth="1"/>
    <col min="12102" max="12102" width="8.85546875" style="346"/>
    <col min="12103" max="12103" width="14.5703125" style="346" customWidth="1"/>
    <col min="12104" max="12337" width="8.85546875" style="346"/>
    <col min="12338" max="12338" width="12.5703125" style="346" bestFit="1" customWidth="1"/>
    <col min="12339" max="12343" width="14.5703125" style="346" customWidth="1"/>
    <col min="12344" max="12344" width="8.85546875" style="346"/>
    <col min="12345" max="12345" width="11.5703125" style="346" customWidth="1"/>
    <col min="12346" max="12350" width="14.5703125" style="346" customWidth="1"/>
    <col min="12351" max="12351" width="8.85546875" style="346"/>
    <col min="12352" max="12352" width="11.5703125" style="346" customWidth="1"/>
    <col min="12353" max="12357" width="14.5703125" style="346" customWidth="1"/>
    <col min="12358" max="12358" width="8.85546875" style="346"/>
    <col min="12359" max="12359" width="14.5703125" style="346" customWidth="1"/>
    <col min="12360" max="12593" width="8.85546875" style="346"/>
    <col min="12594" max="12594" width="12.5703125" style="346" bestFit="1" customWidth="1"/>
    <col min="12595" max="12599" width="14.5703125" style="346" customWidth="1"/>
    <col min="12600" max="12600" width="8.85546875" style="346"/>
    <col min="12601" max="12601" width="11.5703125" style="346" customWidth="1"/>
    <col min="12602" max="12606" width="14.5703125" style="346" customWidth="1"/>
    <col min="12607" max="12607" width="8.85546875" style="346"/>
    <col min="12608" max="12608" width="11.5703125" style="346" customWidth="1"/>
    <col min="12609" max="12613" width="14.5703125" style="346" customWidth="1"/>
    <col min="12614" max="12614" width="8.85546875" style="346"/>
    <col min="12615" max="12615" width="14.5703125" style="346" customWidth="1"/>
    <col min="12616" max="12849" width="8.85546875" style="346"/>
    <col min="12850" max="12850" width="12.5703125" style="346" bestFit="1" customWidth="1"/>
    <col min="12851" max="12855" width="14.5703125" style="346" customWidth="1"/>
    <col min="12856" max="12856" width="8.85546875" style="346"/>
    <col min="12857" max="12857" width="11.5703125" style="346" customWidth="1"/>
    <col min="12858" max="12862" width="14.5703125" style="346" customWidth="1"/>
    <col min="12863" max="12863" width="8.85546875" style="346"/>
    <col min="12864" max="12864" width="11.5703125" style="346" customWidth="1"/>
    <col min="12865" max="12869" width="14.5703125" style="346" customWidth="1"/>
    <col min="12870" max="12870" width="8.85546875" style="346"/>
    <col min="12871" max="12871" width="14.5703125" style="346" customWidth="1"/>
    <col min="12872" max="13105" width="8.85546875" style="346"/>
    <col min="13106" max="13106" width="12.5703125" style="346" bestFit="1" customWidth="1"/>
    <col min="13107" max="13111" width="14.5703125" style="346" customWidth="1"/>
    <col min="13112" max="13112" width="8.85546875" style="346"/>
    <col min="13113" max="13113" width="11.5703125" style="346" customWidth="1"/>
    <col min="13114" max="13118" width="14.5703125" style="346" customWidth="1"/>
    <col min="13119" max="13119" width="8.85546875" style="346"/>
    <col min="13120" max="13120" width="11.5703125" style="346" customWidth="1"/>
    <col min="13121" max="13125" width="14.5703125" style="346" customWidth="1"/>
    <col min="13126" max="13126" width="8.85546875" style="346"/>
    <col min="13127" max="13127" width="14.5703125" style="346" customWidth="1"/>
    <col min="13128" max="13361" width="8.85546875" style="346"/>
    <col min="13362" max="13362" width="12.5703125" style="346" bestFit="1" customWidth="1"/>
    <col min="13363" max="13367" width="14.5703125" style="346" customWidth="1"/>
    <col min="13368" max="13368" width="8.85546875" style="346"/>
    <col min="13369" max="13369" width="11.5703125" style="346" customWidth="1"/>
    <col min="13370" max="13374" width="14.5703125" style="346" customWidth="1"/>
    <col min="13375" max="13375" width="8.85546875" style="346"/>
    <col min="13376" max="13376" width="11.5703125" style="346" customWidth="1"/>
    <col min="13377" max="13381" width="14.5703125" style="346" customWidth="1"/>
    <col min="13382" max="13382" width="8.85546875" style="346"/>
    <col min="13383" max="13383" width="14.5703125" style="346" customWidth="1"/>
    <col min="13384" max="13617" width="8.85546875" style="346"/>
    <col min="13618" max="13618" width="12.5703125" style="346" bestFit="1" customWidth="1"/>
    <col min="13619" max="13623" width="14.5703125" style="346" customWidth="1"/>
    <col min="13624" max="13624" width="8.85546875" style="346"/>
    <col min="13625" max="13625" width="11.5703125" style="346" customWidth="1"/>
    <col min="13626" max="13630" width="14.5703125" style="346" customWidth="1"/>
    <col min="13631" max="13631" width="8.85546875" style="346"/>
    <col min="13632" max="13632" width="11.5703125" style="346" customWidth="1"/>
    <col min="13633" max="13637" width="14.5703125" style="346" customWidth="1"/>
    <col min="13638" max="13638" width="8.85546875" style="346"/>
    <col min="13639" max="13639" width="14.5703125" style="346" customWidth="1"/>
    <col min="13640" max="13873" width="8.85546875" style="346"/>
    <col min="13874" max="13874" width="12.5703125" style="346" bestFit="1" customWidth="1"/>
    <col min="13875" max="13879" width="14.5703125" style="346" customWidth="1"/>
    <col min="13880" max="13880" width="8.85546875" style="346"/>
    <col min="13881" max="13881" width="11.5703125" style="346" customWidth="1"/>
    <col min="13882" max="13886" width="14.5703125" style="346" customWidth="1"/>
    <col min="13887" max="13887" width="8.85546875" style="346"/>
    <col min="13888" max="13888" width="11.5703125" style="346" customWidth="1"/>
    <col min="13889" max="13893" width="14.5703125" style="346" customWidth="1"/>
    <col min="13894" max="13894" width="8.85546875" style="346"/>
    <col min="13895" max="13895" width="14.5703125" style="346" customWidth="1"/>
    <col min="13896" max="14129" width="8.85546875" style="346"/>
    <col min="14130" max="14130" width="12.5703125" style="346" bestFit="1" customWidth="1"/>
    <col min="14131" max="14135" width="14.5703125" style="346" customWidth="1"/>
    <col min="14136" max="14136" width="8.85546875" style="346"/>
    <col min="14137" max="14137" width="11.5703125" style="346" customWidth="1"/>
    <col min="14138" max="14142" width="14.5703125" style="346" customWidth="1"/>
    <col min="14143" max="14143" width="8.85546875" style="346"/>
    <col min="14144" max="14144" width="11.5703125" style="346" customWidth="1"/>
    <col min="14145" max="14149" width="14.5703125" style="346" customWidth="1"/>
    <col min="14150" max="14150" width="8.85546875" style="346"/>
    <col min="14151" max="14151" width="14.5703125" style="346" customWidth="1"/>
    <col min="14152" max="14385" width="8.85546875" style="346"/>
    <col min="14386" max="14386" width="12.5703125" style="346" bestFit="1" customWidth="1"/>
    <col min="14387" max="14391" width="14.5703125" style="346" customWidth="1"/>
    <col min="14392" max="14392" width="8.85546875" style="346"/>
    <col min="14393" max="14393" width="11.5703125" style="346" customWidth="1"/>
    <col min="14394" max="14398" width="14.5703125" style="346" customWidth="1"/>
    <col min="14399" max="14399" width="8.85546875" style="346"/>
    <col min="14400" max="14400" width="11.5703125" style="346" customWidth="1"/>
    <col min="14401" max="14405" width="14.5703125" style="346" customWidth="1"/>
    <col min="14406" max="14406" width="8.85546875" style="346"/>
    <col min="14407" max="14407" width="14.5703125" style="346" customWidth="1"/>
    <col min="14408" max="14641" width="8.85546875" style="346"/>
    <col min="14642" max="14642" width="12.5703125" style="346" bestFit="1" customWidth="1"/>
    <col min="14643" max="14647" width="14.5703125" style="346" customWidth="1"/>
    <col min="14648" max="14648" width="8.85546875" style="346"/>
    <col min="14649" max="14649" width="11.5703125" style="346" customWidth="1"/>
    <col min="14650" max="14654" width="14.5703125" style="346" customWidth="1"/>
    <col min="14655" max="14655" width="8.85546875" style="346"/>
    <col min="14656" max="14656" width="11.5703125" style="346" customWidth="1"/>
    <col min="14657" max="14661" width="14.5703125" style="346" customWidth="1"/>
    <col min="14662" max="14662" width="8.85546875" style="346"/>
    <col min="14663" max="14663" width="14.5703125" style="346" customWidth="1"/>
    <col min="14664" max="14897" width="8.85546875" style="346"/>
    <col min="14898" max="14898" width="12.5703125" style="346" bestFit="1" customWidth="1"/>
    <col min="14899" max="14903" width="14.5703125" style="346" customWidth="1"/>
    <col min="14904" max="14904" width="8.85546875" style="346"/>
    <col min="14905" max="14905" width="11.5703125" style="346" customWidth="1"/>
    <col min="14906" max="14910" width="14.5703125" style="346" customWidth="1"/>
    <col min="14911" max="14911" width="8.85546875" style="346"/>
    <col min="14912" max="14912" width="11.5703125" style="346" customWidth="1"/>
    <col min="14913" max="14917" width="14.5703125" style="346" customWidth="1"/>
    <col min="14918" max="14918" width="8.85546875" style="346"/>
    <col min="14919" max="14919" width="14.5703125" style="346" customWidth="1"/>
    <col min="14920" max="15153" width="8.85546875" style="346"/>
    <col min="15154" max="15154" width="12.5703125" style="346" bestFit="1" customWidth="1"/>
    <col min="15155" max="15159" width="14.5703125" style="346" customWidth="1"/>
    <col min="15160" max="15160" width="8.85546875" style="346"/>
    <col min="15161" max="15161" width="11.5703125" style="346" customWidth="1"/>
    <col min="15162" max="15166" width="14.5703125" style="346" customWidth="1"/>
    <col min="15167" max="15167" width="8.85546875" style="346"/>
    <col min="15168" max="15168" width="11.5703125" style="346" customWidth="1"/>
    <col min="15169" max="15173" width="14.5703125" style="346" customWidth="1"/>
    <col min="15174" max="15174" width="8.85546875" style="346"/>
    <col min="15175" max="15175" width="14.5703125" style="346" customWidth="1"/>
    <col min="15176" max="15409" width="8.85546875" style="346"/>
    <col min="15410" max="15410" width="12.5703125" style="346" bestFit="1" customWidth="1"/>
    <col min="15411" max="15415" width="14.5703125" style="346" customWidth="1"/>
    <col min="15416" max="15416" width="8.85546875" style="346"/>
    <col min="15417" max="15417" width="11.5703125" style="346" customWidth="1"/>
    <col min="15418" max="15422" width="14.5703125" style="346" customWidth="1"/>
    <col min="15423" max="15423" width="8.85546875" style="346"/>
    <col min="15424" max="15424" width="11.5703125" style="346" customWidth="1"/>
    <col min="15425" max="15429" width="14.5703125" style="346" customWidth="1"/>
    <col min="15430" max="15430" width="8.85546875" style="346"/>
    <col min="15431" max="15431" width="14.5703125" style="346" customWidth="1"/>
    <col min="15432" max="15665" width="8.85546875" style="346"/>
    <col min="15666" max="15666" width="12.5703125" style="346" bestFit="1" customWidth="1"/>
    <col min="15667" max="15671" width="14.5703125" style="346" customWidth="1"/>
    <col min="15672" max="15672" width="8.85546875" style="346"/>
    <col min="15673" max="15673" width="11.5703125" style="346" customWidth="1"/>
    <col min="15674" max="15678" width="14.5703125" style="346" customWidth="1"/>
    <col min="15679" max="15679" width="8.85546875" style="346"/>
    <col min="15680" max="15680" width="11.5703125" style="346" customWidth="1"/>
    <col min="15681" max="15685" width="14.5703125" style="346" customWidth="1"/>
    <col min="15686" max="15686" width="8.85546875" style="346"/>
    <col min="15687" max="15687" width="14.5703125" style="346" customWidth="1"/>
    <col min="15688" max="15921" width="8.85546875" style="346"/>
    <col min="15922" max="15922" width="12.5703125" style="346" bestFit="1" customWidth="1"/>
    <col min="15923" max="15927" width="14.5703125" style="346" customWidth="1"/>
    <col min="15928" max="15928" width="8.85546875" style="346"/>
    <col min="15929" max="15929" width="11.5703125" style="346" customWidth="1"/>
    <col min="15930" max="15934" width="14.5703125" style="346" customWidth="1"/>
    <col min="15935" max="15935" width="8.85546875" style="346"/>
    <col min="15936" max="15936" width="11.5703125" style="346" customWidth="1"/>
    <col min="15937" max="15941" width="14.5703125" style="346" customWidth="1"/>
    <col min="15942" max="15942" width="8.85546875" style="346"/>
    <col min="15943" max="15943" width="14.5703125" style="346" customWidth="1"/>
    <col min="15944" max="16177" width="8.85546875" style="346"/>
    <col min="16178" max="16178" width="12.5703125" style="346" bestFit="1" customWidth="1"/>
    <col min="16179" max="16183" width="14.5703125" style="346" customWidth="1"/>
    <col min="16184" max="16184" width="8.85546875" style="346"/>
    <col min="16185" max="16185" width="11.5703125" style="346" customWidth="1"/>
    <col min="16186" max="16190" width="14.5703125" style="346" customWidth="1"/>
    <col min="16191" max="16191" width="8.85546875" style="346"/>
    <col min="16192" max="16192" width="11.5703125" style="346" customWidth="1"/>
    <col min="16193" max="16197" width="14.5703125" style="346" customWidth="1"/>
    <col min="16198" max="16198" width="8.85546875" style="346"/>
    <col min="16199" max="16199" width="14.5703125" style="346" customWidth="1"/>
    <col min="16200" max="16384" width="8.85546875" style="346"/>
  </cols>
  <sheetData>
    <row r="1" spans="1:186" ht="15" x14ac:dyDescent="0.25">
      <c r="A1" s="503" t="s">
        <v>789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17"/>
      <c r="Z1" s="17"/>
      <c r="AK1" s="520" t="s">
        <v>790</v>
      </c>
      <c r="AL1" s="520"/>
      <c r="AM1" s="520"/>
      <c r="AN1" s="520"/>
      <c r="AO1" s="520"/>
      <c r="AP1" s="520"/>
      <c r="AQ1" s="520"/>
      <c r="AR1" s="520"/>
      <c r="AS1" s="520"/>
      <c r="AT1" s="520"/>
      <c r="AU1" s="520" t="s">
        <v>791</v>
      </c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 t="s">
        <v>792</v>
      </c>
      <c r="BK1" s="520"/>
      <c r="BL1" s="520"/>
      <c r="BM1" s="520"/>
      <c r="BN1" s="520"/>
      <c r="BO1" s="520"/>
      <c r="BP1" s="520"/>
      <c r="BQ1" s="520"/>
      <c r="BR1" s="520"/>
      <c r="BS1" s="520"/>
      <c r="BT1" s="520"/>
      <c r="BU1" s="520"/>
      <c r="BV1" s="520"/>
      <c r="BW1" s="520"/>
      <c r="BX1" s="520"/>
      <c r="BY1" s="520"/>
      <c r="BZ1" s="520"/>
      <c r="CA1" s="520"/>
      <c r="CB1" s="520"/>
      <c r="CC1" s="520"/>
      <c r="CD1" s="520"/>
      <c r="CE1" s="520"/>
      <c r="CF1" s="520"/>
      <c r="CG1" s="520"/>
      <c r="CH1" s="520"/>
      <c r="CI1" s="520"/>
      <c r="CJ1" s="520"/>
      <c r="CK1" s="520"/>
      <c r="CL1" s="520"/>
      <c r="CM1" s="520"/>
      <c r="CN1" s="520"/>
      <c r="CO1" s="520"/>
      <c r="CP1" s="520"/>
      <c r="CQ1" s="520"/>
      <c r="CR1" s="520"/>
      <c r="CS1" s="520"/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0"/>
      <c r="DI1" s="520"/>
      <c r="DJ1" s="520"/>
      <c r="DK1" s="520"/>
      <c r="DL1" s="520"/>
      <c r="DM1" s="520"/>
      <c r="DN1" s="520"/>
      <c r="DO1" s="520"/>
      <c r="DP1" s="520"/>
      <c r="DQ1" s="520"/>
      <c r="DR1" s="520"/>
      <c r="DS1" s="520"/>
      <c r="DT1" s="520"/>
      <c r="DU1" s="520"/>
      <c r="DV1" s="520"/>
      <c r="DW1" s="431"/>
      <c r="DX1" s="431"/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31"/>
      <c r="EL1" s="431"/>
      <c r="EM1" s="431"/>
      <c r="EN1" s="431"/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31"/>
      <c r="FB1" s="431"/>
      <c r="FC1" s="431"/>
      <c r="FD1" s="431"/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31"/>
      <c r="FR1" s="431"/>
      <c r="FS1" s="431"/>
      <c r="FT1" s="431"/>
    </row>
    <row r="2" spans="1:186" ht="15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49">
        <v>0</v>
      </c>
      <c r="S2" s="49">
        <v>834.49503068156923</v>
      </c>
      <c r="T2" s="49">
        <v>834.49503068156923</v>
      </c>
      <c r="U2" s="49">
        <v>1408.3846153846155</v>
      </c>
      <c r="V2" s="49">
        <v>0</v>
      </c>
      <c r="W2" s="49">
        <v>0</v>
      </c>
      <c r="X2" s="49">
        <v>1365.173957061457</v>
      </c>
      <c r="Y2" s="49"/>
      <c r="Z2" s="49"/>
      <c r="BJ2" s="347">
        <v>2011</v>
      </c>
      <c r="BK2" s="347">
        <v>2012</v>
      </c>
      <c r="BL2" s="347">
        <v>2013</v>
      </c>
      <c r="BM2" s="348">
        <v>2014</v>
      </c>
      <c r="BN2" s="348">
        <v>2015</v>
      </c>
      <c r="BO2" s="348">
        <v>2016</v>
      </c>
      <c r="BP2" s="348">
        <v>2017</v>
      </c>
      <c r="BQ2" s="348">
        <v>2018</v>
      </c>
      <c r="BR2" s="348">
        <v>2019</v>
      </c>
      <c r="BS2" s="348">
        <v>2020</v>
      </c>
      <c r="BT2" s="348">
        <v>2021</v>
      </c>
      <c r="BU2" s="348">
        <v>2022</v>
      </c>
      <c r="BV2" s="348">
        <v>2023</v>
      </c>
      <c r="BW2" s="348">
        <v>2024</v>
      </c>
      <c r="BX2" s="348">
        <v>2025</v>
      </c>
      <c r="BY2" s="348">
        <v>2026</v>
      </c>
      <c r="BZ2" s="348">
        <v>2027</v>
      </c>
      <c r="CA2" s="348">
        <v>2028</v>
      </c>
      <c r="CB2" s="348">
        <v>2029</v>
      </c>
      <c r="CC2" s="348">
        <v>2030</v>
      </c>
      <c r="CD2" s="348">
        <v>2031</v>
      </c>
      <c r="CE2" s="348">
        <v>2032</v>
      </c>
      <c r="CF2" s="348">
        <v>2033</v>
      </c>
      <c r="CG2" s="348">
        <v>2034</v>
      </c>
      <c r="CH2" s="348">
        <v>2035</v>
      </c>
      <c r="CI2" s="347">
        <v>2011</v>
      </c>
      <c r="CJ2" s="347">
        <v>2012</v>
      </c>
      <c r="CK2" s="347">
        <v>2013</v>
      </c>
      <c r="CL2" s="348">
        <v>2014</v>
      </c>
      <c r="CM2" s="348">
        <v>2015</v>
      </c>
      <c r="CN2" s="348">
        <v>2016</v>
      </c>
      <c r="CO2" s="348">
        <v>2017</v>
      </c>
      <c r="CP2" s="348">
        <v>2018</v>
      </c>
      <c r="CQ2" s="348">
        <v>2019</v>
      </c>
      <c r="CR2" s="348">
        <v>2020</v>
      </c>
      <c r="CS2" s="348">
        <v>2021</v>
      </c>
      <c r="CT2" s="348">
        <v>2022</v>
      </c>
      <c r="CU2" s="348">
        <v>2023</v>
      </c>
      <c r="CV2" s="348">
        <v>2024</v>
      </c>
      <c r="CW2" s="348">
        <v>2025</v>
      </c>
      <c r="CX2" s="348">
        <v>2026</v>
      </c>
      <c r="CY2" s="348">
        <v>2027</v>
      </c>
      <c r="CZ2" s="348">
        <v>2028</v>
      </c>
      <c r="DA2" s="348">
        <v>2029</v>
      </c>
      <c r="DB2" s="348">
        <v>2030</v>
      </c>
      <c r="DC2" s="348">
        <v>2031</v>
      </c>
      <c r="DD2" s="348">
        <v>2032</v>
      </c>
      <c r="DE2" s="348">
        <v>2033</v>
      </c>
      <c r="DF2" s="348">
        <v>2034</v>
      </c>
      <c r="DG2" s="348">
        <v>2035</v>
      </c>
      <c r="DH2" s="347">
        <v>2011</v>
      </c>
      <c r="DI2" s="347">
        <v>2012</v>
      </c>
      <c r="DJ2" s="347">
        <v>2013</v>
      </c>
      <c r="DK2" s="348">
        <v>2014</v>
      </c>
      <c r="DL2" s="348">
        <v>2015</v>
      </c>
      <c r="DM2" s="348">
        <v>2016</v>
      </c>
      <c r="DN2" s="348">
        <v>2017</v>
      </c>
      <c r="DO2" s="348">
        <v>2018</v>
      </c>
      <c r="DP2" s="348">
        <v>2019</v>
      </c>
      <c r="DQ2" s="348">
        <v>2020</v>
      </c>
      <c r="DR2" s="348">
        <v>2021</v>
      </c>
      <c r="DS2" s="348">
        <v>2022</v>
      </c>
      <c r="DT2" s="348">
        <v>2023</v>
      </c>
      <c r="DU2" s="348">
        <v>2024</v>
      </c>
      <c r="DV2" s="348">
        <v>2025</v>
      </c>
      <c r="DW2" s="348">
        <v>2026</v>
      </c>
      <c r="DX2" s="348">
        <v>2027</v>
      </c>
      <c r="DY2" s="348">
        <v>2028</v>
      </c>
      <c r="DZ2" s="348">
        <v>2029</v>
      </c>
      <c r="EA2" s="348">
        <v>2030</v>
      </c>
      <c r="EB2" s="348">
        <v>2031</v>
      </c>
      <c r="EC2" s="348">
        <v>2032</v>
      </c>
      <c r="ED2" s="348">
        <v>2033</v>
      </c>
      <c r="EE2" s="348">
        <v>2034</v>
      </c>
      <c r="EF2" s="348">
        <v>2035</v>
      </c>
      <c r="EG2" s="347">
        <v>2011</v>
      </c>
      <c r="EH2" s="347">
        <v>2012</v>
      </c>
      <c r="EI2" s="347">
        <v>2013</v>
      </c>
      <c r="EJ2" s="348">
        <v>2014</v>
      </c>
      <c r="EK2" s="348">
        <v>2015</v>
      </c>
      <c r="EL2" s="348">
        <v>2016</v>
      </c>
      <c r="EM2" s="348">
        <v>2017</v>
      </c>
      <c r="EN2" s="348">
        <v>2018</v>
      </c>
      <c r="EO2" s="348">
        <v>2019</v>
      </c>
      <c r="EP2" s="348">
        <v>2020</v>
      </c>
      <c r="EQ2" s="348">
        <v>2021</v>
      </c>
      <c r="ER2" s="348">
        <v>2022</v>
      </c>
      <c r="ES2" s="348">
        <v>2023</v>
      </c>
      <c r="ET2" s="348">
        <v>2024</v>
      </c>
      <c r="EU2" s="348">
        <v>2025</v>
      </c>
      <c r="EV2" s="348">
        <v>2026</v>
      </c>
      <c r="EW2" s="348">
        <v>2027</v>
      </c>
      <c r="EX2" s="348">
        <v>2028</v>
      </c>
      <c r="EY2" s="348">
        <v>2029</v>
      </c>
      <c r="EZ2" s="348">
        <v>2030</v>
      </c>
      <c r="FA2" s="348">
        <v>2031</v>
      </c>
      <c r="FB2" s="348">
        <v>2032</v>
      </c>
      <c r="FC2" s="348">
        <v>2033</v>
      </c>
      <c r="FD2" s="348">
        <v>2034</v>
      </c>
      <c r="FE2" s="348">
        <v>2035</v>
      </c>
      <c r="FF2" s="347">
        <v>2011</v>
      </c>
      <c r="FG2" s="347">
        <v>2012</v>
      </c>
      <c r="FH2" s="347">
        <v>2013</v>
      </c>
      <c r="FI2" s="348">
        <v>2014</v>
      </c>
      <c r="FJ2" s="348">
        <v>2015</v>
      </c>
      <c r="FK2" s="348">
        <v>2016</v>
      </c>
      <c r="FL2" s="348">
        <v>2017</v>
      </c>
      <c r="FM2" s="348">
        <v>2018</v>
      </c>
      <c r="FN2" s="348">
        <v>2019</v>
      </c>
      <c r="FO2" s="348">
        <v>2020</v>
      </c>
      <c r="FP2" s="348">
        <v>2021</v>
      </c>
      <c r="FQ2" s="348">
        <v>2022</v>
      </c>
      <c r="FR2" s="348">
        <v>2023</v>
      </c>
      <c r="FS2" s="348">
        <v>2024</v>
      </c>
      <c r="FT2" s="348">
        <v>2025</v>
      </c>
      <c r="FU2" s="348">
        <v>2026</v>
      </c>
      <c r="FV2" s="348">
        <v>2027</v>
      </c>
      <c r="FW2" s="348">
        <v>2028</v>
      </c>
      <c r="FX2" s="348">
        <v>2029</v>
      </c>
      <c r="FY2" s="348">
        <v>2030</v>
      </c>
      <c r="FZ2" s="348">
        <v>2031</v>
      </c>
      <c r="GA2" s="348">
        <v>2032</v>
      </c>
      <c r="GB2" s="348">
        <v>2033</v>
      </c>
      <c r="GC2" s="348">
        <v>2034</v>
      </c>
      <c r="GD2" s="348">
        <v>2035</v>
      </c>
    </row>
    <row r="3" spans="1:186" ht="15" x14ac:dyDescent="0.25">
      <c r="A3"/>
      <c r="B3"/>
      <c r="C3"/>
      <c r="D3"/>
      <c r="E3"/>
      <c r="F3"/>
      <c r="G3" s="349">
        <v>97581</v>
      </c>
      <c r="H3" s="349">
        <v>41783</v>
      </c>
      <c r="I3" s="349">
        <v>36441</v>
      </c>
      <c r="J3" s="349">
        <v>5342</v>
      </c>
      <c r="K3"/>
      <c r="L3"/>
      <c r="M3"/>
      <c r="N3"/>
      <c r="O3"/>
      <c r="P3" s="214" t="s">
        <v>793</v>
      </c>
      <c r="Q3" s="349">
        <v>23088</v>
      </c>
      <c r="R3" s="49">
        <v>0</v>
      </c>
      <c r="S3" s="49">
        <v>834.49503068156957</v>
      </c>
      <c r="T3" s="49">
        <v>834.49503068156957</v>
      </c>
      <c r="U3" s="49">
        <v>1408.3846153846162</v>
      </c>
      <c r="V3" s="49">
        <v>0</v>
      </c>
      <c r="W3" s="49">
        <v>0</v>
      </c>
      <c r="X3" s="49">
        <v>1402.0705504955504</v>
      </c>
      <c r="Y3" s="519" t="s">
        <v>1474</v>
      </c>
      <c r="Z3" s="519"/>
      <c r="AH3" s="214" t="s">
        <v>794</v>
      </c>
      <c r="AI3" s="349">
        <v>36440.999999999993</v>
      </c>
      <c r="AM3" s="349">
        <v>39758.66834964521</v>
      </c>
      <c r="AQ3" s="349">
        <v>34836.64848739851</v>
      </c>
      <c r="AT3" s="349">
        <v>1661.7750696698047</v>
      </c>
      <c r="AU3" s="349">
        <v>37787.114195794493</v>
      </c>
      <c r="AV3" s="349">
        <v>38704.569597861955</v>
      </c>
      <c r="AW3" s="349">
        <v>39658.742678033064</v>
      </c>
      <c r="AX3" s="349">
        <v>40650.774187393195</v>
      </c>
      <c r="AY3" s="349">
        <v>41681.867191585196</v>
      </c>
      <c r="AZ3" s="349">
        <v>33274.729572709875</v>
      </c>
      <c r="BA3" s="349">
        <v>33997.809701671242</v>
      </c>
      <c r="BB3" s="349">
        <v>34751.86864442948</v>
      </c>
      <c r="BC3" s="349">
        <v>35537.520282353558</v>
      </c>
      <c r="BD3" s="349">
        <v>36355.442584140248</v>
      </c>
      <c r="BE3" s="349">
        <v>1568.4694983924705</v>
      </c>
      <c r="BF3" s="349">
        <v>1592.4401435542591</v>
      </c>
      <c r="BG3" s="349">
        <v>1617.0074941395769</v>
      </c>
      <c r="BH3" s="349">
        <v>1642.1883466948743</v>
      </c>
      <c r="BI3" s="349">
        <v>1668</v>
      </c>
      <c r="BJ3" s="349">
        <v>42184.122437038641</v>
      </c>
      <c r="BK3" s="349">
        <v>42693.961884089709</v>
      </c>
      <c r="BL3" s="349">
        <v>43211.520118765708</v>
      </c>
      <c r="BM3" s="350">
        <f>BM460</f>
        <v>42927.423332831007</v>
      </c>
      <c r="BN3" s="350">
        <f t="shared" ref="BN3:CH3" si="0">BN460</f>
        <v>42645.194358617722</v>
      </c>
      <c r="BO3" s="350">
        <f t="shared" si="0"/>
        <v>42509.014449670831</v>
      </c>
      <c r="BP3" s="350">
        <f t="shared" si="0"/>
        <v>42373.269407251755</v>
      </c>
      <c r="BQ3" s="350">
        <f t="shared" si="0"/>
        <v>42237.957842691052</v>
      </c>
      <c r="BR3" s="350">
        <f t="shared" si="0"/>
        <v>42103.078371753516</v>
      </c>
      <c r="BS3" s="350">
        <f t="shared" si="0"/>
        <v>41968.629614624311</v>
      </c>
      <c r="BT3" s="350">
        <f t="shared" si="0"/>
        <v>42279.070217814493</v>
      </c>
      <c r="BU3" s="350">
        <f t="shared" si="0"/>
        <v>42591.807140160061</v>
      </c>
      <c r="BV3" s="350">
        <f t="shared" si="0"/>
        <v>42906.857367459932</v>
      </c>
      <c r="BW3" s="350">
        <f t="shared" si="0"/>
        <v>43224.238011156434</v>
      </c>
      <c r="BX3" s="350">
        <f t="shared" si="0"/>
        <v>43543.966309264666</v>
      </c>
      <c r="BY3" s="350">
        <f t="shared" si="0"/>
        <v>43719.484063936521</v>
      </c>
      <c r="BZ3" s="350">
        <f t="shared" si="0"/>
        <v>43895.001818608245</v>
      </c>
      <c r="CA3" s="350">
        <f t="shared" si="0"/>
        <v>44070.519573280086</v>
      </c>
      <c r="CB3" s="350">
        <f t="shared" si="0"/>
        <v>44246.03732795189</v>
      </c>
      <c r="CC3" s="350">
        <f t="shared" si="0"/>
        <v>44421.555082623716</v>
      </c>
      <c r="CD3" s="350">
        <f t="shared" si="0"/>
        <v>44565.42776428572</v>
      </c>
      <c r="CE3" s="350">
        <f t="shared" si="0"/>
        <v>44709.300445947585</v>
      </c>
      <c r="CF3" s="350">
        <f t="shared" si="0"/>
        <v>44853.173127609683</v>
      </c>
      <c r="CG3" s="350">
        <f t="shared" si="0"/>
        <v>44997.045809271527</v>
      </c>
      <c r="CH3" s="350">
        <f t="shared" si="0"/>
        <v>45140.918490933618</v>
      </c>
      <c r="CI3" s="349">
        <v>36799.021318671854</v>
      </c>
      <c r="CJ3" s="349">
        <v>37249.374060835311</v>
      </c>
      <c r="CK3" s="349">
        <v>37706.621947830106</v>
      </c>
      <c r="CL3" s="350">
        <f>CL460</f>
        <v>37458.717452121731</v>
      </c>
      <c r="CM3" s="350">
        <f t="shared" ref="CM3:DG3" si="1">CM460</f>
        <v>37212.442819705822</v>
      </c>
      <c r="CN3" s="350">
        <f t="shared" si="1"/>
        <v>37093.611444891023</v>
      </c>
      <c r="CO3" s="350">
        <f t="shared" si="1"/>
        <v>36975.159537119158</v>
      </c>
      <c r="CP3" s="350">
        <f t="shared" si="1"/>
        <v>36857.085884629407</v>
      </c>
      <c r="CQ3" s="350">
        <f t="shared" si="1"/>
        <v>36739.389279529962</v>
      </c>
      <c r="CR3" s="350">
        <f t="shared" si="1"/>
        <v>36622.068517786458</v>
      </c>
      <c r="CS3" s="350">
        <f t="shared" si="1"/>
        <v>36892.960780534369</v>
      </c>
      <c r="CT3" s="350">
        <f t="shared" si="1"/>
        <v>37165.856824635579</v>
      </c>
      <c r="CU3" s="350">
        <f t="shared" si="1"/>
        <v>37440.771471996399</v>
      </c>
      <c r="CV3" s="350">
        <f t="shared" si="1"/>
        <v>37717.719654160122</v>
      </c>
      <c r="CW3" s="350">
        <f t="shared" si="1"/>
        <v>37996.71641311828</v>
      </c>
      <c r="CX3" s="350">
        <f t="shared" si="1"/>
        <v>38149.874219239231</v>
      </c>
      <c r="CY3" s="350">
        <f t="shared" si="1"/>
        <v>38303.032025360168</v>
      </c>
      <c r="CZ3" s="350">
        <f t="shared" si="1"/>
        <v>38456.189831481162</v>
      </c>
      <c r="DA3" s="350">
        <f t="shared" si="1"/>
        <v>38609.347637602063</v>
      </c>
      <c r="DB3" s="350">
        <f t="shared" si="1"/>
        <v>38762.505443723014</v>
      </c>
      <c r="DC3" s="350">
        <f t="shared" si="1"/>
        <v>38888.049576425103</v>
      </c>
      <c r="DD3" s="350">
        <f t="shared" si="1"/>
        <v>39013.59370912717</v>
      </c>
      <c r="DE3" s="350">
        <f t="shared" si="1"/>
        <v>39139.137841829361</v>
      </c>
      <c r="DF3" s="350">
        <f t="shared" si="1"/>
        <v>39264.681974531333</v>
      </c>
      <c r="DG3" s="350">
        <f t="shared" si="1"/>
        <v>39390.226107233451</v>
      </c>
      <c r="DH3" s="349">
        <v>1692.4690545722417</v>
      </c>
      <c r="DI3" s="349">
        <v>1717.3556270726835</v>
      </c>
      <c r="DJ3" s="349">
        <v>1742.6675394014253</v>
      </c>
      <c r="DK3" s="350">
        <f>DK460</f>
        <v>1731.2102649168492</v>
      </c>
      <c r="DL3" s="350">
        <f t="shared" ref="DL3:EF3" si="2">DL460</f>
        <v>1719.828316985182</v>
      </c>
      <c r="DM3" s="350">
        <f t="shared" si="2"/>
        <v>1714.3363484964966</v>
      </c>
      <c r="DN3" s="350">
        <f t="shared" si="2"/>
        <v>1708.8619176408324</v>
      </c>
      <c r="DO3" s="350">
        <f t="shared" si="2"/>
        <v>1703.4049684148499</v>
      </c>
      <c r="DP3" s="350">
        <f t="shared" si="2"/>
        <v>1697.9654449940465</v>
      </c>
      <c r="DQ3" s="350">
        <f t="shared" si="2"/>
        <v>1692.5432917321859</v>
      </c>
      <c r="DR3" s="350">
        <f t="shared" si="2"/>
        <v>1705.062980014495</v>
      </c>
      <c r="DS3" s="350">
        <f t="shared" si="2"/>
        <v>1717.6752760282936</v>
      </c>
      <c r="DT3" s="350">
        <f t="shared" si="2"/>
        <v>1730.3808647899821</v>
      </c>
      <c r="DU3" s="350">
        <f t="shared" si="2"/>
        <v>1743.1804363830204</v>
      </c>
      <c r="DV3" s="350">
        <f t="shared" si="2"/>
        <v>1756.0746859953911</v>
      </c>
      <c r="DW3" s="350">
        <f t="shared" si="2"/>
        <v>1763.1531014923353</v>
      </c>
      <c r="DX3" s="350">
        <f t="shared" si="2"/>
        <v>1770.2315169892797</v>
      </c>
      <c r="DY3" s="350">
        <f t="shared" si="2"/>
        <v>1777.3099324862224</v>
      </c>
      <c r="DZ3" s="350">
        <f t="shared" si="2"/>
        <v>1784.3883479831652</v>
      </c>
      <c r="EA3" s="350">
        <f t="shared" si="2"/>
        <v>1791.4667634801085</v>
      </c>
      <c r="EB3" s="350">
        <f t="shared" si="2"/>
        <v>1797.2689720450903</v>
      </c>
      <c r="EC3" s="350">
        <f t="shared" si="2"/>
        <v>1803.071180610073</v>
      </c>
      <c r="ED3" s="350">
        <f t="shared" si="2"/>
        <v>1808.8733891750549</v>
      </c>
      <c r="EE3" s="350">
        <f t="shared" si="2"/>
        <v>1814.6755977400364</v>
      </c>
      <c r="EF3" s="350">
        <f t="shared" si="2"/>
        <v>1820.477806305021</v>
      </c>
      <c r="EG3" s="349">
        <v>102.43246808374707</v>
      </c>
      <c r="EH3" s="349">
        <v>103.74927950089808</v>
      </c>
      <c r="EI3" s="349">
        <v>105.08347126371459</v>
      </c>
      <c r="EJ3" s="350">
        <f>EJ460</f>
        <v>104.39259354502228</v>
      </c>
      <c r="EK3" s="350">
        <f t="shared" ref="EK3:FE3" si="3">EK460</f>
        <v>103.70625804421107</v>
      </c>
      <c r="EL3" s="350">
        <f t="shared" si="3"/>
        <v>103.37509039472353</v>
      </c>
      <c r="EM3" s="350">
        <f t="shared" si="3"/>
        <v>103.04498027073291</v>
      </c>
      <c r="EN3" s="350">
        <f t="shared" si="3"/>
        <v>102.71592429521783</v>
      </c>
      <c r="EO3" s="350">
        <f t="shared" si="3"/>
        <v>102.38791910194111</v>
      </c>
      <c r="EP3" s="350">
        <f t="shared" si="3"/>
        <v>102.06096133541504</v>
      </c>
      <c r="EQ3" s="350">
        <f t="shared" si="3"/>
        <v>102.81590298326178</v>
      </c>
      <c r="ER3" s="350">
        <f t="shared" si="3"/>
        <v>103.57642891019242</v>
      </c>
      <c r="ES3" s="350">
        <f t="shared" si="3"/>
        <v>104.34258042293941</v>
      </c>
      <c r="ET3" s="350">
        <f t="shared" si="3"/>
        <v>105.11439913378041</v>
      </c>
      <c r="EU3" s="350">
        <f t="shared" si="3"/>
        <v>105.8919269627971</v>
      </c>
      <c r="EV3" s="350">
        <f t="shared" si="3"/>
        <v>106.31875793006304</v>
      </c>
      <c r="EW3" s="350">
        <f t="shared" si="3"/>
        <v>106.74558889732901</v>
      </c>
      <c r="EX3" s="350">
        <f t="shared" si="3"/>
        <v>107.17241986459486</v>
      </c>
      <c r="EY3" s="350">
        <f t="shared" si="3"/>
        <v>107.59925083186091</v>
      </c>
      <c r="EZ3" s="350">
        <f t="shared" si="3"/>
        <v>108.02608179912696</v>
      </c>
      <c r="FA3" s="350">
        <f t="shared" si="3"/>
        <v>108.3759570353487</v>
      </c>
      <c r="FB3" s="350">
        <f t="shared" si="3"/>
        <v>108.72583227157077</v>
      </c>
      <c r="FC3" s="350">
        <f t="shared" si="3"/>
        <v>109.07570750779266</v>
      </c>
      <c r="FD3" s="350">
        <f t="shared" si="3"/>
        <v>109.4255827440146</v>
      </c>
      <c r="FE3" s="350">
        <f t="shared" si="3"/>
        <v>109.77545798023658</v>
      </c>
      <c r="FF3" s="349">
        <v>45.541755641191791</v>
      </c>
      <c r="FG3" s="349">
        <v>46.090498420310297</v>
      </c>
      <c r="FH3" s="349">
        <v>46.646320809758933</v>
      </c>
      <c r="FI3" s="350">
        <f>FI460</f>
        <v>46.339641716283246</v>
      </c>
      <c r="FJ3" s="350">
        <f t="shared" ref="FJ3:GD3" si="4">FJ460</f>
        <v>46.034978903293187</v>
      </c>
      <c r="FK3" s="350">
        <f t="shared" si="4"/>
        <v>45.887974315092585</v>
      </c>
      <c r="FL3" s="350">
        <f t="shared" si="4"/>
        <v>45.741439160124436</v>
      </c>
      <c r="FM3" s="350">
        <f t="shared" si="4"/>
        <v>45.595371939336474</v>
      </c>
      <c r="FN3" s="350">
        <f t="shared" si="4"/>
        <v>45.449771158463399</v>
      </c>
      <c r="FO3" s="350">
        <f t="shared" si="4"/>
        <v>45.304635328011585</v>
      </c>
      <c r="FP3" s="350">
        <f t="shared" si="4"/>
        <v>45.639752258149294</v>
      </c>
      <c r="FQ3" s="350">
        <f t="shared" si="4"/>
        <v>45.977348037439015</v>
      </c>
      <c r="FR3" s="350">
        <f t="shared" si="4"/>
        <v>46.317441001848181</v>
      </c>
      <c r="FS3" s="350">
        <f t="shared" si="4"/>
        <v>46.66004962297481</v>
      </c>
      <c r="FT3" s="350">
        <f t="shared" si="4"/>
        <v>47.005192509050666</v>
      </c>
      <c r="FU3" s="350">
        <f t="shared" si="4"/>
        <v>47.194661832733942</v>
      </c>
      <c r="FV3" s="350">
        <f t="shared" si="4"/>
        <v>47.384131156417219</v>
      </c>
      <c r="FW3" s="350">
        <f t="shared" si="4"/>
        <v>47.573600480100502</v>
      </c>
      <c r="FX3" s="350">
        <f t="shared" si="4"/>
        <v>47.763069803783779</v>
      </c>
      <c r="FY3" s="350">
        <f t="shared" si="4"/>
        <v>47.952539127467055</v>
      </c>
      <c r="FZ3" s="350">
        <f t="shared" si="4"/>
        <v>48.107847972102014</v>
      </c>
      <c r="GA3" s="350">
        <f t="shared" si="4"/>
        <v>48.263156816736988</v>
      </c>
      <c r="GB3" s="350">
        <f t="shared" si="4"/>
        <v>48.418465661371947</v>
      </c>
      <c r="GC3" s="350">
        <f t="shared" si="4"/>
        <v>48.573774506006913</v>
      </c>
      <c r="GD3" s="350">
        <f t="shared" si="4"/>
        <v>48.729083350641872</v>
      </c>
    </row>
    <row r="4" spans="1:186" ht="15" x14ac:dyDescent="0.25">
      <c r="A4"/>
      <c r="B4"/>
      <c r="C4"/>
      <c r="D4"/>
      <c r="E4"/>
      <c r="F4"/>
      <c r="G4" s="503" t="s">
        <v>795</v>
      </c>
      <c r="H4" s="503"/>
      <c r="I4" s="503"/>
      <c r="J4" s="503"/>
      <c r="K4" s="503" t="s">
        <v>796</v>
      </c>
      <c r="L4" s="503"/>
      <c r="M4" s="503"/>
      <c r="N4" s="503"/>
      <c r="O4" s="503"/>
      <c r="P4" s="503"/>
      <c r="Q4" s="503"/>
      <c r="R4" s="503" t="s">
        <v>797</v>
      </c>
      <c r="S4" s="503"/>
      <c r="T4" s="503"/>
      <c r="U4" s="503"/>
      <c r="V4" s="503"/>
      <c r="W4" s="503"/>
      <c r="X4" s="503"/>
      <c r="Y4" s="519" t="s">
        <v>1475</v>
      </c>
      <c r="Z4" s="519"/>
      <c r="AA4" s="503" t="s">
        <v>798</v>
      </c>
      <c r="AB4" s="503"/>
      <c r="AC4" s="503"/>
      <c r="AD4" s="503"/>
      <c r="AE4" s="503"/>
      <c r="AF4" s="503"/>
      <c r="AG4" s="520" t="s">
        <v>799</v>
      </c>
      <c r="AH4" s="520"/>
      <c r="AI4" s="520"/>
      <c r="AJ4" s="520"/>
      <c r="AK4" s="520" t="s">
        <v>800</v>
      </c>
      <c r="AL4" s="520"/>
      <c r="AM4" s="520"/>
      <c r="AN4" s="520"/>
      <c r="AO4" s="520" t="s">
        <v>801</v>
      </c>
      <c r="AP4" s="520"/>
      <c r="AQ4" s="520"/>
      <c r="AR4" s="520"/>
      <c r="AS4" s="520" t="s">
        <v>802</v>
      </c>
      <c r="AT4" s="520"/>
      <c r="AU4" s="521" t="s">
        <v>803</v>
      </c>
      <c r="AV4" s="521"/>
      <c r="AW4" s="521"/>
      <c r="AX4" s="521"/>
      <c r="AY4" s="521"/>
      <c r="AZ4" s="521" t="s">
        <v>804</v>
      </c>
      <c r="BA4" s="521"/>
      <c r="BB4" s="521"/>
      <c r="BC4" s="521"/>
      <c r="BD4" s="521"/>
      <c r="BE4" s="521" t="s">
        <v>805</v>
      </c>
      <c r="BF4" s="521"/>
      <c r="BG4" s="521"/>
      <c r="BH4" s="521"/>
      <c r="BI4" s="521"/>
      <c r="BJ4" s="521" t="s">
        <v>803</v>
      </c>
      <c r="BK4" s="521"/>
      <c r="BL4" s="521"/>
      <c r="BM4" s="521"/>
      <c r="BN4" s="521"/>
      <c r="BO4" s="521"/>
      <c r="BP4" s="521"/>
      <c r="BQ4" s="521"/>
      <c r="BR4" s="521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 t="s">
        <v>804</v>
      </c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G4" s="521"/>
      <c r="DH4" s="521" t="s">
        <v>805</v>
      </c>
      <c r="DI4" s="521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 t="s">
        <v>806</v>
      </c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EY4" s="521"/>
      <c r="EZ4" s="521"/>
      <c r="FA4" s="521"/>
      <c r="FB4" s="521"/>
      <c r="FC4" s="521"/>
      <c r="FD4" s="521"/>
      <c r="FE4" s="521"/>
      <c r="FF4" s="521" t="s">
        <v>807</v>
      </c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</row>
    <row r="5" spans="1:186" ht="15.75" thickBot="1" x14ac:dyDescent="0.3">
      <c r="A5" s="7" t="s">
        <v>808</v>
      </c>
      <c r="B5" s="7" t="s">
        <v>809</v>
      </c>
      <c r="C5" s="7" t="s">
        <v>810</v>
      </c>
      <c r="D5" s="7" t="s">
        <v>811</v>
      </c>
      <c r="E5" s="432" t="s">
        <v>1476</v>
      </c>
      <c r="F5" s="351" t="s">
        <v>812</v>
      </c>
      <c r="G5" s="7" t="s">
        <v>813</v>
      </c>
      <c r="H5" s="7" t="s">
        <v>814</v>
      </c>
      <c r="I5" s="7" t="s">
        <v>815</v>
      </c>
      <c r="J5" s="7" t="s">
        <v>816</v>
      </c>
      <c r="K5" s="7" t="s">
        <v>817</v>
      </c>
      <c r="L5" s="7" t="s">
        <v>818</v>
      </c>
      <c r="M5" s="7" t="s">
        <v>819</v>
      </c>
      <c r="N5" s="7" t="s">
        <v>820</v>
      </c>
      <c r="O5" s="7" t="s">
        <v>821</v>
      </c>
      <c r="P5" s="7" t="s">
        <v>822</v>
      </c>
      <c r="Q5" s="7" t="s">
        <v>219</v>
      </c>
      <c r="R5" s="7" t="s">
        <v>817</v>
      </c>
      <c r="S5" s="7" t="s">
        <v>818</v>
      </c>
      <c r="T5" s="7" t="s">
        <v>819</v>
      </c>
      <c r="U5" s="7" t="s">
        <v>820</v>
      </c>
      <c r="V5" s="7" t="s">
        <v>821</v>
      </c>
      <c r="W5" s="7" t="s">
        <v>822</v>
      </c>
      <c r="X5" s="7" t="s">
        <v>219</v>
      </c>
      <c r="Y5" s="433" t="s">
        <v>583</v>
      </c>
      <c r="Z5" s="433" t="s">
        <v>582</v>
      </c>
      <c r="AA5" s="7" t="s">
        <v>817</v>
      </c>
      <c r="AB5" s="7" t="s">
        <v>818</v>
      </c>
      <c r="AC5" s="7" t="s">
        <v>821</v>
      </c>
      <c r="AD5" s="352" t="s">
        <v>820</v>
      </c>
      <c r="AE5" s="352" t="s">
        <v>822</v>
      </c>
      <c r="AF5" s="353" t="s">
        <v>219</v>
      </c>
      <c r="AG5" s="7" t="s">
        <v>817</v>
      </c>
      <c r="AH5" s="7" t="s">
        <v>818</v>
      </c>
      <c r="AI5" s="354" t="s">
        <v>823</v>
      </c>
      <c r="AJ5" s="7" t="s">
        <v>821</v>
      </c>
      <c r="AK5" s="7" t="s">
        <v>817</v>
      </c>
      <c r="AL5" s="7" t="s">
        <v>818</v>
      </c>
      <c r="AM5" s="7" t="s">
        <v>823</v>
      </c>
      <c r="AN5" s="7" t="s">
        <v>821</v>
      </c>
      <c r="AO5" s="7" t="s">
        <v>817</v>
      </c>
      <c r="AP5" s="7" t="s">
        <v>818</v>
      </c>
      <c r="AQ5" s="7" t="s">
        <v>823</v>
      </c>
      <c r="AR5" s="7" t="s">
        <v>821</v>
      </c>
      <c r="AS5" s="7" t="s">
        <v>820</v>
      </c>
      <c r="AT5" s="7" t="s">
        <v>822</v>
      </c>
      <c r="AU5" s="355" t="s">
        <v>824</v>
      </c>
      <c r="AV5" s="355" t="s">
        <v>825</v>
      </c>
      <c r="AW5" s="355" t="s">
        <v>826</v>
      </c>
      <c r="AX5" s="355" t="s">
        <v>827</v>
      </c>
      <c r="AY5" s="355" t="s">
        <v>828</v>
      </c>
      <c r="AZ5" s="355" t="s">
        <v>829</v>
      </c>
      <c r="BA5" s="355" t="s">
        <v>830</v>
      </c>
      <c r="BB5" s="355" t="s">
        <v>831</v>
      </c>
      <c r="BC5" s="355" t="s">
        <v>832</v>
      </c>
      <c r="BD5" s="355" t="s">
        <v>833</v>
      </c>
      <c r="BE5" s="355" t="s">
        <v>834</v>
      </c>
      <c r="BF5" s="355" t="s">
        <v>835</v>
      </c>
      <c r="BG5" s="355" t="s">
        <v>836</v>
      </c>
      <c r="BH5" s="355" t="s">
        <v>837</v>
      </c>
      <c r="BI5" s="355" t="s">
        <v>838</v>
      </c>
      <c r="BJ5" s="355" t="s">
        <v>839</v>
      </c>
      <c r="BK5" s="355" t="s">
        <v>840</v>
      </c>
      <c r="BL5" s="355" t="s">
        <v>841</v>
      </c>
      <c r="BM5" s="356" t="s">
        <v>842</v>
      </c>
      <c r="BN5" s="356" t="s">
        <v>843</v>
      </c>
      <c r="BO5" s="356" t="s">
        <v>844</v>
      </c>
      <c r="BP5" s="356" t="s">
        <v>845</v>
      </c>
      <c r="BQ5" s="356" t="s">
        <v>846</v>
      </c>
      <c r="BR5" s="356" t="s">
        <v>847</v>
      </c>
      <c r="BS5" s="356" t="s">
        <v>848</v>
      </c>
      <c r="BT5" s="356" t="s">
        <v>849</v>
      </c>
      <c r="BU5" s="356" t="s">
        <v>850</v>
      </c>
      <c r="BV5" s="356" t="s">
        <v>851</v>
      </c>
      <c r="BW5" s="356" t="s">
        <v>852</v>
      </c>
      <c r="BX5" s="356" t="s">
        <v>853</v>
      </c>
      <c r="BY5" s="356" t="s">
        <v>1477</v>
      </c>
      <c r="BZ5" s="356" t="s">
        <v>1478</v>
      </c>
      <c r="CA5" s="356" t="s">
        <v>1479</v>
      </c>
      <c r="CB5" s="356" t="s">
        <v>1480</v>
      </c>
      <c r="CC5" s="356" t="s">
        <v>1481</v>
      </c>
      <c r="CD5" s="356" t="s">
        <v>1482</v>
      </c>
      <c r="CE5" s="356" t="s">
        <v>1483</v>
      </c>
      <c r="CF5" s="356" t="s">
        <v>1484</v>
      </c>
      <c r="CG5" s="356" t="s">
        <v>1485</v>
      </c>
      <c r="CH5" s="356" t="s">
        <v>1486</v>
      </c>
      <c r="CI5" s="355" t="s">
        <v>854</v>
      </c>
      <c r="CJ5" s="355" t="s">
        <v>855</v>
      </c>
      <c r="CK5" s="355" t="s">
        <v>856</v>
      </c>
      <c r="CL5" s="356" t="s">
        <v>857</v>
      </c>
      <c r="CM5" s="356" t="s">
        <v>858</v>
      </c>
      <c r="CN5" s="356" t="s">
        <v>859</v>
      </c>
      <c r="CO5" s="356" t="s">
        <v>860</v>
      </c>
      <c r="CP5" s="356" t="s">
        <v>861</v>
      </c>
      <c r="CQ5" s="356" t="s">
        <v>862</v>
      </c>
      <c r="CR5" s="356" t="s">
        <v>863</v>
      </c>
      <c r="CS5" s="356" t="s">
        <v>864</v>
      </c>
      <c r="CT5" s="356" t="s">
        <v>865</v>
      </c>
      <c r="CU5" s="356" t="s">
        <v>866</v>
      </c>
      <c r="CV5" s="356" t="s">
        <v>867</v>
      </c>
      <c r="CW5" s="356" t="s">
        <v>868</v>
      </c>
      <c r="CX5" s="356" t="s">
        <v>1487</v>
      </c>
      <c r="CY5" s="356" t="s">
        <v>1488</v>
      </c>
      <c r="CZ5" s="356" t="s">
        <v>1489</v>
      </c>
      <c r="DA5" s="356" t="s">
        <v>1490</v>
      </c>
      <c r="DB5" s="356" t="s">
        <v>1491</v>
      </c>
      <c r="DC5" s="356" t="s">
        <v>1492</v>
      </c>
      <c r="DD5" s="356" t="s">
        <v>1493</v>
      </c>
      <c r="DE5" s="356" t="s">
        <v>1494</v>
      </c>
      <c r="DF5" s="356" t="s">
        <v>1495</v>
      </c>
      <c r="DG5" s="356" t="s">
        <v>1496</v>
      </c>
      <c r="DH5" s="355" t="s">
        <v>869</v>
      </c>
      <c r="DI5" s="355" t="s">
        <v>870</v>
      </c>
      <c r="DJ5" s="355" t="s">
        <v>871</v>
      </c>
      <c r="DK5" s="356" t="s">
        <v>872</v>
      </c>
      <c r="DL5" s="356" t="s">
        <v>873</v>
      </c>
      <c r="DM5" s="356" t="s">
        <v>874</v>
      </c>
      <c r="DN5" s="356" t="s">
        <v>875</v>
      </c>
      <c r="DO5" s="356" t="s">
        <v>876</v>
      </c>
      <c r="DP5" s="356" t="s">
        <v>877</v>
      </c>
      <c r="DQ5" s="356" t="s">
        <v>878</v>
      </c>
      <c r="DR5" s="356" t="s">
        <v>879</v>
      </c>
      <c r="DS5" s="356" t="s">
        <v>880</v>
      </c>
      <c r="DT5" s="356" t="s">
        <v>881</v>
      </c>
      <c r="DU5" s="356" t="s">
        <v>882</v>
      </c>
      <c r="DV5" s="356" t="s">
        <v>883</v>
      </c>
      <c r="DW5" s="356" t="s">
        <v>1497</v>
      </c>
      <c r="DX5" s="356" t="s">
        <v>1498</v>
      </c>
      <c r="DY5" s="356" t="s">
        <v>1499</v>
      </c>
      <c r="DZ5" s="356" t="s">
        <v>1500</v>
      </c>
      <c r="EA5" s="356" t="s">
        <v>1501</v>
      </c>
      <c r="EB5" s="356" t="s">
        <v>1502</v>
      </c>
      <c r="EC5" s="356" t="s">
        <v>1503</v>
      </c>
      <c r="ED5" s="356" t="s">
        <v>1504</v>
      </c>
      <c r="EE5" s="356" t="s">
        <v>1505</v>
      </c>
      <c r="EF5" s="356" t="s">
        <v>1506</v>
      </c>
      <c r="EG5" s="355" t="s">
        <v>884</v>
      </c>
      <c r="EH5" s="355" t="s">
        <v>885</v>
      </c>
      <c r="EI5" s="355" t="s">
        <v>886</v>
      </c>
      <c r="EJ5" s="356" t="s">
        <v>887</v>
      </c>
      <c r="EK5" s="356" t="s">
        <v>888</v>
      </c>
      <c r="EL5" s="356" t="s">
        <v>889</v>
      </c>
      <c r="EM5" s="356" t="s">
        <v>890</v>
      </c>
      <c r="EN5" s="356" t="s">
        <v>891</v>
      </c>
      <c r="EO5" s="356" t="s">
        <v>892</v>
      </c>
      <c r="EP5" s="356" t="s">
        <v>893</v>
      </c>
      <c r="EQ5" s="356" t="s">
        <v>894</v>
      </c>
      <c r="ER5" s="356" t="s">
        <v>895</v>
      </c>
      <c r="ES5" s="356" t="s">
        <v>896</v>
      </c>
      <c r="ET5" s="356" t="s">
        <v>897</v>
      </c>
      <c r="EU5" s="356" t="s">
        <v>898</v>
      </c>
      <c r="EV5" s="356" t="s">
        <v>1507</v>
      </c>
      <c r="EW5" s="356" t="s">
        <v>1508</v>
      </c>
      <c r="EX5" s="356" t="s">
        <v>1509</v>
      </c>
      <c r="EY5" s="356" t="s">
        <v>1510</v>
      </c>
      <c r="EZ5" s="356" t="s">
        <v>1511</v>
      </c>
      <c r="FA5" s="356" t="s">
        <v>1512</v>
      </c>
      <c r="FB5" s="356" t="s">
        <v>1513</v>
      </c>
      <c r="FC5" s="356" t="s">
        <v>1514</v>
      </c>
      <c r="FD5" s="356" t="s">
        <v>1515</v>
      </c>
      <c r="FE5" s="356" t="s">
        <v>1516</v>
      </c>
      <c r="FF5" s="355" t="s">
        <v>899</v>
      </c>
      <c r="FG5" s="355" t="s">
        <v>900</v>
      </c>
      <c r="FH5" s="355" t="s">
        <v>901</v>
      </c>
      <c r="FI5" s="356" t="s">
        <v>902</v>
      </c>
      <c r="FJ5" s="356" t="s">
        <v>903</v>
      </c>
      <c r="FK5" s="356" t="s">
        <v>904</v>
      </c>
      <c r="FL5" s="356" t="s">
        <v>905</v>
      </c>
      <c r="FM5" s="356" t="s">
        <v>906</v>
      </c>
      <c r="FN5" s="356" t="s">
        <v>907</v>
      </c>
      <c r="FO5" s="356" t="s">
        <v>908</v>
      </c>
      <c r="FP5" s="356" t="s">
        <v>909</v>
      </c>
      <c r="FQ5" s="356" t="s">
        <v>910</v>
      </c>
      <c r="FR5" s="356" t="s">
        <v>911</v>
      </c>
      <c r="FS5" s="356" t="s">
        <v>912</v>
      </c>
      <c r="FT5" s="356" t="s">
        <v>913</v>
      </c>
      <c r="FU5" s="356" t="s">
        <v>1517</v>
      </c>
      <c r="FV5" s="356" t="s">
        <v>1518</v>
      </c>
      <c r="FW5" s="356" t="s">
        <v>1519</v>
      </c>
      <c r="FX5" s="356" t="s">
        <v>1520</v>
      </c>
      <c r="FY5" s="356" t="s">
        <v>1521</v>
      </c>
      <c r="FZ5" s="356" t="s">
        <v>1522</v>
      </c>
      <c r="GA5" s="356" t="s">
        <v>1523</v>
      </c>
      <c r="GB5" s="356" t="s">
        <v>1524</v>
      </c>
      <c r="GC5" s="356" t="s">
        <v>1525</v>
      </c>
      <c r="GD5" s="356" t="s">
        <v>1526</v>
      </c>
    </row>
    <row r="6" spans="1:186" ht="15.75" thickTop="1" x14ac:dyDescent="0.25">
      <c r="A6" s="357">
        <v>108</v>
      </c>
      <c r="B6" s="357">
        <v>49</v>
      </c>
      <c r="C6" s="357" t="s">
        <v>914</v>
      </c>
      <c r="D6" s="2">
        <v>99760</v>
      </c>
      <c r="E6" s="268" t="s">
        <v>19</v>
      </c>
      <c r="F6" s="358" t="s">
        <v>915</v>
      </c>
      <c r="G6" s="49">
        <v>0</v>
      </c>
      <c r="H6" s="49">
        <v>9</v>
      </c>
      <c r="I6" s="49">
        <v>0</v>
      </c>
      <c r="J6" s="49">
        <v>9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834.49503068156923</v>
      </c>
      <c r="T6" s="49">
        <v>834.49503068156923</v>
      </c>
      <c r="U6" s="49">
        <v>1408.3846153846155</v>
      </c>
      <c r="V6" s="49">
        <v>0</v>
      </c>
      <c r="W6" s="49">
        <v>0</v>
      </c>
      <c r="X6" s="49">
        <v>1365.173957061457</v>
      </c>
      <c r="Y6" s="434">
        <v>0</v>
      </c>
      <c r="Z6" s="434">
        <v>0</v>
      </c>
      <c r="AA6" s="49">
        <v>0.20621101871101871</v>
      </c>
      <c r="AB6" s="49">
        <v>8.7820945945945947</v>
      </c>
      <c r="AC6" s="49">
        <v>1.1694386694386695E-2</v>
      </c>
      <c r="AD6" s="285">
        <v>0</v>
      </c>
      <c r="AE6" s="285">
        <v>0</v>
      </c>
      <c r="AF6" s="359">
        <v>9</v>
      </c>
      <c r="AG6" s="360">
        <v>0</v>
      </c>
      <c r="AH6" s="360">
        <v>0</v>
      </c>
      <c r="AI6" s="361">
        <v>0</v>
      </c>
      <c r="AJ6" s="360">
        <v>0</v>
      </c>
      <c r="AK6" s="360">
        <v>0.19045831633298477</v>
      </c>
      <c r="AL6" s="360">
        <v>8.1112200541886832</v>
      </c>
      <c r="AM6" s="360">
        <v>8.3016783705216675</v>
      </c>
      <c r="AN6" s="360">
        <v>1.0801038733439589E-2</v>
      </c>
      <c r="AO6" s="360">
        <v>0</v>
      </c>
      <c r="AP6" s="360">
        <v>0</v>
      </c>
      <c r="AQ6" s="360">
        <v>0</v>
      </c>
      <c r="AR6" s="360">
        <v>0</v>
      </c>
      <c r="AS6" s="360">
        <v>0</v>
      </c>
      <c r="AT6" s="360">
        <v>0</v>
      </c>
      <c r="AU6" s="360">
        <v>7.6675033908022057</v>
      </c>
      <c r="AV6" s="360">
        <v>7.9782922392780415</v>
      </c>
      <c r="AW6" s="360">
        <v>8.3016783705216675</v>
      </c>
      <c r="AX6" s="360">
        <v>8.6381723933722068</v>
      </c>
      <c r="AY6" s="360">
        <v>8.988305613305613</v>
      </c>
      <c r="AZ6" s="360">
        <v>0</v>
      </c>
      <c r="BA6" s="360">
        <v>0</v>
      </c>
      <c r="BB6" s="360">
        <v>0</v>
      </c>
      <c r="BC6" s="360">
        <v>0</v>
      </c>
      <c r="BD6" s="360">
        <v>0</v>
      </c>
      <c r="BE6" s="360">
        <v>0</v>
      </c>
      <c r="BF6" s="360">
        <v>0</v>
      </c>
      <c r="BG6" s="360">
        <v>0</v>
      </c>
      <c r="BH6" s="360">
        <v>0</v>
      </c>
      <c r="BI6" s="360">
        <v>0</v>
      </c>
      <c r="BJ6" s="362">
        <v>9.0256535918069574</v>
      </c>
      <c r="BK6" s="362">
        <v>9.0631567576771044</v>
      </c>
      <c r="BL6" s="362">
        <v>9.1008157557466589</v>
      </c>
      <c r="BM6" s="363">
        <v>9.0409818850916821</v>
      </c>
      <c r="BN6" s="363">
        <v>8.9815413958844399</v>
      </c>
      <c r="BO6" s="363">
        <v>8.9528604270697851</v>
      </c>
      <c r="BP6" s="363">
        <v>8.9242710458719898</v>
      </c>
      <c r="BQ6" s="363">
        <v>8.8957729598221427</v>
      </c>
      <c r="BR6" s="363">
        <v>8.8673658773852893</v>
      </c>
      <c r="BS6" s="363">
        <v>8.8390495079574372</v>
      </c>
      <c r="BT6" s="363">
        <v>8.9044316728285562</v>
      </c>
      <c r="BU6" s="363">
        <v>8.9702974674699778</v>
      </c>
      <c r="BV6" s="363">
        <v>9.0366504692755569</v>
      </c>
      <c r="BW6" s="363">
        <v>9.1034942821010159</v>
      </c>
      <c r="BX6" s="363">
        <v>9.1708325364596721</v>
      </c>
      <c r="BY6" s="435">
        <v>9.2077984831039927</v>
      </c>
      <c r="BZ6" s="435">
        <v>9.2447644297483151</v>
      </c>
      <c r="CA6" s="435">
        <v>9.2817303763926358</v>
      </c>
      <c r="CB6" s="435">
        <v>9.3186963230369582</v>
      </c>
      <c r="CC6" s="363">
        <v>9.3556622696812788</v>
      </c>
      <c r="CD6" s="435">
        <v>9.3859634200340629</v>
      </c>
      <c r="CE6" s="435">
        <v>9.4162645703868471</v>
      </c>
      <c r="CF6" s="435">
        <v>9.4465657207396294</v>
      </c>
      <c r="CG6" s="435">
        <v>9.4768668710924135</v>
      </c>
      <c r="CH6" s="363">
        <v>9.5071680214451977</v>
      </c>
      <c r="CI6" s="362">
        <v>0</v>
      </c>
      <c r="CJ6" s="362">
        <v>0</v>
      </c>
      <c r="CK6" s="362">
        <v>0</v>
      </c>
      <c r="CL6" s="363">
        <v>0</v>
      </c>
      <c r="CM6" s="363">
        <v>0</v>
      </c>
      <c r="CN6" s="363">
        <v>0</v>
      </c>
      <c r="CO6" s="363">
        <v>0</v>
      </c>
      <c r="CP6" s="363">
        <v>0</v>
      </c>
      <c r="CQ6" s="363">
        <v>0</v>
      </c>
      <c r="CR6" s="363">
        <v>0</v>
      </c>
      <c r="CS6" s="363">
        <v>0</v>
      </c>
      <c r="CT6" s="363">
        <v>0</v>
      </c>
      <c r="CU6" s="363">
        <v>0</v>
      </c>
      <c r="CV6" s="363">
        <v>0</v>
      </c>
      <c r="CW6" s="363">
        <v>0</v>
      </c>
      <c r="CX6" s="435">
        <v>0</v>
      </c>
      <c r="CY6" s="435">
        <v>0</v>
      </c>
      <c r="CZ6" s="435">
        <v>0</v>
      </c>
      <c r="DA6" s="435">
        <v>0</v>
      </c>
      <c r="DB6" s="363">
        <v>0</v>
      </c>
      <c r="DC6" s="435">
        <v>0</v>
      </c>
      <c r="DD6" s="435">
        <v>0</v>
      </c>
      <c r="DE6" s="435">
        <v>0</v>
      </c>
      <c r="DF6" s="435">
        <v>0</v>
      </c>
      <c r="DG6" s="363">
        <v>0</v>
      </c>
      <c r="DH6" s="362">
        <v>0</v>
      </c>
      <c r="DI6" s="362">
        <v>0</v>
      </c>
      <c r="DJ6" s="362">
        <v>0</v>
      </c>
      <c r="DK6" s="363">
        <v>0</v>
      </c>
      <c r="DL6" s="363">
        <v>0</v>
      </c>
      <c r="DM6" s="363">
        <v>0</v>
      </c>
      <c r="DN6" s="363">
        <v>0</v>
      </c>
      <c r="DO6" s="363">
        <v>0</v>
      </c>
      <c r="DP6" s="363">
        <v>0</v>
      </c>
      <c r="DQ6" s="363">
        <v>0</v>
      </c>
      <c r="DR6" s="363">
        <v>0</v>
      </c>
      <c r="DS6" s="363">
        <v>0</v>
      </c>
      <c r="DT6" s="363">
        <v>0</v>
      </c>
      <c r="DU6" s="363">
        <v>0</v>
      </c>
      <c r="DV6" s="363">
        <v>0</v>
      </c>
      <c r="DW6" s="435">
        <v>0</v>
      </c>
      <c r="DX6" s="435">
        <v>0</v>
      </c>
      <c r="DY6" s="435">
        <v>0</v>
      </c>
      <c r="DZ6" s="435">
        <v>0</v>
      </c>
      <c r="EA6" s="363">
        <v>0</v>
      </c>
      <c r="EB6" s="435">
        <v>0</v>
      </c>
      <c r="EC6" s="435">
        <v>0</v>
      </c>
      <c r="ED6" s="435">
        <v>0</v>
      </c>
      <c r="EE6" s="435">
        <v>0</v>
      </c>
      <c r="EF6" s="363">
        <v>0</v>
      </c>
      <c r="EG6" s="364">
        <v>1.1742978912056931E-2</v>
      </c>
      <c r="EH6" s="364">
        <v>1.1791773038872112E-2</v>
      </c>
      <c r="EI6" s="364">
        <v>1.1840769913799972E-2</v>
      </c>
      <c r="EJ6" s="365">
        <v>1.176292204669748E-2</v>
      </c>
      <c r="EK6" s="365">
        <v>1.1685585995165807E-2</v>
      </c>
      <c r="EL6" s="365">
        <v>1.1648270136702818E-2</v>
      </c>
      <c r="EM6" s="365">
        <v>1.1611073439854267E-2</v>
      </c>
      <c r="EN6" s="365">
        <v>1.1573995524098546E-2</v>
      </c>
      <c r="EO6" s="365">
        <v>1.1537036010129183E-2</v>
      </c>
      <c r="EP6" s="365">
        <v>1.1500194519850945E-2</v>
      </c>
      <c r="EQ6" s="365">
        <v>1.1585261088769915E-2</v>
      </c>
      <c r="ER6" s="365">
        <v>1.1670956892362709E-2</v>
      </c>
      <c r="ES6" s="365">
        <v>1.1757286585057971E-2</v>
      </c>
      <c r="ET6" s="365">
        <v>1.1844254855713004E-2</v>
      </c>
      <c r="EU6" s="365">
        <v>1.1931866427868426E-2</v>
      </c>
      <c r="EV6" s="436">
        <v>1.1979961596544358E-2</v>
      </c>
      <c r="EW6" s="436">
        <v>1.202805676522029E-2</v>
      </c>
      <c r="EX6" s="436">
        <v>1.2076151933896221E-2</v>
      </c>
      <c r="EY6" s="436">
        <v>1.2124247102572153E-2</v>
      </c>
      <c r="EZ6" s="365">
        <v>1.2172342271248086E-2</v>
      </c>
      <c r="FA6" s="436">
        <v>1.221176609424156E-2</v>
      </c>
      <c r="FB6" s="436">
        <v>1.2251189917235032E-2</v>
      </c>
      <c r="FC6" s="436">
        <v>1.2290613740228506E-2</v>
      </c>
      <c r="FD6" s="436">
        <v>1.2330037563221978E-2</v>
      </c>
      <c r="FE6" s="365">
        <v>1.2369461386215452E-2</v>
      </c>
      <c r="FF6" s="364">
        <v>0</v>
      </c>
      <c r="FG6" s="364">
        <v>0</v>
      </c>
      <c r="FH6" s="364">
        <v>0</v>
      </c>
      <c r="FI6" s="365">
        <v>0</v>
      </c>
      <c r="FJ6" s="365">
        <v>0</v>
      </c>
      <c r="FK6" s="365">
        <v>0</v>
      </c>
      <c r="FL6" s="365">
        <v>0</v>
      </c>
      <c r="FM6" s="365">
        <v>0</v>
      </c>
      <c r="FN6" s="365">
        <v>0</v>
      </c>
      <c r="FO6" s="365">
        <v>0</v>
      </c>
      <c r="FP6" s="365">
        <v>0</v>
      </c>
      <c r="FQ6" s="365">
        <v>0</v>
      </c>
      <c r="FR6" s="365">
        <v>0</v>
      </c>
      <c r="FS6" s="365">
        <v>0</v>
      </c>
      <c r="FT6" s="365">
        <v>0</v>
      </c>
      <c r="FU6" s="436">
        <v>0</v>
      </c>
      <c r="FV6" s="436">
        <v>0</v>
      </c>
      <c r="FW6" s="436">
        <v>0</v>
      </c>
      <c r="FX6" s="436">
        <v>0</v>
      </c>
      <c r="FY6" s="365">
        <v>0</v>
      </c>
      <c r="FZ6" s="436">
        <v>0</v>
      </c>
      <c r="GA6" s="436">
        <v>0</v>
      </c>
      <c r="GB6" s="436">
        <v>0</v>
      </c>
      <c r="GC6" s="436">
        <v>0</v>
      </c>
      <c r="GD6" s="365">
        <v>0</v>
      </c>
    </row>
    <row r="7" spans="1:186" ht="15" x14ac:dyDescent="0.25">
      <c r="A7" s="357">
        <v>133</v>
      </c>
      <c r="B7" s="357">
        <v>49</v>
      </c>
      <c r="C7" s="357" t="s">
        <v>916</v>
      </c>
      <c r="D7" s="2">
        <v>99714</v>
      </c>
      <c r="E7" s="268" t="s">
        <v>19</v>
      </c>
      <c r="F7" s="358" t="s">
        <v>915</v>
      </c>
      <c r="G7" s="49">
        <v>0</v>
      </c>
      <c r="H7" s="49">
        <v>1</v>
      </c>
      <c r="I7" s="49">
        <v>0</v>
      </c>
      <c r="J7" s="49">
        <v>1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834.49503068156923</v>
      </c>
      <c r="T7" s="49">
        <v>834.49503068156923</v>
      </c>
      <c r="U7" s="49">
        <v>1408.3846153846155</v>
      </c>
      <c r="V7" s="49">
        <v>0</v>
      </c>
      <c r="W7" s="49">
        <v>0</v>
      </c>
      <c r="X7" s="49">
        <v>1365.173957061457</v>
      </c>
      <c r="Y7" s="434">
        <v>0</v>
      </c>
      <c r="Z7" s="434">
        <v>0</v>
      </c>
      <c r="AA7" s="49">
        <v>2.2912335412335411E-2</v>
      </c>
      <c r="AB7" s="49">
        <v>0.97578828828828834</v>
      </c>
      <c r="AC7" s="49">
        <v>1.2993762993762994E-3</v>
      </c>
      <c r="AD7" s="285">
        <v>0</v>
      </c>
      <c r="AE7" s="285">
        <v>0</v>
      </c>
      <c r="AF7" s="359">
        <v>1</v>
      </c>
      <c r="AG7" s="360">
        <v>0</v>
      </c>
      <c r="AH7" s="360">
        <v>0</v>
      </c>
      <c r="AI7" s="361">
        <v>0</v>
      </c>
      <c r="AJ7" s="360">
        <v>0</v>
      </c>
      <c r="AK7" s="360">
        <v>2.1494750212074962E-2</v>
      </c>
      <c r="AL7" s="360">
        <v>0.91541630912634575</v>
      </c>
      <c r="AM7" s="360">
        <v>0.93691105933842067</v>
      </c>
      <c r="AN7" s="360">
        <v>1.2189839439740056E-3</v>
      </c>
      <c r="AO7" s="360">
        <v>0</v>
      </c>
      <c r="AP7" s="360">
        <v>0</v>
      </c>
      <c r="AQ7" s="360">
        <v>0</v>
      </c>
      <c r="AR7" s="360">
        <v>0</v>
      </c>
      <c r="AS7" s="360">
        <v>0</v>
      </c>
      <c r="AT7" s="360">
        <v>0</v>
      </c>
      <c r="AU7" s="360">
        <v>0.87894441264890677</v>
      </c>
      <c r="AV7" s="360">
        <v>0.9074650080055281</v>
      </c>
      <c r="AW7" s="360">
        <v>0.93691105933842067</v>
      </c>
      <c r="AX7" s="360">
        <v>0.96731259648228129</v>
      </c>
      <c r="AY7" s="360">
        <v>0.99870062370062374</v>
      </c>
      <c r="AZ7" s="360">
        <v>0</v>
      </c>
      <c r="BA7" s="360">
        <v>0</v>
      </c>
      <c r="BB7" s="360">
        <v>0</v>
      </c>
      <c r="BC7" s="360">
        <v>0</v>
      </c>
      <c r="BD7" s="360">
        <v>0</v>
      </c>
      <c r="BE7" s="360">
        <v>0</v>
      </c>
      <c r="BF7" s="360">
        <v>0</v>
      </c>
      <c r="BG7" s="360">
        <v>0</v>
      </c>
      <c r="BH7" s="360">
        <v>0</v>
      </c>
      <c r="BI7" s="360">
        <v>0</v>
      </c>
      <c r="BJ7" s="362">
        <v>1.002850399089662</v>
      </c>
      <c r="BK7" s="362">
        <v>1.0070174175196784</v>
      </c>
      <c r="BL7" s="362">
        <v>1.0112017506385176</v>
      </c>
      <c r="BM7" s="363">
        <v>1.0045535427879646</v>
      </c>
      <c r="BN7" s="363">
        <v>0.99794904398715989</v>
      </c>
      <c r="BO7" s="363">
        <v>0.99476226967442061</v>
      </c>
      <c r="BP7" s="363">
        <v>0.99158567176355428</v>
      </c>
      <c r="BQ7" s="363">
        <v>0.98841921775801578</v>
      </c>
      <c r="BR7" s="363">
        <v>0.98526287526503209</v>
      </c>
      <c r="BS7" s="363">
        <v>0.98211661199527078</v>
      </c>
      <c r="BT7" s="363">
        <v>0.98938129698095068</v>
      </c>
      <c r="BU7" s="363">
        <v>0.99669971860777529</v>
      </c>
      <c r="BV7" s="363">
        <v>1.0040722743639507</v>
      </c>
      <c r="BW7" s="363">
        <v>1.0114993646778905</v>
      </c>
      <c r="BX7" s="363">
        <v>1.0189813929399634</v>
      </c>
      <c r="BY7" s="435">
        <v>1.023088720344888</v>
      </c>
      <c r="BZ7" s="435">
        <v>1.0271960477498125</v>
      </c>
      <c r="CA7" s="435">
        <v>1.0313033751547374</v>
      </c>
      <c r="CB7" s="435">
        <v>1.0354107025596619</v>
      </c>
      <c r="CC7" s="363">
        <v>1.0395180299645865</v>
      </c>
      <c r="CD7" s="435">
        <v>1.0428848244482292</v>
      </c>
      <c r="CE7" s="435">
        <v>1.0462516189318718</v>
      </c>
      <c r="CF7" s="435">
        <v>1.0496184134155142</v>
      </c>
      <c r="CG7" s="435">
        <v>1.0529852078991568</v>
      </c>
      <c r="CH7" s="363">
        <v>1.0563520023827995</v>
      </c>
      <c r="CI7" s="362">
        <v>0</v>
      </c>
      <c r="CJ7" s="362">
        <v>0</v>
      </c>
      <c r="CK7" s="362">
        <v>0</v>
      </c>
      <c r="CL7" s="363">
        <v>0</v>
      </c>
      <c r="CM7" s="363">
        <v>0</v>
      </c>
      <c r="CN7" s="363">
        <v>0</v>
      </c>
      <c r="CO7" s="363">
        <v>0</v>
      </c>
      <c r="CP7" s="363">
        <v>0</v>
      </c>
      <c r="CQ7" s="363">
        <v>0</v>
      </c>
      <c r="CR7" s="363">
        <v>0</v>
      </c>
      <c r="CS7" s="363">
        <v>0</v>
      </c>
      <c r="CT7" s="363">
        <v>0</v>
      </c>
      <c r="CU7" s="363">
        <v>0</v>
      </c>
      <c r="CV7" s="363">
        <v>0</v>
      </c>
      <c r="CW7" s="363">
        <v>0</v>
      </c>
      <c r="CX7" s="435">
        <v>0</v>
      </c>
      <c r="CY7" s="435">
        <v>0</v>
      </c>
      <c r="CZ7" s="435">
        <v>0</v>
      </c>
      <c r="DA7" s="435">
        <v>0</v>
      </c>
      <c r="DB7" s="363">
        <v>0</v>
      </c>
      <c r="DC7" s="435">
        <v>0</v>
      </c>
      <c r="DD7" s="435">
        <v>0</v>
      </c>
      <c r="DE7" s="435">
        <v>0</v>
      </c>
      <c r="DF7" s="435">
        <v>0</v>
      </c>
      <c r="DG7" s="363">
        <v>0</v>
      </c>
      <c r="DH7" s="362">
        <v>0</v>
      </c>
      <c r="DI7" s="362">
        <v>0</v>
      </c>
      <c r="DJ7" s="362">
        <v>0</v>
      </c>
      <c r="DK7" s="363">
        <v>0</v>
      </c>
      <c r="DL7" s="363">
        <v>0</v>
      </c>
      <c r="DM7" s="363">
        <v>0</v>
      </c>
      <c r="DN7" s="363">
        <v>0</v>
      </c>
      <c r="DO7" s="363">
        <v>0</v>
      </c>
      <c r="DP7" s="363">
        <v>0</v>
      </c>
      <c r="DQ7" s="363">
        <v>0</v>
      </c>
      <c r="DR7" s="363">
        <v>0</v>
      </c>
      <c r="DS7" s="363">
        <v>0</v>
      </c>
      <c r="DT7" s="363">
        <v>0</v>
      </c>
      <c r="DU7" s="363">
        <v>0</v>
      </c>
      <c r="DV7" s="363">
        <v>0</v>
      </c>
      <c r="DW7" s="435">
        <v>0</v>
      </c>
      <c r="DX7" s="435">
        <v>0</v>
      </c>
      <c r="DY7" s="435">
        <v>0</v>
      </c>
      <c r="DZ7" s="435">
        <v>0</v>
      </c>
      <c r="EA7" s="363">
        <v>0</v>
      </c>
      <c r="EB7" s="435">
        <v>0</v>
      </c>
      <c r="EC7" s="435">
        <v>0</v>
      </c>
      <c r="ED7" s="435">
        <v>0</v>
      </c>
      <c r="EE7" s="435">
        <v>0</v>
      </c>
      <c r="EF7" s="363">
        <v>0</v>
      </c>
      <c r="EG7" s="364">
        <v>1.3047754346729925E-3</v>
      </c>
      <c r="EH7" s="364">
        <v>1.3101970043191235E-3</v>
      </c>
      <c r="EI7" s="364">
        <v>1.3156411015333303E-3</v>
      </c>
      <c r="EJ7" s="365">
        <v>1.3069913385219422E-3</v>
      </c>
      <c r="EK7" s="365">
        <v>1.298398443907312E-3</v>
      </c>
      <c r="EL7" s="365">
        <v>1.2942522374114241E-3</v>
      </c>
      <c r="EM7" s="365">
        <v>1.2901192710949186E-3</v>
      </c>
      <c r="EN7" s="365">
        <v>1.2859995026776162E-3</v>
      </c>
      <c r="EO7" s="365">
        <v>1.2818928900143536E-3</v>
      </c>
      <c r="EP7" s="365">
        <v>1.2777993910945496E-3</v>
      </c>
      <c r="EQ7" s="365">
        <v>1.2872512320855462E-3</v>
      </c>
      <c r="ER7" s="365">
        <v>1.2967729880403011E-3</v>
      </c>
      <c r="ES7" s="365">
        <v>1.3063651761175525E-3</v>
      </c>
      <c r="ET7" s="365">
        <v>1.316028317301445E-3</v>
      </c>
      <c r="EU7" s="365">
        <v>1.325762936429825E-3</v>
      </c>
      <c r="EV7" s="436">
        <v>1.3311068440604841E-3</v>
      </c>
      <c r="EW7" s="436">
        <v>1.3364507516911432E-3</v>
      </c>
      <c r="EX7" s="436">
        <v>1.3417946593218026E-3</v>
      </c>
      <c r="EY7" s="436">
        <v>1.3471385669524617E-3</v>
      </c>
      <c r="EZ7" s="365">
        <v>1.3524824745831208E-3</v>
      </c>
      <c r="FA7" s="436">
        <v>1.3568628993601733E-3</v>
      </c>
      <c r="FB7" s="436">
        <v>1.361243324137226E-3</v>
      </c>
      <c r="FC7" s="436">
        <v>1.3656237489142785E-3</v>
      </c>
      <c r="FD7" s="436">
        <v>1.3700041736913313E-3</v>
      </c>
      <c r="FE7" s="365">
        <v>1.3743845984683838E-3</v>
      </c>
      <c r="FF7" s="364">
        <v>0</v>
      </c>
      <c r="FG7" s="364">
        <v>0</v>
      </c>
      <c r="FH7" s="364">
        <v>0</v>
      </c>
      <c r="FI7" s="365">
        <v>0</v>
      </c>
      <c r="FJ7" s="365">
        <v>0</v>
      </c>
      <c r="FK7" s="365">
        <v>0</v>
      </c>
      <c r="FL7" s="365">
        <v>0</v>
      </c>
      <c r="FM7" s="365">
        <v>0</v>
      </c>
      <c r="FN7" s="365">
        <v>0</v>
      </c>
      <c r="FO7" s="365">
        <v>0</v>
      </c>
      <c r="FP7" s="365">
        <v>0</v>
      </c>
      <c r="FQ7" s="365">
        <v>0</v>
      </c>
      <c r="FR7" s="365">
        <v>0</v>
      </c>
      <c r="FS7" s="365">
        <v>0</v>
      </c>
      <c r="FT7" s="365">
        <v>0</v>
      </c>
      <c r="FU7" s="436">
        <v>0</v>
      </c>
      <c r="FV7" s="436">
        <v>0</v>
      </c>
      <c r="FW7" s="436">
        <v>0</v>
      </c>
      <c r="FX7" s="436">
        <v>0</v>
      </c>
      <c r="FY7" s="365">
        <v>0</v>
      </c>
      <c r="FZ7" s="436">
        <v>0</v>
      </c>
      <c r="GA7" s="436">
        <v>0</v>
      </c>
      <c r="GB7" s="436">
        <v>0</v>
      </c>
      <c r="GC7" s="436">
        <v>0</v>
      </c>
      <c r="GD7" s="365">
        <v>0</v>
      </c>
    </row>
    <row r="8" spans="1:186" ht="15" x14ac:dyDescent="0.25">
      <c r="A8" s="357">
        <v>156</v>
      </c>
      <c r="B8" s="357">
        <v>49</v>
      </c>
      <c r="C8" s="357" t="s">
        <v>917</v>
      </c>
      <c r="D8" s="2">
        <v>99714</v>
      </c>
      <c r="E8" s="268" t="s">
        <v>19</v>
      </c>
      <c r="F8" s="358" t="s">
        <v>915</v>
      </c>
      <c r="G8" s="49">
        <v>0</v>
      </c>
      <c r="H8" s="49">
        <v>2</v>
      </c>
      <c r="I8" s="49">
        <v>0</v>
      </c>
      <c r="J8" s="49">
        <v>2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834.49503068156923</v>
      </c>
      <c r="T8" s="49">
        <v>834.49503068156923</v>
      </c>
      <c r="U8" s="49">
        <v>1408.3846153846155</v>
      </c>
      <c r="V8" s="49">
        <v>0</v>
      </c>
      <c r="W8" s="49">
        <v>0</v>
      </c>
      <c r="X8" s="49">
        <v>1365.173957061457</v>
      </c>
      <c r="Y8" s="434">
        <v>0</v>
      </c>
      <c r="Z8" s="434">
        <v>0</v>
      </c>
      <c r="AA8" s="49">
        <v>4.5824670824670823E-2</v>
      </c>
      <c r="AB8" s="49">
        <v>1.9515765765765767</v>
      </c>
      <c r="AC8" s="49">
        <v>2.5987525987525989E-3</v>
      </c>
      <c r="AD8" s="285">
        <v>0</v>
      </c>
      <c r="AE8" s="285">
        <v>0</v>
      </c>
      <c r="AF8" s="359">
        <v>2</v>
      </c>
      <c r="AG8" s="360">
        <v>0</v>
      </c>
      <c r="AH8" s="360">
        <v>0</v>
      </c>
      <c r="AI8" s="361">
        <v>0</v>
      </c>
      <c r="AJ8" s="360">
        <v>0</v>
      </c>
      <c r="AK8" s="360">
        <v>4.2989500424149923E-2</v>
      </c>
      <c r="AL8" s="360">
        <v>1.8308326182526915</v>
      </c>
      <c r="AM8" s="360">
        <v>1.8738221186768413</v>
      </c>
      <c r="AN8" s="360">
        <v>2.4379678879480112E-3</v>
      </c>
      <c r="AO8" s="360">
        <v>0</v>
      </c>
      <c r="AP8" s="360">
        <v>0</v>
      </c>
      <c r="AQ8" s="360">
        <v>0</v>
      </c>
      <c r="AR8" s="360">
        <v>0</v>
      </c>
      <c r="AS8" s="360">
        <v>0</v>
      </c>
      <c r="AT8" s="360">
        <v>0</v>
      </c>
      <c r="AU8" s="360">
        <v>1.7578888252978135</v>
      </c>
      <c r="AV8" s="360">
        <v>1.8149300160110562</v>
      </c>
      <c r="AW8" s="360">
        <v>1.8738221186768413</v>
      </c>
      <c r="AX8" s="360">
        <v>1.9346251929645626</v>
      </c>
      <c r="AY8" s="360">
        <v>1.9974012474012475</v>
      </c>
      <c r="AZ8" s="360">
        <v>0</v>
      </c>
      <c r="BA8" s="360">
        <v>0</v>
      </c>
      <c r="BB8" s="360">
        <v>0</v>
      </c>
      <c r="BC8" s="360">
        <v>0</v>
      </c>
      <c r="BD8" s="360">
        <v>0</v>
      </c>
      <c r="BE8" s="360">
        <v>0</v>
      </c>
      <c r="BF8" s="360">
        <v>0</v>
      </c>
      <c r="BG8" s="360">
        <v>0</v>
      </c>
      <c r="BH8" s="360">
        <v>0</v>
      </c>
      <c r="BI8" s="360">
        <v>0</v>
      </c>
      <c r="BJ8" s="362">
        <v>2.0138143303043763</v>
      </c>
      <c r="BK8" s="362">
        <v>2.0303622830994388</v>
      </c>
      <c r="BL8" s="362">
        <v>2.0470462140418344</v>
      </c>
      <c r="BM8" s="363">
        <v>2.0335877833161713</v>
      </c>
      <c r="BN8" s="363">
        <v>2.0202178358677081</v>
      </c>
      <c r="BO8" s="363">
        <v>2.0137666264154106</v>
      </c>
      <c r="BP8" s="363">
        <v>2.0073360177630168</v>
      </c>
      <c r="BQ8" s="363">
        <v>2.0009259441255036</v>
      </c>
      <c r="BR8" s="363">
        <v>1.9945363399279219</v>
      </c>
      <c r="BS8" s="363">
        <v>1.9881671398047249</v>
      </c>
      <c r="BT8" s="363">
        <v>2.0028735481814435</v>
      </c>
      <c r="BU8" s="363">
        <v>2.0176887393878404</v>
      </c>
      <c r="BV8" s="363">
        <v>2.0326135180870084</v>
      </c>
      <c r="BW8" s="363">
        <v>2.0476486948941068</v>
      </c>
      <c r="BX8" s="363">
        <v>2.0627950864203863</v>
      </c>
      <c r="BY8" s="435">
        <v>2.071109835686566</v>
      </c>
      <c r="BZ8" s="435">
        <v>2.0794245849527457</v>
      </c>
      <c r="CA8" s="435">
        <v>2.0877393342189254</v>
      </c>
      <c r="CB8" s="435">
        <v>2.0960540834851051</v>
      </c>
      <c r="CC8" s="363">
        <v>2.1043688327512848</v>
      </c>
      <c r="CD8" s="435">
        <v>2.1111844695881925</v>
      </c>
      <c r="CE8" s="435">
        <v>2.1180001064251002</v>
      </c>
      <c r="CF8" s="435">
        <v>2.1248157432620083</v>
      </c>
      <c r="CG8" s="435">
        <v>2.131631380098916</v>
      </c>
      <c r="CH8" s="363">
        <v>2.1384470169358236</v>
      </c>
      <c r="CI8" s="362">
        <v>0</v>
      </c>
      <c r="CJ8" s="362">
        <v>0</v>
      </c>
      <c r="CK8" s="362">
        <v>0</v>
      </c>
      <c r="CL8" s="363">
        <v>0</v>
      </c>
      <c r="CM8" s="363">
        <v>0</v>
      </c>
      <c r="CN8" s="363">
        <v>0</v>
      </c>
      <c r="CO8" s="363">
        <v>0</v>
      </c>
      <c r="CP8" s="363">
        <v>0</v>
      </c>
      <c r="CQ8" s="363">
        <v>0</v>
      </c>
      <c r="CR8" s="363">
        <v>0</v>
      </c>
      <c r="CS8" s="363">
        <v>0</v>
      </c>
      <c r="CT8" s="363">
        <v>0</v>
      </c>
      <c r="CU8" s="363">
        <v>0</v>
      </c>
      <c r="CV8" s="363">
        <v>0</v>
      </c>
      <c r="CW8" s="363">
        <v>0</v>
      </c>
      <c r="CX8" s="435">
        <v>0</v>
      </c>
      <c r="CY8" s="435">
        <v>0</v>
      </c>
      <c r="CZ8" s="435">
        <v>0</v>
      </c>
      <c r="DA8" s="435">
        <v>0</v>
      </c>
      <c r="DB8" s="363">
        <v>0</v>
      </c>
      <c r="DC8" s="435">
        <v>0</v>
      </c>
      <c r="DD8" s="435">
        <v>0</v>
      </c>
      <c r="DE8" s="435">
        <v>0</v>
      </c>
      <c r="DF8" s="435">
        <v>0</v>
      </c>
      <c r="DG8" s="363">
        <v>0</v>
      </c>
      <c r="DH8" s="362">
        <v>0</v>
      </c>
      <c r="DI8" s="362">
        <v>0</v>
      </c>
      <c r="DJ8" s="362">
        <v>0</v>
      </c>
      <c r="DK8" s="363">
        <v>0</v>
      </c>
      <c r="DL8" s="363">
        <v>0</v>
      </c>
      <c r="DM8" s="363">
        <v>0</v>
      </c>
      <c r="DN8" s="363">
        <v>0</v>
      </c>
      <c r="DO8" s="363">
        <v>0</v>
      </c>
      <c r="DP8" s="363">
        <v>0</v>
      </c>
      <c r="DQ8" s="363">
        <v>0</v>
      </c>
      <c r="DR8" s="363">
        <v>0</v>
      </c>
      <c r="DS8" s="363">
        <v>0</v>
      </c>
      <c r="DT8" s="363">
        <v>0</v>
      </c>
      <c r="DU8" s="363">
        <v>0</v>
      </c>
      <c r="DV8" s="363">
        <v>0</v>
      </c>
      <c r="DW8" s="435">
        <v>0</v>
      </c>
      <c r="DX8" s="435">
        <v>0</v>
      </c>
      <c r="DY8" s="435">
        <v>0</v>
      </c>
      <c r="DZ8" s="435">
        <v>0</v>
      </c>
      <c r="EA8" s="363">
        <v>0</v>
      </c>
      <c r="EB8" s="435">
        <v>0</v>
      </c>
      <c r="EC8" s="435">
        <v>0</v>
      </c>
      <c r="ED8" s="435">
        <v>0</v>
      </c>
      <c r="EE8" s="435">
        <v>0</v>
      </c>
      <c r="EF8" s="363">
        <v>0</v>
      </c>
      <c r="EG8" s="364">
        <v>2.6201071172318193E-3</v>
      </c>
      <c r="EH8" s="364">
        <v>2.6416371104598475E-3</v>
      </c>
      <c r="EI8" s="364">
        <v>2.6633440203510726E-3</v>
      </c>
      <c r="EJ8" s="365">
        <v>2.6458337019466191E-3</v>
      </c>
      <c r="EK8" s="365">
        <v>2.6284385062031066E-3</v>
      </c>
      <c r="EL8" s="365">
        <v>2.620045051282085E-3</v>
      </c>
      <c r="EM8" s="365">
        <v>2.6116783993794129E-3</v>
      </c>
      <c r="EN8" s="365">
        <v>2.603338464904376E-3</v>
      </c>
      <c r="EO8" s="365">
        <v>2.5950251625395811E-3</v>
      </c>
      <c r="EP8" s="365">
        <v>2.5867384072400792E-3</v>
      </c>
      <c r="EQ8" s="365">
        <v>2.6058724280268583E-3</v>
      </c>
      <c r="ER8" s="365">
        <v>2.6251479825498835E-3</v>
      </c>
      <c r="ES8" s="365">
        <v>2.6445661177296495E-3</v>
      </c>
      <c r="ET8" s="365">
        <v>2.6641278882306879E-3</v>
      </c>
      <c r="EU8" s="365">
        <v>2.6838343565188478E-3</v>
      </c>
      <c r="EV8" s="436">
        <v>2.6946524013616523E-3</v>
      </c>
      <c r="EW8" s="436">
        <v>2.7054704462044572E-3</v>
      </c>
      <c r="EX8" s="436">
        <v>2.7162884910472617E-3</v>
      </c>
      <c r="EY8" s="436">
        <v>2.7271065358900667E-3</v>
      </c>
      <c r="EZ8" s="365">
        <v>2.7379245807328712E-3</v>
      </c>
      <c r="FA8" s="436">
        <v>2.7467921800522935E-3</v>
      </c>
      <c r="FB8" s="436">
        <v>2.7556597793717153E-3</v>
      </c>
      <c r="FC8" s="436">
        <v>2.7645273786911376E-3</v>
      </c>
      <c r="FD8" s="436">
        <v>2.7733949780105595E-3</v>
      </c>
      <c r="FE8" s="365">
        <v>2.7822625773299818E-3</v>
      </c>
      <c r="FF8" s="364">
        <v>0</v>
      </c>
      <c r="FG8" s="364">
        <v>0</v>
      </c>
      <c r="FH8" s="364">
        <v>0</v>
      </c>
      <c r="FI8" s="365">
        <v>0</v>
      </c>
      <c r="FJ8" s="365">
        <v>0</v>
      </c>
      <c r="FK8" s="365">
        <v>0</v>
      </c>
      <c r="FL8" s="365">
        <v>0</v>
      </c>
      <c r="FM8" s="365">
        <v>0</v>
      </c>
      <c r="FN8" s="365">
        <v>0</v>
      </c>
      <c r="FO8" s="365">
        <v>0</v>
      </c>
      <c r="FP8" s="365">
        <v>0</v>
      </c>
      <c r="FQ8" s="365">
        <v>0</v>
      </c>
      <c r="FR8" s="365">
        <v>0</v>
      </c>
      <c r="FS8" s="365">
        <v>0</v>
      </c>
      <c r="FT8" s="365">
        <v>0</v>
      </c>
      <c r="FU8" s="436">
        <v>0</v>
      </c>
      <c r="FV8" s="436">
        <v>0</v>
      </c>
      <c r="FW8" s="436">
        <v>0</v>
      </c>
      <c r="FX8" s="436">
        <v>0</v>
      </c>
      <c r="FY8" s="365">
        <v>0</v>
      </c>
      <c r="FZ8" s="436">
        <v>0</v>
      </c>
      <c r="GA8" s="436">
        <v>0</v>
      </c>
      <c r="GB8" s="436">
        <v>0</v>
      </c>
      <c r="GC8" s="436">
        <v>0</v>
      </c>
      <c r="GD8" s="365">
        <v>0</v>
      </c>
    </row>
    <row r="9" spans="1:186" ht="15" x14ac:dyDescent="0.25">
      <c r="A9" s="357">
        <v>158</v>
      </c>
      <c r="B9" s="357">
        <v>49</v>
      </c>
      <c r="C9" s="357" t="s">
        <v>918</v>
      </c>
      <c r="D9" s="2">
        <v>99714</v>
      </c>
      <c r="E9" s="268" t="s">
        <v>19</v>
      </c>
      <c r="F9" s="358" t="s">
        <v>915</v>
      </c>
      <c r="G9" s="49">
        <v>0</v>
      </c>
      <c r="H9" s="49">
        <v>2</v>
      </c>
      <c r="I9" s="49">
        <v>0</v>
      </c>
      <c r="J9" s="49">
        <v>2</v>
      </c>
      <c r="K9" s="49">
        <v>0</v>
      </c>
      <c r="L9" s="49">
        <v>2</v>
      </c>
      <c r="M9" s="49">
        <v>2</v>
      </c>
      <c r="N9" s="49">
        <v>0</v>
      </c>
      <c r="O9" s="49">
        <v>0</v>
      </c>
      <c r="P9" s="49">
        <v>0</v>
      </c>
      <c r="Q9" s="49">
        <v>2</v>
      </c>
      <c r="R9" s="49">
        <v>0</v>
      </c>
      <c r="S9" s="49">
        <v>1003</v>
      </c>
      <c r="T9" s="49">
        <v>1003</v>
      </c>
      <c r="U9" s="49">
        <v>0</v>
      </c>
      <c r="V9" s="49">
        <v>0</v>
      </c>
      <c r="W9" s="49">
        <v>0</v>
      </c>
      <c r="X9" s="49">
        <v>1003</v>
      </c>
      <c r="Y9" s="434">
        <v>2006</v>
      </c>
      <c r="Z9" s="434">
        <v>0</v>
      </c>
      <c r="AA9" s="49">
        <v>0</v>
      </c>
      <c r="AB9" s="49">
        <v>2</v>
      </c>
      <c r="AC9" s="49">
        <v>0</v>
      </c>
      <c r="AD9" s="285">
        <v>0</v>
      </c>
      <c r="AE9" s="285">
        <v>0</v>
      </c>
      <c r="AF9" s="359">
        <v>2</v>
      </c>
      <c r="AG9" s="360">
        <v>0</v>
      </c>
      <c r="AH9" s="360">
        <v>0</v>
      </c>
      <c r="AI9" s="361">
        <v>0</v>
      </c>
      <c r="AJ9" s="360">
        <v>0</v>
      </c>
      <c r="AK9" s="360">
        <v>0</v>
      </c>
      <c r="AL9" s="360">
        <v>1.8762600865647894</v>
      </c>
      <c r="AM9" s="360">
        <v>1.8762600865647894</v>
      </c>
      <c r="AN9" s="360">
        <v>0</v>
      </c>
      <c r="AO9" s="360">
        <v>0</v>
      </c>
      <c r="AP9" s="360">
        <v>0</v>
      </c>
      <c r="AQ9" s="360">
        <v>0</v>
      </c>
      <c r="AR9" s="360">
        <v>0</v>
      </c>
      <c r="AS9" s="360">
        <v>0</v>
      </c>
      <c r="AT9" s="360">
        <v>0</v>
      </c>
      <c r="AU9" s="360">
        <v>1.7601759562180552</v>
      </c>
      <c r="AV9" s="360">
        <v>1.8172913613350361</v>
      </c>
      <c r="AW9" s="360">
        <v>1.8762600865647894</v>
      </c>
      <c r="AX9" s="360">
        <v>1.9371422697183545</v>
      </c>
      <c r="AY9" s="360">
        <v>2</v>
      </c>
      <c r="AZ9" s="360">
        <v>0</v>
      </c>
      <c r="BA9" s="360">
        <v>0</v>
      </c>
      <c r="BB9" s="360">
        <v>0</v>
      </c>
      <c r="BC9" s="360">
        <v>0</v>
      </c>
      <c r="BD9" s="360">
        <v>0</v>
      </c>
      <c r="BE9" s="360">
        <v>0</v>
      </c>
      <c r="BF9" s="360">
        <v>0</v>
      </c>
      <c r="BG9" s="360">
        <v>0</v>
      </c>
      <c r="BH9" s="360">
        <v>0</v>
      </c>
      <c r="BI9" s="360">
        <v>0</v>
      </c>
      <c r="BJ9" s="362">
        <v>2.0164344374216081</v>
      </c>
      <c r="BK9" s="362">
        <v>2.0330039202098984</v>
      </c>
      <c r="BL9" s="362">
        <v>2.0497095580621854</v>
      </c>
      <c r="BM9" s="363">
        <v>2.0362336170181181</v>
      </c>
      <c r="BN9" s="363">
        <v>2.0228462743739111</v>
      </c>
      <c r="BO9" s="363">
        <v>2.0163866714666927</v>
      </c>
      <c r="BP9" s="363">
        <v>2.0099476961623961</v>
      </c>
      <c r="BQ9" s="363">
        <v>2.0035292825904079</v>
      </c>
      <c r="BR9" s="363">
        <v>1.9971313650904614</v>
      </c>
      <c r="BS9" s="363">
        <v>1.9907538782119649</v>
      </c>
      <c r="BT9" s="363">
        <v>2.0054794206094702</v>
      </c>
      <c r="BU9" s="363">
        <v>2.0203138873703903</v>
      </c>
      <c r="BV9" s="363">
        <v>2.0352580842047381</v>
      </c>
      <c r="BW9" s="363">
        <v>2.0503128227823373</v>
      </c>
      <c r="BX9" s="363">
        <v>2.0654789207769051</v>
      </c>
      <c r="BY9" s="435">
        <v>2.0738044880879274</v>
      </c>
      <c r="BZ9" s="435">
        <v>2.0821300553989501</v>
      </c>
      <c r="CA9" s="435">
        <v>2.0904556227099724</v>
      </c>
      <c r="CB9" s="435">
        <v>2.0987811900209952</v>
      </c>
      <c r="CC9" s="363">
        <v>2.1071067573320175</v>
      </c>
      <c r="CD9" s="435">
        <v>2.1139312617682449</v>
      </c>
      <c r="CE9" s="435">
        <v>2.1207557662044718</v>
      </c>
      <c r="CF9" s="435">
        <v>2.1275802706406992</v>
      </c>
      <c r="CG9" s="435">
        <v>2.1344047750769262</v>
      </c>
      <c r="CH9" s="363">
        <v>2.1412292795131536</v>
      </c>
      <c r="CI9" s="362">
        <v>0</v>
      </c>
      <c r="CJ9" s="362">
        <v>0</v>
      </c>
      <c r="CK9" s="362">
        <v>0</v>
      </c>
      <c r="CL9" s="363">
        <v>0</v>
      </c>
      <c r="CM9" s="363">
        <v>0</v>
      </c>
      <c r="CN9" s="363">
        <v>0</v>
      </c>
      <c r="CO9" s="363">
        <v>0</v>
      </c>
      <c r="CP9" s="363">
        <v>0</v>
      </c>
      <c r="CQ9" s="363">
        <v>0</v>
      </c>
      <c r="CR9" s="363">
        <v>0</v>
      </c>
      <c r="CS9" s="363">
        <v>0</v>
      </c>
      <c r="CT9" s="363">
        <v>0</v>
      </c>
      <c r="CU9" s="363">
        <v>0</v>
      </c>
      <c r="CV9" s="363">
        <v>0</v>
      </c>
      <c r="CW9" s="363">
        <v>0</v>
      </c>
      <c r="CX9" s="435">
        <v>0</v>
      </c>
      <c r="CY9" s="435">
        <v>0</v>
      </c>
      <c r="CZ9" s="435">
        <v>0</v>
      </c>
      <c r="DA9" s="435">
        <v>0</v>
      </c>
      <c r="DB9" s="363">
        <v>0</v>
      </c>
      <c r="DC9" s="435">
        <v>0</v>
      </c>
      <c r="DD9" s="435">
        <v>0</v>
      </c>
      <c r="DE9" s="435">
        <v>0</v>
      </c>
      <c r="DF9" s="435">
        <v>0</v>
      </c>
      <c r="DG9" s="363">
        <v>0</v>
      </c>
      <c r="DH9" s="362">
        <v>0</v>
      </c>
      <c r="DI9" s="362">
        <v>0</v>
      </c>
      <c r="DJ9" s="362">
        <v>0</v>
      </c>
      <c r="DK9" s="363">
        <v>0</v>
      </c>
      <c r="DL9" s="363">
        <v>0</v>
      </c>
      <c r="DM9" s="363">
        <v>0</v>
      </c>
      <c r="DN9" s="363">
        <v>0</v>
      </c>
      <c r="DO9" s="363">
        <v>0</v>
      </c>
      <c r="DP9" s="363">
        <v>0</v>
      </c>
      <c r="DQ9" s="363">
        <v>0</v>
      </c>
      <c r="DR9" s="363">
        <v>0</v>
      </c>
      <c r="DS9" s="363">
        <v>0</v>
      </c>
      <c r="DT9" s="363">
        <v>0</v>
      </c>
      <c r="DU9" s="363">
        <v>0</v>
      </c>
      <c r="DV9" s="363">
        <v>0</v>
      </c>
      <c r="DW9" s="435">
        <v>0</v>
      </c>
      <c r="DX9" s="435">
        <v>0</v>
      </c>
      <c r="DY9" s="435">
        <v>0</v>
      </c>
      <c r="DZ9" s="435">
        <v>0</v>
      </c>
      <c r="EA9" s="363">
        <v>0</v>
      </c>
      <c r="EB9" s="435">
        <v>0</v>
      </c>
      <c r="EC9" s="435">
        <v>0</v>
      </c>
      <c r="ED9" s="435">
        <v>0</v>
      </c>
      <c r="EE9" s="435">
        <v>0</v>
      </c>
      <c r="EF9" s="363">
        <v>0</v>
      </c>
      <c r="EG9" s="364">
        <v>0</v>
      </c>
      <c r="EH9" s="364">
        <v>0</v>
      </c>
      <c r="EI9" s="364">
        <v>0</v>
      </c>
      <c r="EJ9" s="365">
        <v>0</v>
      </c>
      <c r="EK9" s="365">
        <v>0</v>
      </c>
      <c r="EL9" s="365">
        <v>0</v>
      </c>
      <c r="EM9" s="365">
        <v>0</v>
      </c>
      <c r="EN9" s="365">
        <v>0</v>
      </c>
      <c r="EO9" s="365">
        <v>0</v>
      </c>
      <c r="EP9" s="365">
        <v>0</v>
      </c>
      <c r="EQ9" s="365">
        <v>0</v>
      </c>
      <c r="ER9" s="365">
        <v>0</v>
      </c>
      <c r="ES9" s="365">
        <v>0</v>
      </c>
      <c r="ET9" s="365">
        <v>0</v>
      </c>
      <c r="EU9" s="365">
        <v>0</v>
      </c>
      <c r="EV9" s="436">
        <v>0</v>
      </c>
      <c r="EW9" s="436">
        <v>0</v>
      </c>
      <c r="EX9" s="436">
        <v>0</v>
      </c>
      <c r="EY9" s="436">
        <v>0</v>
      </c>
      <c r="EZ9" s="365">
        <v>0</v>
      </c>
      <c r="FA9" s="436">
        <v>0</v>
      </c>
      <c r="FB9" s="436">
        <v>0</v>
      </c>
      <c r="FC9" s="436">
        <v>0</v>
      </c>
      <c r="FD9" s="436">
        <v>0</v>
      </c>
      <c r="FE9" s="365">
        <v>0</v>
      </c>
      <c r="FF9" s="364">
        <v>0</v>
      </c>
      <c r="FG9" s="364">
        <v>0</v>
      </c>
      <c r="FH9" s="364">
        <v>0</v>
      </c>
      <c r="FI9" s="365">
        <v>0</v>
      </c>
      <c r="FJ9" s="365">
        <v>0</v>
      </c>
      <c r="FK9" s="365">
        <v>0</v>
      </c>
      <c r="FL9" s="365">
        <v>0</v>
      </c>
      <c r="FM9" s="365">
        <v>0</v>
      </c>
      <c r="FN9" s="365">
        <v>0</v>
      </c>
      <c r="FO9" s="365">
        <v>0</v>
      </c>
      <c r="FP9" s="365">
        <v>0</v>
      </c>
      <c r="FQ9" s="365">
        <v>0</v>
      </c>
      <c r="FR9" s="365">
        <v>0</v>
      </c>
      <c r="FS9" s="365">
        <v>0</v>
      </c>
      <c r="FT9" s="365">
        <v>0</v>
      </c>
      <c r="FU9" s="436">
        <v>0</v>
      </c>
      <c r="FV9" s="436">
        <v>0</v>
      </c>
      <c r="FW9" s="436">
        <v>0</v>
      </c>
      <c r="FX9" s="436">
        <v>0</v>
      </c>
      <c r="FY9" s="365">
        <v>0</v>
      </c>
      <c r="FZ9" s="436">
        <v>0</v>
      </c>
      <c r="GA9" s="436">
        <v>0</v>
      </c>
      <c r="GB9" s="436">
        <v>0</v>
      </c>
      <c r="GC9" s="436">
        <v>0</v>
      </c>
      <c r="GD9" s="365">
        <v>0</v>
      </c>
    </row>
    <row r="10" spans="1:186" ht="15" x14ac:dyDescent="0.25">
      <c r="A10" s="357">
        <v>148</v>
      </c>
      <c r="B10" s="357">
        <v>50</v>
      </c>
      <c r="C10" s="357" t="s">
        <v>919</v>
      </c>
      <c r="D10" s="2">
        <v>99714</v>
      </c>
      <c r="E10" s="268" t="s">
        <v>19</v>
      </c>
      <c r="F10" s="358" t="s">
        <v>915</v>
      </c>
      <c r="G10" s="49">
        <v>12</v>
      </c>
      <c r="H10" s="49">
        <v>46</v>
      </c>
      <c r="I10" s="49">
        <v>8</v>
      </c>
      <c r="J10" s="49">
        <v>38</v>
      </c>
      <c r="K10" s="49">
        <v>0</v>
      </c>
      <c r="L10" s="49">
        <v>1</v>
      </c>
      <c r="M10" s="49">
        <v>1</v>
      </c>
      <c r="N10" s="49">
        <v>0</v>
      </c>
      <c r="O10" s="49">
        <v>0</v>
      </c>
      <c r="P10" s="49">
        <v>0</v>
      </c>
      <c r="Q10" s="49">
        <v>1</v>
      </c>
      <c r="R10" s="49">
        <v>0</v>
      </c>
      <c r="S10" s="49">
        <v>448</v>
      </c>
      <c r="T10" s="49">
        <v>448</v>
      </c>
      <c r="U10" s="49">
        <v>0</v>
      </c>
      <c r="V10" s="49">
        <v>0</v>
      </c>
      <c r="W10" s="49">
        <v>0</v>
      </c>
      <c r="X10" s="49">
        <v>448</v>
      </c>
      <c r="Y10" s="434">
        <v>448</v>
      </c>
      <c r="Z10" s="434">
        <v>0</v>
      </c>
      <c r="AA10" s="49">
        <v>0</v>
      </c>
      <c r="AB10" s="49">
        <v>46</v>
      </c>
      <c r="AC10" s="49">
        <v>0</v>
      </c>
      <c r="AD10" s="285">
        <v>0</v>
      </c>
      <c r="AE10" s="285">
        <v>0</v>
      </c>
      <c r="AF10" s="359">
        <v>46</v>
      </c>
      <c r="AG10" s="360">
        <v>0</v>
      </c>
      <c r="AH10" s="360">
        <v>8</v>
      </c>
      <c r="AI10" s="361">
        <v>8</v>
      </c>
      <c r="AJ10" s="360">
        <v>0</v>
      </c>
      <c r="AK10" s="360">
        <v>0</v>
      </c>
      <c r="AL10" s="360">
        <v>43.153981990990154</v>
      </c>
      <c r="AM10" s="360">
        <v>43.153981990990154</v>
      </c>
      <c r="AN10" s="360">
        <v>0</v>
      </c>
      <c r="AO10" s="360">
        <v>0</v>
      </c>
      <c r="AP10" s="360">
        <v>7.6511135818042781</v>
      </c>
      <c r="AQ10" s="360">
        <v>7.6511135818042781</v>
      </c>
      <c r="AR10" s="360">
        <v>0</v>
      </c>
      <c r="AS10" s="360">
        <v>0</v>
      </c>
      <c r="AT10" s="360">
        <v>0</v>
      </c>
      <c r="AU10" s="360">
        <v>40.484046993015269</v>
      </c>
      <c r="AV10" s="360">
        <v>41.797701310705833</v>
      </c>
      <c r="AW10" s="360">
        <v>43.153981990990154</v>
      </c>
      <c r="AX10" s="360">
        <v>44.554272203522153</v>
      </c>
      <c r="AY10" s="360">
        <v>46</v>
      </c>
      <c r="AZ10" s="360">
        <v>7.3174423802087363</v>
      </c>
      <c r="BA10" s="360">
        <v>7.4824182440762614</v>
      </c>
      <c r="BB10" s="360">
        <v>7.6511135818042781</v>
      </c>
      <c r="BC10" s="360">
        <v>7.8236122510279245</v>
      </c>
      <c r="BD10" s="360">
        <v>8</v>
      </c>
      <c r="BE10" s="360">
        <v>0</v>
      </c>
      <c r="BF10" s="360">
        <v>0</v>
      </c>
      <c r="BG10" s="360">
        <v>0</v>
      </c>
      <c r="BH10" s="360">
        <v>0</v>
      </c>
      <c r="BI10" s="360">
        <v>0</v>
      </c>
      <c r="BJ10" s="362">
        <v>46.37799206069699</v>
      </c>
      <c r="BK10" s="362">
        <v>46.759090164827661</v>
      </c>
      <c r="BL10" s="362">
        <v>47.143319835430262</v>
      </c>
      <c r="BM10" s="363">
        <v>46.833373191416712</v>
      </c>
      <c r="BN10" s="363">
        <v>46.525464310599951</v>
      </c>
      <c r="BO10" s="363">
        <v>46.376893443733927</v>
      </c>
      <c r="BP10" s="363">
        <v>46.228797011735104</v>
      </c>
      <c r="BQ10" s="363">
        <v>46.081173499579378</v>
      </c>
      <c r="BR10" s="363">
        <v>45.934021397080613</v>
      </c>
      <c r="BS10" s="363">
        <v>45.787339198875195</v>
      </c>
      <c r="BT10" s="363">
        <v>46.126026674017808</v>
      </c>
      <c r="BU10" s="363">
        <v>46.467219409518975</v>
      </c>
      <c r="BV10" s="363">
        <v>46.810935936708979</v>
      </c>
      <c r="BW10" s="363">
        <v>47.157194923993757</v>
      </c>
      <c r="BX10" s="363">
        <v>47.506015177868818</v>
      </c>
      <c r="BY10" s="435">
        <v>47.697503226022334</v>
      </c>
      <c r="BZ10" s="435">
        <v>47.888991274175851</v>
      </c>
      <c r="CA10" s="435">
        <v>48.080479322329367</v>
      </c>
      <c r="CB10" s="435">
        <v>48.271967370482884</v>
      </c>
      <c r="CC10" s="363">
        <v>48.4634554186364</v>
      </c>
      <c r="CD10" s="435">
        <v>48.62041902066963</v>
      </c>
      <c r="CE10" s="435">
        <v>48.777382622702852</v>
      </c>
      <c r="CF10" s="435">
        <v>48.934346224736082</v>
      </c>
      <c r="CG10" s="435">
        <v>49.091309826769304</v>
      </c>
      <c r="CH10" s="363">
        <v>49.248273428802534</v>
      </c>
      <c r="CI10" s="362">
        <v>8.0657377496864324</v>
      </c>
      <c r="CJ10" s="362">
        <v>8.1320156808395936</v>
      </c>
      <c r="CK10" s="362">
        <v>8.1988382322487414</v>
      </c>
      <c r="CL10" s="363">
        <v>8.1449344680724725</v>
      </c>
      <c r="CM10" s="363">
        <v>8.0913850974956443</v>
      </c>
      <c r="CN10" s="363">
        <v>8.0655466858667708</v>
      </c>
      <c r="CO10" s="363">
        <v>8.0397907846495844</v>
      </c>
      <c r="CP10" s="363">
        <v>8.0141171303616314</v>
      </c>
      <c r="CQ10" s="363">
        <v>7.9885254603618456</v>
      </c>
      <c r="CR10" s="363">
        <v>7.9630155128478597</v>
      </c>
      <c r="CS10" s="363">
        <v>8.0219176824378806</v>
      </c>
      <c r="CT10" s="363">
        <v>8.0812555494815612</v>
      </c>
      <c r="CU10" s="363">
        <v>8.1410323368189523</v>
      </c>
      <c r="CV10" s="363">
        <v>8.2012512911293491</v>
      </c>
      <c r="CW10" s="363">
        <v>8.2619156831076204</v>
      </c>
      <c r="CX10" s="435">
        <v>8.2952179523517096</v>
      </c>
      <c r="CY10" s="435">
        <v>8.3285202215958005</v>
      </c>
      <c r="CZ10" s="435">
        <v>8.3618224908398897</v>
      </c>
      <c r="DA10" s="435">
        <v>8.3951247600839807</v>
      </c>
      <c r="DB10" s="363">
        <v>8.4284270293280699</v>
      </c>
      <c r="DC10" s="435">
        <v>8.4557250470729795</v>
      </c>
      <c r="DD10" s="435">
        <v>8.4830230648178873</v>
      </c>
      <c r="DE10" s="435">
        <v>8.5103210825627968</v>
      </c>
      <c r="DF10" s="435">
        <v>8.5376191003077047</v>
      </c>
      <c r="DG10" s="363">
        <v>8.5649171180526142</v>
      </c>
      <c r="DH10" s="362">
        <v>0</v>
      </c>
      <c r="DI10" s="362">
        <v>0</v>
      </c>
      <c r="DJ10" s="362">
        <v>0</v>
      </c>
      <c r="DK10" s="363">
        <v>0</v>
      </c>
      <c r="DL10" s="363">
        <v>0</v>
      </c>
      <c r="DM10" s="363">
        <v>0</v>
      </c>
      <c r="DN10" s="363">
        <v>0</v>
      </c>
      <c r="DO10" s="363">
        <v>0</v>
      </c>
      <c r="DP10" s="363">
        <v>0</v>
      </c>
      <c r="DQ10" s="363">
        <v>0</v>
      </c>
      <c r="DR10" s="363">
        <v>0</v>
      </c>
      <c r="DS10" s="363">
        <v>0</v>
      </c>
      <c r="DT10" s="363">
        <v>0</v>
      </c>
      <c r="DU10" s="363">
        <v>0</v>
      </c>
      <c r="DV10" s="363">
        <v>0</v>
      </c>
      <c r="DW10" s="435">
        <v>0</v>
      </c>
      <c r="DX10" s="435">
        <v>0</v>
      </c>
      <c r="DY10" s="435">
        <v>0</v>
      </c>
      <c r="DZ10" s="435">
        <v>0</v>
      </c>
      <c r="EA10" s="363">
        <v>0</v>
      </c>
      <c r="EB10" s="435">
        <v>0</v>
      </c>
      <c r="EC10" s="435">
        <v>0</v>
      </c>
      <c r="ED10" s="435">
        <v>0</v>
      </c>
      <c r="EE10" s="435">
        <v>0</v>
      </c>
      <c r="EF10" s="363">
        <v>0</v>
      </c>
      <c r="EG10" s="364">
        <v>0</v>
      </c>
      <c r="EH10" s="364">
        <v>0</v>
      </c>
      <c r="EI10" s="364">
        <v>0</v>
      </c>
      <c r="EJ10" s="365">
        <v>0</v>
      </c>
      <c r="EK10" s="365">
        <v>0</v>
      </c>
      <c r="EL10" s="365">
        <v>0</v>
      </c>
      <c r="EM10" s="365">
        <v>0</v>
      </c>
      <c r="EN10" s="365">
        <v>0</v>
      </c>
      <c r="EO10" s="365">
        <v>0</v>
      </c>
      <c r="EP10" s="365">
        <v>0</v>
      </c>
      <c r="EQ10" s="365">
        <v>0</v>
      </c>
      <c r="ER10" s="365">
        <v>0</v>
      </c>
      <c r="ES10" s="365">
        <v>0</v>
      </c>
      <c r="ET10" s="365">
        <v>0</v>
      </c>
      <c r="EU10" s="365">
        <v>0</v>
      </c>
      <c r="EV10" s="436">
        <v>0</v>
      </c>
      <c r="EW10" s="436">
        <v>0</v>
      </c>
      <c r="EX10" s="436">
        <v>0</v>
      </c>
      <c r="EY10" s="436">
        <v>0</v>
      </c>
      <c r="EZ10" s="365">
        <v>0</v>
      </c>
      <c r="FA10" s="436">
        <v>0</v>
      </c>
      <c r="FB10" s="436">
        <v>0</v>
      </c>
      <c r="FC10" s="436">
        <v>0</v>
      </c>
      <c r="FD10" s="436">
        <v>0</v>
      </c>
      <c r="FE10" s="365">
        <v>0</v>
      </c>
      <c r="FF10" s="364">
        <v>0</v>
      </c>
      <c r="FG10" s="364">
        <v>0</v>
      </c>
      <c r="FH10" s="364">
        <v>0</v>
      </c>
      <c r="FI10" s="365">
        <v>0</v>
      </c>
      <c r="FJ10" s="365">
        <v>0</v>
      </c>
      <c r="FK10" s="365">
        <v>0</v>
      </c>
      <c r="FL10" s="365">
        <v>0</v>
      </c>
      <c r="FM10" s="365">
        <v>0</v>
      </c>
      <c r="FN10" s="365">
        <v>0</v>
      </c>
      <c r="FO10" s="365">
        <v>0</v>
      </c>
      <c r="FP10" s="365">
        <v>0</v>
      </c>
      <c r="FQ10" s="365">
        <v>0</v>
      </c>
      <c r="FR10" s="365">
        <v>0</v>
      </c>
      <c r="FS10" s="365">
        <v>0</v>
      </c>
      <c r="FT10" s="365">
        <v>0</v>
      </c>
      <c r="FU10" s="436">
        <v>0</v>
      </c>
      <c r="FV10" s="436">
        <v>0</v>
      </c>
      <c r="FW10" s="436">
        <v>0</v>
      </c>
      <c r="FX10" s="436">
        <v>0</v>
      </c>
      <c r="FY10" s="365">
        <v>0</v>
      </c>
      <c r="FZ10" s="436">
        <v>0</v>
      </c>
      <c r="GA10" s="436">
        <v>0</v>
      </c>
      <c r="GB10" s="436">
        <v>0</v>
      </c>
      <c r="GC10" s="436">
        <v>0</v>
      </c>
      <c r="GD10" s="365">
        <v>0</v>
      </c>
    </row>
    <row r="11" spans="1:186" ht="15" x14ac:dyDescent="0.25">
      <c r="A11" s="357">
        <v>143</v>
      </c>
      <c r="B11" s="357">
        <v>52</v>
      </c>
      <c r="C11" s="357" t="s">
        <v>920</v>
      </c>
      <c r="D11" s="2">
        <v>99714</v>
      </c>
      <c r="E11" s="268" t="s">
        <v>19</v>
      </c>
      <c r="F11" s="358" t="s">
        <v>915</v>
      </c>
      <c r="G11" s="49">
        <v>1</v>
      </c>
      <c r="H11" s="49">
        <v>1</v>
      </c>
      <c r="I11" s="49">
        <v>1</v>
      </c>
      <c r="J11" s="49">
        <v>0</v>
      </c>
      <c r="K11" s="49">
        <v>0</v>
      </c>
      <c r="L11" s="49">
        <v>5</v>
      </c>
      <c r="M11" s="49">
        <v>5</v>
      </c>
      <c r="N11" s="49">
        <v>0</v>
      </c>
      <c r="O11" s="49">
        <v>0</v>
      </c>
      <c r="P11" s="49">
        <v>0</v>
      </c>
      <c r="Q11" s="49">
        <v>5</v>
      </c>
      <c r="R11" s="49">
        <v>0</v>
      </c>
      <c r="S11" s="49">
        <v>1572.4</v>
      </c>
      <c r="T11" s="49">
        <v>1572.4</v>
      </c>
      <c r="U11" s="49">
        <v>0</v>
      </c>
      <c r="V11" s="49">
        <v>0</v>
      </c>
      <c r="W11" s="49">
        <v>0</v>
      </c>
      <c r="X11" s="49">
        <v>1572.4</v>
      </c>
      <c r="Y11" s="434">
        <v>7862</v>
      </c>
      <c r="Z11" s="434">
        <v>0</v>
      </c>
      <c r="AA11" s="49">
        <v>0</v>
      </c>
      <c r="AB11" s="49">
        <v>1</v>
      </c>
      <c r="AC11" s="49">
        <v>0</v>
      </c>
      <c r="AD11" s="285">
        <v>0</v>
      </c>
      <c r="AE11" s="285">
        <v>0</v>
      </c>
      <c r="AF11" s="359">
        <v>1</v>
      </c>
      <c r="AG11" s="360">
        <v>0</v>
      </c>
      <c r="AH11" s="360">
        <v>1</v>
      </c>
      <c r="AI11" s="361">
        <v>1</v>
      </c>
      <c r="AJ11" s="360">
        <v>0</v>
      </c>
      <c r="AK11" s="360">
        <v>0</v>
      </c>
      <c r="AL11" s="360">
        <v>0.93813004328239469</v>
      </c>
      <c r="AM11" s="360">
        <v>0.93813004328239469</v>
      </c>
      <c r="AN11" s="360">
        <v>0</v>
      </c>
      <c r="AO11" s="360">
        <v>0</v>
      </c>
      <c r="AP11" s="360">
        <v>0.95638919772553477</v>
      </c>
      <c r="AQ11" s="360">
        <v>0.95638919772553477</v>
      </c>
      <c r="AR11" s="360">
        <v>0</v>
      </c>
      <c r="AS11" s="360">
        <v>0</v>
      </c>
      <c r="AT11" s="360">
        <v>0</v>
      </c>
      <c r="AU11" s="360">
        <v>0.88008797810902761</v>
      </c>
      <c r="AV11" s="360">
        <v>0.90864568066751805</v>
      </c>
      <c r="AW11" s="360">
        <v>0.93813004328239469</v>
      </c>
      <c r="AX11" s="360">
        <v>0.96857113485917723</v>
      </c>
      <c r="AY11" s="360">
        <v>1</v>
      </c>
      <c r="AZ11" s="360">
        <v>0.91468029752609203</v>
      </c>
      <c r="BA11" s="360">
        <v>0.93530228050953268</v>
      </c>
      <c r="BB11" s="360">
        <v>0.95638919772553477</v>
      </c>
      <c r="BC11" s="360">
        <v>0.97795153137849056</v>
      </c>
      <c r="BD11" s="360">
        <v>1</v>
      </c>
      <c r="BE11" s="360">
        <v>0</v>
      </c>
      <c r="BF11" s="360">
        <v>0</v>
      </c>
      <c r="BG11" s="360">
        <v>0</v>
      </c>
      <c r="BH11" s="360">
        <v>0</v>
      </c>
      <c r="BI11" s="360">
        <v>0</v>
      </c>
      <c r="BJ11" s="362">
        <v>1.0082172187108041</v>
      </c>
      <c r="BK11" s="362">
        <v>1.0165019601049492</v>
      </c>
      <c r="BL11" s="362">
        <v>1.0248547790310927</v>
      </c>
      <c r="BM11" s="363">
        <v>1.0181168085090591</v>
      </c>
      <c r="BN11" s="363">
        <v>1.0114231371869555</v>
      </c>
      <c r="BO11" s="363">
        <v>1.0081933357333464</v>
      </c>
      <c r="BP11" s="363">
        <v>1.0049738480811981</v>
      </c>
      <c r="BQ11" s="363">
        <v>1.0017646412952039</v>
      </c>
      <c r="BR11" s="363">
        <v>0.9985656825452307</v>
      </c>
      <c r="BS11" s="363">
        <v>0.99537693910598246</v>
      </c>
      <c r="BT11" s="363">
        <v>1.0027397103047351</v>
      </c>
      <c r="BU11" s="363">
        <v>1.0101569436851952</v>
      </c>
      <c r="BV11" s="363">
        <v>1.017629042102369</v>
      </c>
      <c r="BW11" s="363">
        <v>1.0251564113911686</v>
      </c>
      <c r="BX11" s="363">
        <v>1.0327394603884525</v>
      </c>
      <c r="BY11" s="435">
        <v>1.0369022440439637</v>
      </c>
      <c r="BZ11" s="435">
        <v>1.0410650276994751</v>
      </c>
      <c r="CA11" s="435">
        <v>1.0452278113549862</v>
      </c>
      <c r="CB11" s="435">
        <v>1.0493905950104976</v>
      </c>
      <c r="CC11" s="363">
        <v>1.0535533786660087</v>
      </c>
      <c r="CD11" s="435">
        <v>1.0569656308841224</v>
      </c>
      <c r="CE11" s="435">
        <v>1.0603778831022359</v>
      </c>
      <c r="CF11" s="435">
        <v>1.0637901353203496</v>
      </c>
      <c r="CG11" s="435">
        <v>1.0672023875384631</v>
      </c>
      <c r="CH11" s="363">
        <v>1.0706146397565768</v>
      </c>
      <c r="CI11" s="362">
        <v>1.0082172187108041</v>
      </c>
      <c r="CJ11" s="362">
        <v>1.0165019601049492</v>
      </c>
      <c r="CK11" s="362">
        <v>1.0248547790310927</v>
      </c>
      <c r="CL11" s="363">
        <v>1.0181168085090591</v>
      </c>
      <c r="CM11" s="363">
        <v>1.0114231371869555</v>
      </c>
      <c r="CN11" s="363">
        <v>1.0081933357333464</v>
      </c>
      <c r="CO11" s="363">
        <v>1.0049738480811981</v>
      </c>
      <c r="CP11" s="363">
        <v>1.0017646412952039</v>
      </c>
      <c r="CQ11" s="363">
        <v>0.9985656825452307</v>
      </c>
      <c r="CR11" s="363">
        <v>0.99537693910598246</v>
      </c>
      <c r="CS11" s="363">
        <v>1.0027397103047351</v>
      </c>
      <c r="CT11" s="363">
        <v>1.0101569436851952</v>
      </c>
      <c r="CU11" s="363">
        <v>1.017629042102369</v>
      </c>
      <c r="CV11" s="363">
        <v>1.0251564113911686</v>
      </c>
      <c r="CW11" s="363">
        <v>1.0327394603884525</v>
      </c>
      <c r="CX11" s="435">
        <v>1.0369022440439637</v>
      </c>
      <c r="CY11" s="435">
        <v>1.0410650276994751</v>
      </c>
      <c r="CZ11" s="435">
        <v>1.0452278113549862</v>
      </c>
      <c r="DA11" s="435">
        <v>1.0493905950104976</v>
      </c>
      <c r="DB11" s="363">
        <v>1.0535533786660087</v>
      </c>
      <c r="DC11" s="435">
        <v>1.0569656308841224</v>
      </c>
      <c r="DD11" s="435">
        <v>1.0603778831022359</v>
      </c>
      <c r="DE11" s="435">
        <v>1.0637901353203496</v>
      </c>
      <c r="DF11" s="435">
        <v>1.0672023875384631</v>
      </c>
      <c r="DG11" s="363">
        <v>1.0706146397565768</v>
      </c>
      <c r="DH11" s="362">
        <v>0</v>
      </c>
      <c r="DI11" s="362">
        <v>0</v>
      </c>
      <c r="DJ11" s="362">
        <v>0</v>
      </c>
      <c r="DK11" s="363">
        <v>0</v>
      </c>
      <c r="DL11" s="363">
        <v>0</v>
      </c>
      <c r="DM11" s="363">
        <v>0</v>
      </c>
      <c r="DN11" s="363">
        <v>0</v>
      </c>
      <c r="DO11" s="363">
        <v>0</v>
      </c>
      <c r="DP11" s="363">
        <v>0</v>
      </c>
      <c r="DQ11" s="363">
        <v>0</v>
      </c>
      <c r="DR11" s="363">
        <v>0</v>
      </c>
      <c r="DS11" s="363">
        <v>0</v>
      </c>
      <c r="DT11" s="363">
        <v>0</v>
      </c>
      <c r="DU11" s="363">
        <v>0</v>
      </c>
      <c r="DV11" s="363">
        <v>0</v>
      </c>
      <c r="DW11" s="435">
        <v>0</v>
      </c>
      <c r="DX11" s="435">
        <v>0</v>
      </c>
      <c r="DY11" s="435">
        <v>0</v>
      </c>
      <c r="DZ11" s="435">
        <v>0</v>
      </c>
      <c r="EA11" s="363">
        <v>0</v>
      </c>
      <c r="EB11" s="435">
        <v>0</v>
      </c>
      <c r="EC11" s="435">
        <v>0</v>
      </c>
      <c r="ED11" s="435">
        <v>0</v>
      </c>
      <c r="EE11" s="435">
        <v>0</v>
      </c>
      <c r="EF11" s="363">
        <v>0</v>
      </c>
      <c r="EG11" s="364">
        <v>0</v>
      </c>
      <c r="EH11" s="364">
        <v>0</v>
      </c>
      <c r="EI11" s="364">
        <v>0</v>
      </c>
      <c r="EJ11" s="365">
        <v>0</v>
      </c>
      <c r="EK11" s="365">
        <v>0</v>
      </c>
      <c r="EL11" s="365">
        <v>0</v>
      </c>
      <c r="EM11" s="365">
        <v>0</v>
      </c>
      <c r="EN11" s="365">
        <v>0</v>
      </c>
      <c r="EO11" s="365">
        <v>0</v>
      </c>
      <c r="EP11" s="365">
        <v>0</v>
      </c>
      <c r="EQ11" s="365">
        <v>0</v>
      </c>
      <c r="ER11" s="365">
        <v>0</v>
      </c>
      <c r="ES11" s="365">
        <v>0</v>
      </c>
      <c r="ET11" s="365">
        <v>0</v>
      </c>
      <c r="EU11" s="365">
        <v>0</v>
      </c>
      <c r="EV11" s="436">
        <v>0</v>
      </c>
      <c r="EW11" s="436">
        <v>0</v>
      </c>
      <c r="EX11" s="436">
        <v>0</v>
      </c>
      <c r="EY11" s="436">
        <v>0</v>
      </c>
      <c r="EZ11" s="365">
        <v>0</v>
      </c>
      <c r="FA11" s="436">
        <v>0</v>
      </c>
      <c r="FB11" s="436">
        <v>0</v>
      </c>
      <c r="FC11" s="436">
        <v>0</v>
      </c>
      <c r="FD11" s="436">
        <v>0</v>
      </c>
      <c r="FE11" s="365">
        <v>0</v>
      </c>
      <c r="FF11" s="364">
        <v>0</v>
      </c>
      <c r="FG11" s="364">
        <v>0</v>
      </c>
      <c r="FH11" s="364">
        <v>0</v>
      </c>
      <c r="FI11" s="365">
        <v>0</v>
      </c>
      <c r="FJ11" s="365">
        <v>0</v>
      </c>
      <c r="FK11" s="365">
        <v>0</v>
      </c>
      <c r="FL11" s="365">
        <v>0</v>
      </c>
      <c r="FM11" s="365">
        <v>0</v>
      </c>
      <c r="FN11" s="365">
        <v>0</v>
      </c>
      <c r="FO11" s="365">
        <v>0</v>
      </c>
      <c r="FP11" s="365">
        <v>0</v>
      </c>
      <c r="FQ11" s="365">
        <v>0</v>
      </c>
      <c r="FR11" s="365">
        <v>0</v>
      </c>
      <c r="FS11" s="365">
        <v>0</v>
      </c>
      <c r="FT11" s="365">
        <v>0</v>
      </c>
      <c r="FU11" s="436">
        <v>0</v>
      </c>
      <c r="FV11" s="436">
        <v>0</v>
      </c>
      <c r="FW11" s="436">
        <v>0</v>
      </c>
      <c r="FX11" s="436">
        <v>0</v>
      </c>
      <c r="FY11" s="365">
        <v>0</v>
      </c>
      <c r="FZ11" s="436">
        <v>0</v>
      </c>
      <c r="GA11" s="436">
        <v>0</v>
      </c>
      <c r="GB11" s="436">
        <v>0</v>
      </c>
      <c r="GC11" s="436">
        <v>0</v>
      </c>
      <c r="GD11" s="365">
        <v>0</v>
      </c>
    </row>
    <row r="12" spans="1:186" ht="15" x14ac:dyDescent="0.25">
      <c r="A12" s="357">
        <v>138</v>
      </c>
      <c r="B12" s="357">
        <v>54</v>
      </c>
      <c r="C12" s="357" t="s">
        <v>921</v>
      </c>
      <c r="D12" s="2">
        <v>99714</v>
      </c>
      <c r="E12" s="268" t="s">
        <v>19</v>
      </c>
      <c r="F12" s="358" t="s">
        <v>915</v>
      </c>
      <c r="G12" s="49">
        <v>0</v>
      </c>
      <c r="H12" s="49">
        <v>3</v>
      </c>
      <c r="I12" s="49">
        <v>0</v>
      </c>
      <c r="J12" s="49">
        <v>3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834.49503068156923</v>
      </c>
      <c r="T12" s="49">
        <v>834.49503068156923</v>
      </c>
      <c r="U12" s="49">
        <v>1408.3846153846155</v>
      </c>
      <c r="V12" s="49">
        <v>0</v>
      </c>
      <c r="W12" s="49">
        <v>0</v>
      </c>
      <c r="X12" s="49">
        <v>1365.173957061457</v>
      </c>
      <c r="Y12" s="434">
        <v>0</v>
      </c>
      <c r="Z12" s="434">
        <v>0</v>
      </c>
      <c r="AA12" s="49">
        <v>6.8737006237006237E-2</v>
      </c>
      <c r="AB12" s="49">
        <v>2.9273648648648649</v>
      </c>
      <c r="AC12" s="49">
        <v>3.8981288981288983E-3</v>
      </c>
      <c r="AD12" s="285">
        <v>0</v>
      </c>
      <c r="AE12" s="285">
        <v>0</v>
      </c>
      <c r="AF12" s="359">
        <v>3</v>
      </c>
      <c r="AG12" s="360">
        <v>0</v>
      </c>
      <c r="AH12" s="360">
        <v>0</v>
      </c>
      <c r="AI12" s="361">
        <v>0</v>
      </c>
      <c r="AJ12" s="360">
        <v>0</v>
      </c>
      <c r="AK12" s="360">
        <v>6.4484250636224899E-2</v>
      </c>
      <c r="AL12" s="360">
        <v>2.7462489273790371</v>
      </c>
      <c r="AM12" s="360">
        <v>2.810733178015262</v>
      </c>
      <c r="AN12" s="360">
        <v>3.6569518319220168E-3</v>
      </c>
      <c r="AO12" s="360">
        <v>0</v>
      </c>
      <c r="AP12" s="360">
        <v>0</v>
      </c>
      <c r="AQ12" s="360">
        <v>0</v>
      </c>
      <c r="AR12" s="360">
        <v>0</v>
      </c>
      <c r="AS12" s="360">
        <v>0</v>
      </c>
      <c r="AT12" s="360">
        <v>0</v>
      </c>
      <c r="AU12" s="360">
        <v>2.6368332379467199</v>
      </c>
      <c r="AV12" s="360">
        <v>2.722395024016584</v>
      </c>
      <c r="AW12" s="360">
        <v>2.810733178015262</v>
      </c>
      <c r="AX12" s="360">
        <v>2.9019377894468437</v>
      </c>
      <c r="AY12" s="360">
        <v>2.996101871101871</v>
      </c>
      <c r="AZ12" s="360">
        <v>0</v>
      </c>
      <c r="BA12" s="360">
        <v>0</v>
      </c>
      <c r="BB12" s="360">
        <v>0</v>
      </c>
      <c r="BC12" s="360">
        <v>0</v>
      </c>
      <c r="BD12" s="360">
        <v>0</v>
      </c>
      <c r="BE12" s="360">
        <v>0</v>
      </c>
      <c r="BF12" s="360">
        <v>0</v>
      </c>
      <c r="BG12" s="360">
        <v>0</v>
      </c>
      <c r="BH12" s="360">
        <v>0</v>
      </c>
      <c r="BI12" s="360">
        <v>0</v>
      </c>
      <c r="BJ12" s="362">
        <v>3.0085511972689858</v>
      </c>
      <c r="BK12" s="362">
        <v>3.0210522525590346</v>
      </c>
      <c r="BL12" s="362">
        <v>3.033605251915553</v>
      </c>
      <c r="BM12" s="363">
        <v>3.013660628363894</v>
      </c>
      <c r="BN12" s="363">
        <v>2.9938471319614797</v>
      </c>
      <c r="BO12" s="363">
        <v>2.9842868090232617</v>
      </c>
      <c r="BP12" s="363">
        <v>2.9747570152906633</v>
      </c>
      <c r="BQ12" s="363">
        <v>2.9652576532740476</v>
      </c>
      <c r="BR12" s="363">
        <v>2.9557886257950963</v>
      </c>
      <c r="BS12" s="363">
        <v>2.9463498359858122</v>
      </c>
      <c r="BT12" s="363">
        <v>2.9681438909428519</v>
      </c>
      <c r="BU12" s="363">
        <v>2.9900991558233261</v>
      </c>
      <c r="BV12" s="363">
        <v>3.012216823091852</v>
      </c>
      <c r="BW12" s="363">
        <v>3.0344980940336717</v>
      </c>
      <c r="BX12" s="363">
        <v>3.0569441788198906</v>
      </c>
      <c r="BY12" s="435">
        <v>3.0692661610346645</v>
      </c>
      <c r="BZ12" s="435">
        <v>3.0815881432494381</v>
      </c>
      <c r="CA12" s="435">
        <v>3.0939101254642121</v>
      </c>
      <c r="CB12" s="435">
        <v>3.1062321076789856</v>
      </c>
      <c r="CC12" s="363">
        <v>3.1185540898937596</v>
      </c>
      <c r="CD12" s="435">
        <v>3.1286544733446875</v>
      </c>
      <c r="CE12" s="435">
        <v>3.1387548567956154</v>
      </c>
      <c r="CF12" s="435">
        <v>3.1488552402465433</v>
      </c>
      <c r="CG12" s="435">
        <v>3.1589556236974712</v>
      </c>
      <c r="CH12" s="363">
        <v>3.1690560071483991</v>
      </c>
      <c r="CI12" s="362">
        <v>0</v>
      </c>
      <c r="CJ12" s="362">
        <v>0</v>
      </c>
      <c r="CK12" s="362">
        <v>0</v>
      </c>
      <c r="CL12" s="363">
        <v>0</v>
      </c>
      <c r="CM12" s="363">
        <v>0</v>
      </c>
      <c r="CN12" s="363">
        <v>0</v>
      </c>
      <c r="CO12" s="363">
        <v>0</v>
      </c>
      <c r="CP12" s="363">
        <v>0</v>
      </c>
      <c r="CQ12" s="363">
        <v>0</v>
      </c>
      <c r="CR12" s="363">
        <v>0</v>
      </c>
      <c r="CS12" s="363">
        <v>0</v>
      </c>
      <c r="CT12" s="363">
        <v>0</v>
      </c>
      <c r="CU12" s="363">
        <v>0</v>
      </c>
      <c r="CV12" s="363">
        <v>0</v>
      </c>
      <c r="CW12" s="363">
        <v>0</v>
      </c>
      <c r="CX12" s="435">
        <v>0</v>
      </c>
      <c r="CY12" s="435">
        <v>0</v>
      </c>
      <c r="CZ12" s="435">
        <v>0</v>
      </c>
      <c r="DA12" s="435">
        <v>0</v>
      </c>
      <c r="DB12" s="363">
        <v>0</v>
      </c>
      <c r="DC12" s="435">
        <v>0</v>
      </c>
      <c r="DD12" s="435">
        <v>0</v>
      </c>
      <c r="DE12" s="435">
        <v>0</v>
      </c>
      <c r="DF12" s="435">
        <v>0</v>
      </c>
      <c r="DG12" s="363">
        <v>0</v>
      </c>
      <c r="DH12" s="362">
        <v>0</v>
      </c>
      <c r="DI12" s="362">
        <v>0</v>
      </c>
      <c r="DJ12" s="362">
        <v>0</v>
      </c>
      <c r="DK12" s="363">
        <v>0</v>
      </c>
      <c r="DL12" s="363">
        <v>0</v>
      </c>
      <c r="DM12" s="363">
        <v>0</v>
      </c>
      <c r="DN12" s="363">
        <v>0</v>
      </c>
      <c r="DO12" s="363">
        <v>0</v>
      </c>
      <c r="DP12" s="363">
        <v>0</v>
      </c>
      <c r="DQ12" s="363">
        <v>0</v>
      </c>
      <c r="DR12" s="363">
        <v>0</v>
      </c>
      <c r="DS12" s="363">
        <v>0</v>
      </c>
      <c r="DT12" s="363">
        <v>0</v>
      </c>
      <c r="DU12" s="363">
        <v>0</v>
      </c>
      <c r="DV12" s="363">
        <v>0</v>
      </c>
      <c r="DW12" s="435">
        <v>0</v>
      </c>
      <c r="DX12" s="435">
        <v>0</v>
      </c>
      <c r="DY12" s="435">
        <v>0</v>
      </c>
      <c r="DZ12" s="435">
        <v>0</v>
      </c>
      <c r="EA12" s="363">
        <v>0</v>
      </c>
      <c r="EB12" s="435">
        <v>0</v>
      </c>
      <c r="EC12" s="435">
        <v>0</v>
      </c>
      <c r="ED12" s="435">
        <v>0</v>
      </c>
      <c r="EE12" s="435">
        <v>0</v>
      </c>
      <c r="EF12" s="363">
        <v>0</v>
      </c>
      <c r="EG12" s="364">
        <v>3.9143263040189776E-3</v>
      </c>
      <c r="EH12" s="364">
        <v>3.9305910129573711E-3</v>
      </c>
      <c r="EI12" s="364">
        <v>3.9469233045999908E-3</v>
      </c>
      <c r="EJ12" s="365">
        <v>3.9209740155658262E-3</v>
      </c>
      <c r="EK12" s="365">
        <v>3.8951953317219357E-3</v>
      </c>
      <c r="EL12" s="365">
        <v>3.8827567122342727E-3</v>
      </c>
      <c r="EM12" s="365">
        <v>3.8703578132847556E-3</v>
      </c>
      <c r="EN12" s="365">
        <v>3.8579985080328489E-3</v>
      </c>
      <c r="EO12" s="365">
        <v>3.8456786700430609E-3</v>
      </c>
      <c r="EP12" s="365">
        <v>3.8333981732836487E-3</v>
      </c>
      <c r="EQ12" s="365">
        <v>3.8617536962566382E-3</v>
      </c>
      <c r="ER12" s="365">
        <v>3.8903189641209027E-3</v>
      </c>
      <c r="ES12" s="365">
        <v>3.9190955283526568E-3</v>
      </c>
      <c r="ET12" s="365">
        <v>3.948084951904335E-3</v>
      </c>
      <c r="EU12" s="365">
        <v>3.9772888092894755E-3</v>
      </c>
      <c r="EV12" s="436">
        <v>3.9933205321814524E-3</v>
      </c>
      <c r="EW12" s="436">
        <v>4.0093522550734301E-3</v>
      </c>
      <c r="EX12" s="436">
        <v>4.025383977965407E-3</v>
      </c>
      <c r="EY12" s="436">
        <v>4.0414157008573847E-3</v>
      </c>
      <c r="EZ12" s="365">
        <v>4.0574474237493616E-3</v>
      </c>
      <c r="FA12" s="436">
        <v>4.0705886980805196E-3</v>
      </c>
      <c r="FB12" s="436">
        <v>4.0837299724116776E-3</v>
      </c>
      <c r="FC12" s="436">
        <v>4.0968712467428347E-3</v>
      </c>
      <c r="FD12" s="436">
        <v>4.1100125210739927E-3</v>
      </c>
      <c r="FE12" s="365">
        <v>4.1231537954051507E-3</v>
      </c>
      <c r="FF12" s="364">
        <v>0</v>
      </c>
      <c r="FG12" s="364">
        <v>0</v>
      </c>
      <c r="FH12" s="364">
        <v>0</v>
      </c>
      <c r="FI12" s="365">
        <v>0</v>
      </c>
      <c r="FJ12" s="365">
        <v>0</v>
      </c>
      <c r="FK12" s="365">
        <v>0</v>
      </c>
      <c r="FL12" s="365">
        <v>0</v>
      </c>
      <c r="FM12" s="365">
        <v>0</v>
      </c>
      <c r="FN12" s="365">
        <v>0</v>
      </c>
      <c r="FO12" s="365">
        <v>0</v>
      </c>
      <c r="FP12" s="365">
        <v>0</v>
      </c>
      <c r="FQ12" s="365">
        <v>0</v>
      </c>
      <c r="FR12" s="365">
        <v>0</v>
      </c>
      <c r="FS12" s="365">
        <v>0</v>
      </c>
      <c r="FT12" s="365">
        <v>0</v>
      </c>
      <c r="FU12" s="436">
        <v>0</v>
      </c>
      <c r="FV12" s="436">
        <v>0</v>
      </c>
      <c r="FW12" s="436">
        <v>0</v>
      </c>
      <c r="FX12" s="436">
        <v>0</v>
      </c>
      <c r="FY12" s="365">
        <v>0</v>
      </c>
      <c r="FZ12" s="436">
        <v>0</v>
      </c>
      <c r="GA12" s="436">
        <v>0</v>
      </c>
      <c r="GB12" s="436">
        <v>0</v>
      </c>
      <c r="GC12" s="436">
        <v>0</v>
      </c>
      <c r="GD12" s="365">
        <v>0</v>
      </c>
    </row>
    <row r="13" spans="1:186" ht="15" x14ac:dyDescent="0.25">
      <c r="A13" s="357">
        <v>139</v>
      </c>
      <c r="B13" s="357">
        <v>56</v>
      </c>
      <c r="C13" s="357" t="s">
        <v>922</v>
      </c>
      <c r="D13" s="2">
        <v>99714</v>
      </c>
      <c r="E13" s="268" t="s">
        <v>19</v>
      </c>
      <c r="F13" s="358" t="s">
        <v>915</v>
      </c>
      <c r="G13" s="49">
        <v>7</v>
      </c>
      <c r="H13" s="49">
        <v>2</v>
      </c>
      <c r="I13" s="49">
        <v>1</v>
      </c>
      <c r="J13" s="49">
        <v>1</v>
      </c>
      <c r="K13" s="49">
        <v>0</v>
      </c>
      <c r="L13" s="49">
        <v>2</v>
      </c>
      <c r="M13" s="49">
        <v>2</v>
      </c>
      <c r="N13" s="49">
        <v>0</v>
      </c>
      <c r="O13" s="49">
        <v>0</v>
      </c>
      <c r="P13" s="49">
        <v>0</v>
      </c>
      <c r="Q13" s="49">
        <v>2</v>
      </c>
      <c r="R13" s="49">
        <v>0</v>
      </c>
      <c r="S13" s="49">
        <v>964</v>
      </c>
      <c r="T13" s="49">
        <v>964</v>
      </c>
      <c r="U13" s="49">
        <v>0</v>
      </c>
      <c r="V13" s="49">
        <v>0</v>
      </c>
      <c r="W13" s="49">
        <v>0</v>
      </c>
      <c r="X13" s="49">
        <v>964</v>
      </c>
      <c r="Y13" s="434">
        <v>1928</v>
      </c>
      <c r="Z13" s="434">
        <v>0</v>
      </c>
      <c r="AA13" s="49">
        <v>0</v>
      </c>
      <c r="AB13" s="49">
        <v>2</v>
      </c>
      <c r="AC13" s="49">
        <v>0</v>
      </c>
      <c r="AD13" s="285">
        <v>0</v>
      </c>
      <c r="AE13" s="285">
        <v>0</v>
      </c>
      <c r="AF13" s="359">
        <v>2</v>
      </c>
      <c r="AG13" s="360">
        <v>0</v>
      </c>
      <c r="AH13" s="360">
        <v>1</v>
      </c>
      <c r="AI13" s="361">
        <v>1</v>
      </c>
      <c r="AJ13" s="360">
        <v>0</v>
      </c>
      <c r="AK13" s="360">
        <v>0</v>
      </c>
      <c r="AL13" s="360">
        <v>1.8762600865647894</v>
      </c>
      <c r="AM13" s="360">
        <v>1.8762600865647894</v>
      </c>
      <c r="AN13" s="360">
        <v>0</v>
      </c>
      <c r="AO13" s="360">
        <v>0</v>
      </c>
      <c r="AP13" s="360">
        <v>0.95638919772553477</v>
      </c>
      <c r="AQ13" s="360">
        <v>0.95638919772553477</v>
      </c>
      <c r="AR13" s="360">
        <v>0</v>
      </c>
      <c r="AS13" s="360">
        <v>0</v>
      </c>
      <c r="AT13" s="360">
        <v>0</v>
      </c>
      <c r="AU13" s="360">
        <v>1.7601759562180552</v>
      </c>
      <c r="AV13" s="360">
        <v>1.8172913613350361</v>
      </c>
      <c r="AW13" s="360">
        <v>1.8762600865647894</v>
      </c>
      <c r="AX13" s="360">
        <v>1.9371422697183545</v>
      </c>
      <c r="AY13" s="360">
        <v>2</v>
      </c>
      <c r="AZ13" s="360">
        <v>0.91468029752609203</v>
      </c>
      <c r="BA13" s="360">
        <v>0.93530228050953268</v>
      </c>
      <c r="BB13" s="360">
        <v>0.95638919772553477</v>
      </c>
      <c r="BC13" s="360">
        <v>0.97795153137849056</v>
      </c>
      <c r="BD13" s="360">
        <v>1</v>
      </c>
      <c r="BE13" s="360">
        <v>0</v>
      </c>
      <c r="BF13" s="360">
        <v>0</v>
      </c>
      <c r="BG13" s="360">
        <v>0</v>
      </c>
      <c r="BH13" s="360">
        <v>0</v>
      </c>
      <c r="BI13" s="360">
        <v>0</v>
      </c>
      <c r="BJ13" s="362">
        <v>2.0164344374216081</v>
      </c>
      <c r="BK13" s="362">
        <v>2.0330039202098984</v>
      </c>
      <c r="BL13" s="362">
        <v>2.0497095580621854</v>
      </c>
      <c r="BM13" s="363">
        <v>2.0362336170181181</v>
      </c>
      <c r="BN13" s="363">
        <v>2.0228462743739111</v>
      </c>
      <c r="BO13" s="363">
        <v>2.0163866714666927</v>
      </c>
      <c r="BP13" s="363">
        <v>2.0099476961623961</v>
      </c>
      <c r="BQ13" s="363">
        <v>2.0035292825904079</v>
      </c>
      <c r="BR13" s="363">
        <v>1.9971313650904614</v>
      </c>
      <c r="BS13" s="363">
        <v>1.9907538782119649</v>
      </c>
      <c r="BT13" s="363">
        <v>2.0054794206094702</v>
      </c>
      <c r="BU13" s="363">
        <v>2.0203138873703903</v>
      </c>
      <c r="BV13" s="363">
        <v>2.0352580842047381</v>
      </c>
      <c r="BW13" s="363">
        <v>2.0503128227823373</v>
      </c>
      <c r="BX13" s="363">
        <v>2.0654789207769051</v>
      </c>
      <c r="BY13" s="435">
        <v>2.0738044880879274</v>
      </c>
      <c r="BZ13" s="435">
        <v>2.0821300553989501</v>
      </c>
      <c r="CA13" s="435">
        <v>2.0904556227099724</v>
      </c>
      <c r="CB13" s="435">
        <v>2.0987811900209952</v>
      </c>
      <c r="CC13" s="363">
        <v>2.1071067573320175</v>
      </c>
      <c r="CD13" s="435">
        <v>2.1139312617682449</v>
      </c>
      <c r="CE13" s="435">
        <v>2.1207557662044718</v>
      </c>
      <c r="CF13" s="435">
        <v>2.1275802706406992</v>
      </c>
      <c r="CG13" s="435">
        <v>2.1344047750769262</v>
      </c>
      <c r="CH13" s="363">
        <v>2.1412292795131536</v>
      </c>
      <c r="CI13" s="362">
        <v>1.0082172187108041</v>
      </c>
      <c r="CJ13" s="362">
        <v>1.0165019601049492</v>
      </c>
      <c r="CK13" s="362">
        <v>1.0248547790310927</v>
      </c>
      <c r="CL13" s="363">
        <v>1.0181168085090591</v>
      </c>
      <c r="CM13" s="363">
        <v>1.0114231371869555</v>
      </c>
      <c r="CN13" s="363">
        <v>1.0081933357333464</v>
      </c>
      <c r="CO13" s="363">
        <v>1.0049738480811981</v>
      </c>
      <c r="CP13" s="363">
        <v>1.0017646412952039</v>
      </c>
      <c r="CQ13" s="363">
        <v>0.9985656825452307</v>
      </c>
      <c r="CR13" s="363">
        <v>0.99537693910598246</v>
      </c>
      <c r="CS13" s="363">
        <v>1.0027397103047351</v>
      </c>
      <c r="CT13" s="363">
        <v>1.0101569436851952</v>
      </c>
      <c r="CU13" s="363">
        <v>1.017629042102369</v>
      </c>
      <c r="CV13" s="363">
        <v>1.0251564113911686</v>
      </c>
      <c r="CW13" s="363">
        <v>1.0327394603884525</v>
      </c>
      <c r="CX13" s="435">
        <v>1.0369022440439637</v>
      </c>
      <c r="CY13" s="435">
        <v>1.0410650276994751</v>
      </c>
      <c r="CZ13" s="435">
        <v>1.0452278113549862</v>
      </c>
      <c r="DA13" s="435">
        <v>1.0493905950104976</v>
      </c>
      <c r="DB13" s="363">
        <v>1.0535533786660087</v>
      </c>
      <c r="DC13" s="435">
        <v>1.0569656308841224</v>
      </c>
      <c r="DD13" s="435">
        <v>1.0603778831022359</v>
      </c>
      <c r="DE13" s="435">
        <v>1.0637901353203496</v>
      </c>
      <c r="DF13" s="435">
        <v>1.0672023875384631</v>
      </c>
      <c r="DG13" s="363">
        <v>1.0706146397565768</v>
      </c>
      <c r="DH13" s="362">
        <v>0</v>
      </c>
      <c r="DI13" s="362">
        <v>0</v>
      </c>
      <c r="DJ13" s="362">
        <v>0</v>
      </c>
      <c r="DK13" s="363">
        <v>0</v>
      </c>
      <c r="DL13" s="363">
        <v>0</v>
      </c>
      <c r="DM13" s="363">
        <v>0</v>
      </c>
      <c r="DN13" s="363">
        <v>0</v>
      </c>
      <c r="DO13" s="363">
        <v>0</v>
      </c>
      <c r="DP13" s="363">
        <v>0</v>
      </c>
      <c r="DQ13" s="363">
        <v>0</v>
      </c>
      <c r="DR13" s="363">
        <v>0</v>
      </c>
      <c r="DS13" s="363">
        <v>0</v>
      </c>
      <c r="DT13" s="363">
        <v>0</v>
      </c>
      <c r="DU13" s="363">
        <v>0</v>
      </c>
      <c r="DV13" s="363">
        <v>0</v>
      </c>
      <c r="DW13" s="435">
        <v>0</v>
      </c>
      <c r="DX13" s="435">
        <v>0</v>
      </c>
      <c r="DY13" s="435">
        <v>0</v>
      </c>
      <c r="DZ13" s="435">
        <v>0</v>
      </c>
      <c r="EA13" s="363">
        <v>0</v>
      </c>
      <c r="EB13" s="435">
        <v>0</v>
      </c>
      <c r="EC13" s="435">
        <v>0</v>
      </c>
      <c r="ED13" s="435">
        <v>0</v>
      </c>
      <c r="EE13" s="435">
        <v>0</v>
      </c>
      <c r="EF13" s="363">
        <v>0</v>
      </c>
      <c r="EG13" s="364">
        <v>0</v>
      </c>
      <c r="EH13" s="364">
        <v>0</v>
      </c>
      <c r="EI13" s="364">
        <v>0</v>
      </c>
      <c r="EJ13" s="365">
        <v>0</v>
      </c>
      <c r="EK13" s="365">
        <v>0</v>
      </c>
      <c r="EL13" s="365">
        <v>0</v>
      </c>
      <c r="EM13" s="365">
        <v>0</v>
      </c>
      <c r="EN13" s="365">
        <v>0</v>
      </c>
      <c r="EO13" s="365">
        <v>0</v>
      </c>
      <c r="EP13" s="365">
        <v>0</v>
      </c>
      <c r="EQ13" s="365">
        <v>0</v>
      </c>
      <c r="ER13" s="365">
        <v>0</v>
      </c>
      <c r="ES13" s="365">
        <v>0</v>
      </c>
      <c r="ET13" s="365">
        <v>0</v>
      </c>
      <c r="EU13" s="365">
        <v>0</v>
      </c>
      <c r="EV13" s="436">
        <v>0</v>
      </c>
      <c r="EW13" s="436">
        <v>0</v>
      </c>
      <c r="EX13" s="436">
        <v>0</v>
      </c>
      <c r="EY13" s="436">
        <v>0</v>
      </c>
      <c r="EZ13" s="365">
        <v>0</v>
      </c>
      <c r="FA13" s="436">
        <v>0</v>
      </c>
      <c r="FB13" s="436">
        <v>0</v>
      </c>
      <c r="FC13" s="436">
        <v>0</v>
      </c>
      <c r="FD13" s="436">
        <v>0</v>
      </c>
      <c r="FE13" s="365">
        <v>0</v>
      </c>
      <c r="FF13" s="364">
        <v>0</v>
      </c>
      <c r="FG13" s="364">
        <v>0</v>
      </c>
      <c r="FH13" s="364">
        <v>0</v>
      </c>
      <c r="FI13" s="365">
        <v>0</v>
      </c>
      <c r="FJ13" s="365">
        <v>0</v>
      </c>
      <c r="FK13" s="365">
        <v>0</v>
      </c>
      <c r="FL13" s="365">
        <v>0</v>
      </c>
      <c r="FM13" s="365">
        <v>0</v>
      </c>
      <c r="FN13" s="365">
        <v>0</v>
      </c>
      <c r="FO13" s="365">
        <v>0</v>
      </c>
      <c r="FP13" s="365">
        <v>0</v>
      </c>
      <c r="FQ13" s="365">
        <v>0</v>
      </c>
      <c r="FR13" s="365">
        <v>0</v>
      </c>
      <c r="FS13" s="365">
        <v>0</v>
      </c>
      <c r="FT13" s="365">
        <v>0</v>
      </c>
      <c r="FU13" s="436">
        <v>0</v>
      </c>
      <c r="FV13" s="436">
        <v>0</v>
      </c>
      <c r="FW13" s="436">
        <v>0</v>
      </c>
      <c r="FX13" s="436">
        <v>0</v>
      </c>
      <c r="FY13" s="365">
        <v>0</v>
      </c>
      <c r="FZ13" s="436">
        <v>0</v>
      </c>
      <c r="GA13" s="436">
        <v>0</v>
      </c>
      <c r="GB13" s="436">
        <v>0</v>
      </c>
      <c r="GC13" s="436">
        <v>0</v>
      </c>
      <c r="GD13" s="365">
        <v>0</v>
      </c>
    </row>
    <row r="14" spans="1:186" ht="15" x14ac:dyDescent="0.25">
      <c r="A14" s="357">
        <v>137</v>
      </c>
      <c r="B14" s="357">
        <v>57</v>
      </c>
      <c r="C14" s="357" t="s">
        <v>923</v>
      </c>
      <c r="D14" s="2">
        <v>99714</v>
      </c>
      <c r="E14" s="268" t="s">
        <v>19</v>
      </c>
      <c r="F14" s="358" t="s">
        <v>915</v>
      </c>
      <c r="G14" s="49">
        <v>0</v>
      </c>
      <c r="H14" s="49">
        <v>2</v>
      </c>
      <c r="I14" s="49">
        <v>0</v>
      </c>
      <c r="J14" s="49">
        <v>2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834.49503068156923</v>
      </c>
      <c r="T14" s="49">
        <v>834.49503068156923</v>
      </c>
      <c r="U14" s="49">
        <v>1408.3846153846155</v>
      </c>
      <c r="V14" s="49">
        <v>0</v>
      </c>
      <c r="W14" s="49">
        <v>0</v>
      </c>
      <c r="X14" s="49">
        <v>1365.173957061457</v>
      </c>
      <c r="Y14" s="434">
        <v>0</v>
      </c>
      <c r="Z14" s="434">
        <v>0</v>
      </c>
      <c r="AA14" s="49">
        <v>4.5824670824670823E-2</v>
      </c>
      <c r="AB14" s="49">
        <v>1.9515765765765767</v>
      </c>
      <c r="AC14" s="49">
        <v>2.5987525987525989E-3</v>
      </c>
      <c r="AD14" s="285">
        <v>0</v>
      </c>
      <c r="AE14" s="285">
        <v>0</v>
      </c>
      <c r="AF14" s="359">
        <v>2</v>
      </c>
      <c r="AG14" s="360">
        <v>0</v>
      </c>
      <c r="AH14" s="360">
        <v>0</v>
      </c>
      <c r="AI14" s="361">
        <v>0</v>
      </c>
      <c r="AJ14" s="360">
        <v>0</v>
      </c>
      <c r="AK14" s="360">
        <v>4.2989500424149923E-2</v>
      </c>
      <c r="AL14" s="360">
        <v>1.8308326182526915</v>
      </c>
      <c r="AM14" s="360">
        <v>1.8738221186768413</v>
      </c>
      <c r="AN14" s="360">
        <v>2.4379678879480112E-3</v>
      </c>
      <c r="AO14" s="360">
        <v>0</v>
      </c>
      <c r="AP14" s="360">
        <v>0</v>
      </c>
      <c r="AQ14" s="360">
        <v>0</v>
      </c>
      <c r="AR14" s="360">
        <v>0</v>
      </c>
      <c r="AS14" s="360">
        <v>0</v>
      </c>
      <c r="AT14" s="360">
        <v>0</v>
      </c>
      <c r="AU14" s="360">
        <v>1.7578888252978135</v>
      </c>
      <c r="AV14" s="360">
        <v>1.8149300160110562</v>
      </c>
      <c r="AW14" s="360">
        <v>1.8738221186768413</v>
      </c>
      <c r="AX14" s="360">
        <v>1.9346251929645626</v>
      </c>
      <c r="AY14" s="360">
        <v>1.9974012474012475</v>
      </c>
      <c r="AZ14" s="360">
        <v>0</v>
      </c>
      <c r="BA14" s="360">
        <v>0</v>
      </c>
      <c r="BB14" s="360">
        <v>0</v>
      </c>
      <c r="BC14" s="360">
        <v>0</v>
      </c>
      <c r="BD14" s="360">
        <v>0</v>
      </c>
      <c r="BE14" s="360">
        <v>0</v>
      </c>
      <c r="BF14" s="360">
        <v>0</v>
      </c>
      <c r="BG14" s="360">
        <v>0</v>
      </c>
      <c r="BH14" s="360">
        <v>0</v>
      </c>
      <c r="BI14" s="360">
        <v>0</v>
      </c>
      <c r="BJ14" s="362">
        <v>2.0138143303043763</v>
      </c>
      <c r="BK14" s="362">
        <v>2.0303622830994388</v>
      </c>
      <c r="BL14" s="362">
        <v>2.0470462140418344</v>
      </c>
      <c r="BM14" s="363">
        <v>2.0335877833161713</v>
      </c>
      <c r="BN14" s="363">
        <v>2.0202178358677081</v>
      </c>
      <c r="BO14" s="363">
        <v>2.0137666264154106</v>
      </c>
      <c r="BP14" s="363">
        <v>2.0073360177630168</v>
      </c>
      <c r="BQ14" s="363">
        <v>2.0009259441255036</v>
      </c>
      <c r="BR14" s="363">
        <v>1.9945363399279219</v>
      </c>
      <c r="BS14" s="363">
        <v>1.9881671398047249</v>
      </c>
      <c r="BT14" s="363">
        <v>2.0028735481814435</v>
      </c>
      <c r="BU14" s="363">
        <v>2.0176887393878404</v>
      </c>
      <c r="BV14" s="363">
        <v>2.0326135180870084</v>
      </c>
      <c r="BW14" s="363">
        <v>2.0476486948941068</v>
      </c>
      <c r="BX14" s="363">
        <v>2.0627950864203863</v>
      </c>
      <c r="BY14" s="435">
        <v>2.071109835686566</v>
      </c>
      <c r="BZ14" s="435">
        <v>2.0794245849527457</v>
      </c>
      <c r="CA14" s="435">
        <v>2.0877393342189254</v>
      </c>
      <c r="CB14" s="435">
        <v>2.0960540834851051</v>
      </c>
      <c r="CC14" s="363">
        <v>2.1043688327512848</v>
      </c>
      <c r="CD14" s="435">
        <v>2.1111844695881925</v>
      </c>
      <c r="CE14" s="435">
        <v>2.1180001064251002</v>
      </c>
      <c r="CF14" s="435">
        <v>2.1248157432620083</v>
      </c>
      <c r="CG14" s="435">
        <v>2.131631380098916</v>
      </c>
      <c r="CH14" s="363">
        <v>2.1384470169358236</v>
      </c>
      <c r="CI14" s="362">
        <v>0</v>
      </c>
      <c r="CJ14" s="362">
        <v>0</v>
      </c>
      <c r="CK14" s="362">
        <v>0</v>
      </c>
      <c r="CL14" s="363">
        <v>0</v>
      </c>
      <c r="CM14" s="363">
        <v>0</v>
      </c>
      <c r="CN14" s="363">
        <v>0</v>
      </c>
      <c r="CO14" s="363">
        <v>0</v>
      </c>
      <c r="CP14" s="363">
        <v>0</v>
      </c>
      <c r="CQ14" s="363">
        <v>0</v>
      </c>
      <c r="CR14" s="363">
        <v>0</v>
      </c>
      <c r="CS14" s="363">
        <v>0</v>
      </c>
      <c r="CT14" s="363">
        <v>0</v>
      </c>
      <c r="CU14" s="363">
        <v>0</v>
      </c>
      <c r="CV14" s="363">
        <v>0</v>
      </c>
      <c r="CW14" s="363">
        <v>0</v>
      </c>
      <c r="CX14" s="435">
        <v>0</v>
      </c>
      <c r="CY14" s="435">
        <v>0</v>
      </c>
      <c r="CZ14" s="435">
        <v>0</v>
      </c>
      <c r="DA14" s="435">
        <v>0</v>
      </c>
      <c r="DB14" s="363">
        <v>0</v>
      </c>
      <c r="DC14" s="435">
        <v>0</v>
      </c>
      <c r="DD14" s="435">
        <v>0</v>
      </c>
      <c r="DE14" s="435">
        <v>0</v>
      </c>
      <c r="DF14" s="435">
        <v>0</v>
      </c>
      <c r="DG14" s="363">
        <v>0</v>
      </c>
      <c r="DH14" s="362">
        <v>0</v>
      </c>
      <c r="DI14" s="362">
        <v>0</v>
      </c>
      <c r="DJ14" s="362">
        <v>0</v>
      </c>
      <c r="DK14" s="363">
        <v>0</v>
      </c>
      <c r="DL14" s="363">
        <v>0</v>
      </c>
      <c r="DM14" s="363">
        <v>0</v>
      </c>
      <c r="DN14" s="363">
        <v>0</v>
      </c>
      <c r="DO14" s="363">
        <v>0</v>
      </c>
      <c r="DP14" s="363">
        <v>0</v>
      </c>
      <c r="DQ14" s="363">
        <v>0</v>
      </c>
      <c r="DR14" s="363">
        <v>0</v>
      </c>
      <c r="DS14" s="363">
        <v>0</v>
      </c>
      <c r="DT14" s="363">
        <v>0</v>
      </c>
      <c r="DU14" s="363">
        <v>0</v>
      </c>
      <c r="DV14" s="363">
        <v>0</v>
      </c>
      <c r="DW14" s="435">
        <v>0</v>
      </c>
      <c r="DX14" s="435">
        <v>0</v>
      </c>
      <c r="DY14" s="435">
        <v>0</v>
      </c>
      <c r="DZ14" s="435">
        <v>0</v>
      </c>
      <c r="EA14" s="363">
        <v>0</v>
      </c>
      <c r="EB14" s="435">
        <v>0</v>
      </c>
      <c r="EC14" s="435">
        <v>0</v>
      </c>
      <c r="ED14" s="435">
        <v>0</v>
      </c>
      <c r="EE14" s="435">
        <v>0</v>
      </c>
      <c r="EF14" s="363">
        <v>0</v>
      </c>
      <c r="EG14" s="364">
        <v>2.6201071172318193E-3</v>
      </c>
      <c r="EH14" s="364">
        <v>2.6416371104598475E-3</v>
      </c>
      <c r="EI14" s="364">
        <v>2.6633440203510726E-3</v>
      </c>
      <c r="EJ14" s="365">
        <v>2.6458337019466191E-3</v>
      </c>
      <c r="EK14" s="365">
        <v>2.6284385062031066E-3</v>
      </c>
      <c r="EL14" s="365">
        <v>2.620045051282085E-3</v>
      </c>
      <c r="EM14" s="365">
        <v>2.6116783993794129E-3</v>
      </c>
      <c r="EN14" s="365">
        <v>2.603338464904376E-3</v>
      </c>
      <c r="EO14" s="365">
        <v>2.5950251625395811E-3</v>
      </c>
      <c r="EP14" s="365">
        <v>2.5867384072400792E-3</v>
      </c>
      <c r="EQ14" s="365">
        <v>2.6058724280268583E-3</v>
      </c>
      <c r="ER14" s="365">
        <v>2.6251479825498835E-3</v>
      </c>
      <c r="ES14" s="365">
        <v>2.6445661177296495E-3</v>
      </c>
      <c r="ET14" s="365">
        <v>2.6641278882306879E-3</v>
      </c>
      <c r="EU14" s="365">
        <v>2.6838343565188478E-3</v>
      </c>
      <c r="EV14" s="436">
        <v>2.6946524013616523E-3</v>
      </c>
      <c r="EW14" s="436">
        <v>2.7054704462044572E-3</v>
      </c>
      <c r="EX14" s="436">
        <v>2.7162884910472617E-3</v>
      </c>
      <c r="EY14" s="436">
        <v>2.7271065358900667E-3</v>
      </c>
      <c r="EZ14" s="365">
        <v>2.7379245807328712E-3</v>
      </c>
      <c r="FA14" s="436">
        <v>2.7467921800522935E-3</v>
      </c>
      <c r="FB14" s="436">
        <v>2.7556597793717153E-3</v>
      </c>
      <c r="FC14" s="436">
        <v>2.7645273786911376E-3</v>
      </c>
      <c r="FD14" s="436">
        <v>2.7733949780105595E-3</v>
      </c>
      <c r="FE14" s="365">
        <v>2.7822625773299818E-3</v>
      </c>
      <c r="FF14" s="364">
        <v>0</v>
      </c>
      <c r="FG14" s="364">
        <v>0</v>
      </c>
      <c r="FH14" s="364">
        <v>0</v>
      </c>
      <c r="FI14" s="365">
        <v>0</v>
      </c>
      <c r="FJ14" s="365">
        <v>0</v>
      </c>
      <c r="FK14" s="365">
        <v>0</v>
      </c>
      <c r="FL14" s="365">
        <v>0</v>
      </c>
      <c r="FM14" s="365">
        <v>0</v>
      </c>
      <c r="FN14" s="365">
        <v>0</v>
      </c>
      <c r="FO14" s="365">
        <v>0</v>
      </c>
      <c r="FP14" s="365">
        <v>0</v>
      </c>
      <c r="FQ14" s="365">
        <v>0</v>
      </c>
      <c r="FR14" s="365">
        <v>0</v>
      </c>
      <c r="FS14" s="365">
        <v>0</v>
      </c>
      <c r="FT14" s="365">
        <v>0</v>
      </c>
      <c r="FU14" s="436">
        <v>0</v>
      </c>
      <c r="FV14" s="436">
        <v>0</v>
      </c>
      <c r="FW14" s="436">
        <v>0</v>
      </c>
      <c r="FX14" s="436">
        <v>0</v>
      </c>
      <c r="FY14" s="365">
        <v>0</v>
      </c>
      <c r="FZ14" s="436">
        <v>0</v>
      </c>
      <c r="GA14" s="436">
        <v>0</v>
      </c>
      <c r="GB14" s="436">
        <v>0</v>
      </c>
      <c r="GC14" s="436">
        <v>0</v>
      </c>
      <c r="GD14" s="365">
        <v>0</v>
      </c>
    </row>
    <row r="15" spans="1:186" ht="15" x14ac:dyDescent="0.25">
      <c r="A15" s="357">
        <v>151</v>
      </c>
      <c r="B15" s="357">
        <v>57</v>
      </c>
      <c r="C15" s="357" t="s">
        <v>924</v>
      </c>
      <c r="D15" s="2">
        <v>99714</v>
      </c>
      <c r="E15" s="268" t="s">
        <v>19</v>
      </c>
      <c r="F15" s="358" t="s">
        <v>915</v>
      </c>
      <c r="G15" s="49">
        <v>148</v>
      </c>
      <c r="H15" s="49">
        <v>459</v>
      </c>
      <c r="I15" s="49">
        <v>63</v>
      </c>
      <c r="J15" s="49">
        <v>396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834.49503068156923</v>
      </c>
      <c r="T15" s="49">
        <v>834.49503068156923</v>
      </c>
      <c r="U15" s="49">
        <v>1408.3846153846155</v>
      </c>
      <c r="V15" s="49">
        <v>0</v>
      </c>
      <c r="W15" s="49">
        <v>0</v>
      </c>
      <c r="X15" s="49">
        <v>1365.173957061457</v>
      </c>
      <c r="Y15" s="434">
        <v>0</v>
      </c>
      <c r="Z15" s="434">
        <v>0</v>
      </c>
      <c r="AA15" s="49">
        <v>10.516761954261954</v>
      </c>
      <c r="AB15" s="49">
        <v>447.88682432432432</v>
      </c>
      <c r="AC15" s="49">
        <v>0.5964137214137214</v>
      </c>
      <c r="AD15" s="285">
        <v>0</v>
      </c>
      <c r="AE15" s="285">
        <v>0</v>
      </c>
      <c r="AF15" s="359">
        <v>459</v>
      </c>
      <c r="AG15" s="360">
        <v>1.443477130977131</v>
      </c>
      <c r="AH15" s="360">
        <v>61.474662162162161</v>
      </c>
      <c r="AI15" s="361">
        <v>62.918139293139291</v>
      </c>
      <c r="AJ15" s="360">
        <v>8.1860706860706872E-2</v>
      </c>
      <c r="AK15" s="360">
        <v>9.8660903473424089</v>
      </c>
      <c r="AL15" s="360">
        <v>420.17608588899265</v>
      </c>
      <c r="AM15" s="360">
        <v>430.04217623633508</v>
      </c>
      <c r="AN15" s="360">
        <v>0.55951363028406853</v>
      </c>
      <c r="AO15" s="360">
        <v>1.3805259352303749</v>
      </c>
      <c r="AP15" s="360">
        <v>58.793702825718555</v>
      </c>
      <c r="AQ15" s="360">
        <v>60.174228760948928</v>
      </c>
      <c r="AR15" s="360">
        <v>7.8290695759756626E-2</v>
      </c>
      <c r="AS15" s="360">
        <v>0</v>
      </c>
      <c r="AT15" s="360">
        <v>0</v>
      </c>
      <c r="AU15" s="360">
        <v>403.43548540584817</v>
      </c>
      <c r="AV15" s="360">
        <v>416.52643867453736</v>
      </c>
      <c r="AW15" s="360">
        <v>430.04217623633508</v>
      </c>
      <c r="AX15" s="360">
        <v>443.99648178536705</v>
      </c>
      <c r="AY15" s="360">
        <v>458.40358627858626</v>
      </c>
      <c r="AZ15" s="360">
        <v>57.549982368436751</v>
      </c>
      <c r="BA15" s="360">
        <v>58.847479166289617</v>
      </c>
      <c r="BB15" s="360">
        <v>60.174228760948928</v>
      </c>
      <c r="BC15" s="360">
        <v>61.530890673210749</v>
      </c>
      <c r="BD15" s="360">
        <v>62.918139293139291</v>
      </c>
      <c r="BE15" s="360">
        <v>0</v>
      </c>
      <c r="BF15" s="360">
        <v>0</v>
      </c>
      <c r="BG15" s="360">
        <v>0</v>
      </c>
      <c r="BH15" s="360">
        <v>0</v>
      </c>
      <c r="BI15" s="360">
        <v>0</v>
      </c>
      <c r="BJ15" s="362">
        <v>462.17038880485433</v>
      </c>
      <c r="BK15" s="362">
        <v>465.96814397132113</v>
      </c>
      <c r="BL15" s="362">
        <v>469.79710612260095</v>
      </c>
      <c r="BM15" s="363">
        <v>466.7083962710613</v>
      </c>
      <c r="BN15" s="363">
        <v>463.63999333163895</v>
      </c>
      <c r="BO15" s="363">
        <v>462.15944076233671</v>
      </c>
      <c r="BP15" s="363">
        <v>460.68361607661228</v>
      </c>
      <c r="BQ15" s="363">
        <v>459.21250417680301</v>
      </c>
      <c r="BR15" s="363">
        <v>457.74609001345806</v>
      </c>
      <c r="BS15" s="363">
        <v>456.28435858518435</v>
      </c>
      <c r="BT15" s="363">
        <v>459.65947930764122</v>
      </c>
      <c r="BU15" s="363">
        <v>463.05956568950938</v>
      </c>
      <c r="BV15" s="363">
        <v>466.48480240096842</v>
      </c>
      <c r="BW15" s="363">
        <v>469.93537547819744</v>
      </c>
      <c r="BX15" s="363">
        <v>473.41147233347868</v>
      </c>
      <c r="BY15" s="435">
        <v>475.3197072900669</v>
      </c>
      <c r="BZ15" s="435">
        <v>477.22794224665512</v>
      </c>
      <c r="CA15" s="435">
        <v>479.13617720324334</v>
      </c>
      <c r="CB15" s="435">
        <v>481.04441215983155</v>
      </c>
      <c r="CC15" s="363">
        <v>482.95264711641977</v>
      </c>
      <c r="CD15" s="435">
        <v>484.5168357704901</v>
      </c>
      <c r="CE15" s="435">
        <v>486.08102442456044</v>
      </c>
      <c r="CF15" s="435">
        <v>487.64521307863083</v>
      </c>
      <c r="CG15" s="435">
        <v>489.20940173270117</v>
      </c>
      <c r="CH15" s="363">
        <v>490.7735903867715</v>
      </c>
      <c r="CI15" s="362">
        <v>63.435151404587849</v>
      </c>
      <c r="CJ15" s="362">
        <v>63.956411917632309</v>
      </c>
      <c r="CK15" s="362">
        <v>64.48195574231778</v>
      </c>
      <c r="CL15" s="363">
        <v>64.058015174459399</v>
      </c>
      <c r="CM15" s="363">
        <v>63.636861829832796</v>
      </c>
      <c r="CN15" s="363">
        <v>63.43364873208543</v>
      </c>
      <c r="CO15" s="363">
        <v>63.23108455953502</v>
      </c>
      <c r="CP15" s="363">
        <v>63.02916723995336</v>
      </c>
      <c r="CQ15" s="363">
        <v>62.827894707729534</v>
      </c>
      <c r="CR15" s="363">
        <v>62.627264903848832</v>
      </c>
      <c r="CS15" s="363">
        <v>63.090516767715464</v>
      </c>
      <c r="CT15" s="363">
        <v>63.557195290716976</v>
      </c>
      <c r="CU15" s="363">
        <v>64.027325819740767</v>
      </c>
      <c r="CV15" s="363">
        <v>64.500933889164358</v>
      </c>
      <c r="CW15" s="363">
        <v>64.978045222242173</v>
      </c>
      <c r="CX15" s="435">
        <v>65.239959824126828</v>
      </c>
      <c r="CY15" s="435">
        <v>65.501874426011483</v>
      </c>
      <c r="CZ15" s="435">
        <v>65.763789027896152</v>
      </c>
      <c r="DA15" s="435">
        <v>66.025703629780807</v>
      </c>
      <c r="DB15" s="363">
        <v>66.287618231665462</v>
      </c>
      <c r="DC15" s="435">
        <v>66.502310792028055</v>
      </c>
      <c r="DD15" s="435">
        <v>66.717003352390648</v>
      </c>
      <c r="DE15" s="435">
        <v>66.931695912753256</v>
      </c>
      <c r="DF15" s="435">
        <v>67.146388473115849</v>
      </c>
      <c r="DG15" s="363">
        <v>67.361081033478442</v>
      </c>
      <c r="DH15" s="362">
        <v>0</v>
      </c>
      <c r="DI15" s="362">
        <v>0</v>
      </c>
      <c r="DJ15" s="362">
        <v>0</v>
      </c>
      <c r="DK15" s="363">
        <v>0</v>
      </c>
      <c r="DL15" s="363">
        <v>0</v>
      </c>
      <c r="DM15" s="363">
        <v>0</v>
      </c>
      <c r="DN15" s="363">
        <v>0</v>
      </c>
      <c r="DO15" s="363">
        <v>0</v>
      </c>
      <c r="DP15" s="363">
        <v>0</v>
      </c>
      <c r="DQ15" s="363">
        <v>0</v>
      </c>
      <c r="DR15" s="363">
        <v>0</v>
      </c>
      <c r="DS15" s="363">
        <v>0</v>
      </c>
      <c r="DT15" s="363">
        <v>0</v>
      </c>
      <c r="DU15" s="363">
        <v>0</v>
      </c>
      <c r="DV15" s="363">
        <v>0</v>
      </c>
      <c r="DW15" s="435">
        <v>0</v>
      </c>
      <c r="DX15" s="435">
        <v>0</v>
      </c>
      <c r="DY15" s="435">
        <v>0</v>
      </c>
      <c r="DZ15" s="435">
        <v>0</v>
      </c>
      <c r="EA15" s="363">
        <v>0</v>
      </c>
      <c r="EB15" s="435">
        <v>0</v>
      </c>
      <c r="EC15" s="435">
        <v>0</v>
      </c>
      <c r="ED15" s="435">
        <v>0</v>
      </c>
      <c r="EE15" s="435">
        <v>0</v>
      </c>
      <c r="EF15" s="363">
        <v>0</v>
      </c>
      <c r="EG15" s="364">
        <v>0.60131458340470245</v>
      </c>
      <c r="EH15" s="364">
        <v>0.60625571685053492</v>
      </c>
      <c r="EI15" s="364">
        <v>0.61123745267057106</v>
      </c>
      <c r="EJ15" s="365">
        <v>0.60721883459674897</v>
      </c>
      <c r="EK15" s="365">
        <v>0.60322663717361291</v>
      </c>
      <c r="EL15" s="365">
        <v>0.60130033926923843</v>
      </c>
      <c r="EM15" s="365">
        <v>0.59938019265757514</v>
      </c>
      <c r="EN15" s="365">
        <v>0.59746617769555421</v>
      </c>
      <c r="EO15" s="365">
        <v>0.59555827480283374</v>
      </c>
      <c r="EP15" s="365">
        <v>0.59365646446159814</v>
      </c>
      <c r="EQ15" s="365">
        <v>0.59804772223216385</v>
      </c>
      <c r="ER15" s="365">
        <v>0.60247146199519819</v>
      </c>
      <c r="ES15" s="365">
        <v>0.60692792401895446</v>
      </c>
      <c r="ET15" s="365">
        <v>0.61141735034894285</v>
      </c>
      <c r="EU15" s="365">
        <v>0.61593998482107548</v>
      </c>
      <c r="EV15" s="436">
        <v>0.61842272611249915</v>
      </c>
      <c r="EW15" s="436">
        <v>0.62090546740392283</v>
      </c>
      <c r="EX15" s="436">
        <v>0.6233882086953465</v>
      </c>
      <c r="EY15" s="436">
        <v>0.62587094998677018</v>
      </c>
      <c r="EZ15" s="365">
        <v>0.62835369127819385</v>
      </c>
      <c r="FA15" s="436">
        <v>0.63038880532200126</v>
      </c>
      <c r="FB15" s="436">
        <v>0.63242391936580855</v>
      </c>
      <c r="FC15" s="436">
        <v>0.63445903340961596</v>
      </c>
      <c r="FD15" s="436">
        <v>0.63649414745342325</v>
      </c>
      <c r="FE15" s="365">
        <v>0.63852926149723066</v>
      </c>
      <c r="FF15" s="364">
        <v>0</v>
      </c>
      <c r="FG15" s="364">
        <v>0</v>
      </c>
      <c r="FH15" s="364">
        <v>0</v>
      </c>
      <c r="FI15" s="365">
        <v>0</v>
      </c>
      <c r="FJ15" s="365">
        <v>0</v>
      </c>
      <c r="FK15" s="365">
        <v>0</v>
      </c>
      <c r="FL15" s="365">
        <v>0</v>
      </c>
      <c r="FM15" s="365">
        <v>0</v>
      </c>
      <c r="FN15" s="365">
        <v>0</v>
      </c>
      <c r="FO15" s="365">
        <v>0</v>
      </c>
      <c r="FP15" s="365">
        <v>0</v>
      </c>
      <c r="FQ15" s="365">
        <v>0</v>
      </c>
      <c r="FR15" s="365">
        <v>0</v>
      </c>
      <c r="FS15" s="365">
        <v>0</v>
      </c>
      <c r="FT15" s="365">
        <v>0</v>
      </c>
      <c r="FU15" s="436">
        <v>0</v>
      </c>
      <c r="FV15" s="436">
        <v>0</v>
      </c>
      <c r="FW15" s="436">
        <v>0</v>
      </c>
      <c r="FX15" s="436">
        <v>0</v>
      </c>
      <c r="FY15" s="365">
        <v>0</v>
      </c>
      <c r="FZ15" s="436">
        <v>0</v>
      </c>
      <c r="GA15" s="436">
        <v>0</v>
      </c>
      <c r="GB15" s="436">
        <v>0</v>
      </c>
      <c r="GC15" s="436">
        <v>0</v>
      </c>
      <c r="GD15" s="365">
        <v>0</v>
      </c>
    </row>
    <row r="16" spans="1:186" ht="15" x14ac:dyDescent="0.25">
      <c r="A16" s="357">
        <v>139</v>
      </c>
      <c r="B16" s="357">
        <v>58</v>
      </c>
      <c r="C16" s="357" t="s">
        <v>925</v>
      </c>
      <c r="D16" s="2">
        <v>99714</v>
      </c>
      <c r="E16" s="268" t="s">
        <v>19</v>
      </c>
      <c r="F16" s="358" t="s">
        <v>915</v>
      </c>
      <c r="G16" s="49">
        <v>6</v>
      </c>
      <c r="H16" s="49">
        <v>21</v>
      </c>
      <c r="I16" s="49">
        <v>5</v>
      </c>
      <c r="J16" s="49">
        <v>16</v>
      </c>
      <c r="K16" s="49">
        <v>0</v>
      </c>
      <c r="L16" s="49">
        <v>2</v>
      </c>
      <c r="M16" s="49">
        <v>2</v>
      </c>
      <c r="N16" s="49">
        <v>0</v>
      </c>
      <c r="O16" s="49">
        <v>0</v>
      </c>
      <c r="P16" s="49">
        <v>0</v>
      </c>
      <c r="Q16" s="49">
        <v>2</v>
      </c>
      <c r="R16" s="49">
        <v>0</v>
      </c>
      <c r="S16" s="49">
        <v>715</v>
      </c>
      <c r="T16" s="49">
        <v>715</v>
      </c>
      <c r="U16" s="49">
        <v>0</v>
      </c>
      <c r="V16" s="49">
        <v>0</v>
      </c>
      <c r="W16" s="49">
        <v>0</v>
      </c>
      <c r="X16" s="49">
        <v>715</v>
      </c>
      <c r="Y16" s="434">
        <v>1430</v>
      </c>
      <c r="Z16" s="434">
        <v>0</v>
      </c>
      <c r="AA16" s="49">
        <v>0</v>
      </c>
      <c r="AB16" s="49">
        <v>21</v>
      </c>
      <c r="AC16" s="49">
        <v>0</v>
      </c>
      <c r="AD16" s="285">
        <v>0</v>
      </c>
      <c r="AE16" s="285">
        <v>0</v>
      </c>
      <c r="AF16" s="359">
        <v>21</v>
      </c>
      <c r="AG16" s="360">
        <v>0</v>
      </c>
      <c r="AH16" s="360">
        <v>5</v>
      </c>
      <c r="AI16" s="361">
        <v>5</v>
      </c>
      <c r="AJ16" s="360">
        <v>0</v>
      </c>
      <c r="AK16" s="360">
        <v>0</v>
      </c>
      <c r="AL16" s="360">
        <v>19.700730908930289</v>
      </c>
      <c r="AM16" s="360">
        <v>19.700730908930289</v>
      </c>
      <c r="AN16" s="360">
        <v>0</v>
      </c>
      <c r="AO16" s="360">
        <v>0</v>
      </c>
      <c r="AP16" s="360">
        <v>4.7819459886276734</v>
      </c>
      <c r="AQ16" s="360">
        <v>4.7819459886276734</v>
      </c>
      <c r="AR16" s="360">
        <v>0</v>
      </c>
      <c r="AS16" s="360">
        <v>0</v>
      </c>
      <c r="AT16" s="360">
        <v>0</v>
      </c>
      <c r="AU16" s="360">
        <v>18.481847540289579</v>
      </c>
      <c r="AV16" s="360">
        <v>19.081559294017879</v>
      </c>
      <c r="AW16" s="360">
        <v>19.700730908930289</v>
      </c>
      <c r="AX16" s="360">
        <v>20.339993832042722</v>
      </c>
      <c r="AY16" s="360">
        <v>21</v>
      </c>
      <c r="AZ16" s="360">
        <v>4.5734014876304601</v>
      </c>
      <c r="BA16" s="360">
        <v>4.6765114025476633</v>
      </c>
      <c r="BB16" s="360">
        <v>4.7819459886276734</v>
      </c>
      <c r="BC16" s="360">
        <v>4.8897576568924528</v>
      </c>
      <c r="BD16" s="360">
        <v>5</v>
      </c>
      <c r="BE16" s="360">
        <v>0</v>
      </c>
      <c r="BF16" s="360">
        <v>0</v>
      </c>
      <c r="BG16" s="360">
        <v>0</v>
      </c>
      <c r="BH16" s="360">
        <v>0</v>
      </c>
      <c r="BI16" s="360">
        <v>0</v>
      </c>
      <c r="BJ16" s="362">
        <v>21.172561592926886</v>
      </c>
      <c r="BK16" s="362">
        <v>21.346541162203934</v>
      </c>
      <c r="BL16" s="362">
        <v>21.521950359652948</v>
      </c>
      <c r="BM16" s="363">
        <v>21.38045297869024</v>
      </c>
      <c r="BN16" s="363">
        <v>21.239885880926067</v>
      </c>
      <c r="BO16" s="363">
        <v>21.172060050400273</v>
      </c>
      <c r="BP16" s="363">
        <v>21.10445080970516</v>
      </c>
      <c r="BQ16" s="363">
        <v>21.037057467199283</v>
      </c>
      <c r="BR16" s="363">
        <v>20.969879333449846</v>
      </c>
      <c r="BS16" s="363">
        <v>20.902915721225632</v>
      </c>
      <c r="BT16" s="363">
        <v>21.057533916399436</v>
      </c>
      <c r="BU16" s="363">
        <v>21.213295817389099</v>
      </c>
      <c r="BV16" s="363">
        <v>21.370209884149752</v>
      </c>
      <c r="BW16" s="363">
        <v>21.528284639214544</v>
      </c>
      <c r="BX16" s="363">
        <v>21.687528668157505</v>
      </c>
      <c r="BY16" s="435">
        <v>21.774947124923241</v>
      </c>
      <c r="BZ16" s="435">
        <v>21.862365581688977</v>
      </c>
      <c r="CA16" s="435">
        <v>21.949784038454712</v>
      </c>
      <c r="CB16" s="435">
        <v>22.037202495220448</v>
      </c>
      <c r="CC16" s="363">
        <v>22.124620951986184</v>
      </c>
      <c r="CD16" s="435">
        <v>22.196278248566571</v>
      </c>
      <c r="CE16" s="435">
        <v>22.267935545146958</v>
      </c>
      <c r="CF16" s="435">
        <v>22.339592841727342</v>
      </c>
      <c r="CG16" s="435">
        <v>22.411250138307729</v>
      </c>
      <c r="CH16" s="363">
        <v>22.482907434888116</v>
      </c>
      <c r="CI16" s="362">
        <v>5.0410860935540205</v>
      </c>
      <c r="CJ16" s="362">
        <v>5.082509800524746</v>
      </c>
      <c r="CK16" s="362">
        <v>5.1242738951554632</v>
      </c>
      <c r="CL16" s="363">
        <v>5.0905840425452942</v>
      </c>
      <c r="CM16" s="363">
        <v>5.057115685934777</v>
      </c>
      <c r="CN16" s="363">
        <v>5.0409666786667318</v>
      </c>
      <c r="CO16" s="363">
        <v>5.02486924040599</v>
      </c>
      <c r="CP16" s="363">
        <v>5.008823206476019</v>
      </c>
      <c r="CQ16" s="363">
        <v>4.9928284127261531</v>
      </c>
      <c r="CR16" s="363">
        <v>4.976884695529912</v>
      </c>
      <c r="CS16" s="363">
        <v>5.0136985515236745</v>
      </c>
      <c r="CT16" s="363">
        <v>5.0507847184259758</v>
      </c>
      <c r="CU16" s="363">
        <v>5.0881452105118452</v>
      </c>
      <c r="CV16" s="363">
        <v>5.1257820569558437</v>
      </c>
      <c r="CW16" s="363">
        <v>5.1636973019422632</v>
      </c>
      <c r="CX16" s="435">
        <v>5.1845112202198189</v>
      </c>
      <c r="CY16" s="435">
        <v>5.2053251384973755</v>
      </c>
      <c r="CZ16" s="435">
        <v>5.2261390567749313</v>
      </c>
      <c r="DA16" s="435">
        <v>5.2469529750524879</v>
      </c>
      <c r="DB16" s="363">
        <v>5.2677668933300437</v>
      </c>
      <c r="DC16" s="435">
        <v>5.2848281544206115</v>
      </c>
      <c r="DD16" s="435">
        <v>5.3018894155111793</v>
      </c>
      <c r="DE16" s="435">
        <v>5.318950676601748</v>
      </c>
      <c r="DF16" s="435">
        <v>5.3360119376923159</v>
      </c>
      <c r="DG16" s="363">
        <v>5.3530731987828837</v>
      </c>
      <c r="DH16" s="362">
        <v>0</v>
      </c>
      <c r="DI16" s="362">
        <v>0</v>
      </c>
      <c r="DJ16" s="362">
        <v>0</v>
      </c>
      <c r="DK16" s="363">
        <v>0</v>
      </c>
      <c r="DL16" s="363">
        <v>0</v>
      </c>
      <c r="DM16" s="363">
        <v>0</v>
      </c>
      <c r="DN16" s="363">
        <v>0</v>
      </c>
      <c r="DO16" s="363">
        <v>0</v>
      </c>
      <c r="DP16" s="363">
        <v>0</v>
      </c>
      <c r="DQ16" s="363">
        <v>0</v>
      </c>
      <c r="DR16" s="363">
        <v>0</v>
      </c>
      <c r="DS16" s="363">
        <v>0</v>
      </c>
      <c r="DT16" s="363">
        <v>0</v>
      </c>
      <c r="DU16" s="363">
        <v>0</v>
      </c>
      <c r="DV16" s="363">
        <v>0</v>
      </c>
      <c r="DW16" s="435">
        <v>0</v>
      </c>
      <c r="DX16" s="435">
        <v>0</v>
      </c>
      <c r="DY16" s="435">
        <v>0</v>
      </c>
      <c r="DZ16" s="435">
        <v>0</v>
      </c>
      <c r="EA16" s="363">
        <v>0</v>
      </c>
      <c r="EB16" s="435">
        <v>0</v>
      </c>
      <c r="EC16" s="435">
        <v>0</v>
      </c>
      <c r="ED16" s="435">
        <v>0</v>
      </c>
      <c r="EE16" s="435">
        <v>0</v>
      </c>
      <c r="EF16" s="363">
        <v>0</v>
      </c>
      <c r="EG16" s="364">
        <v>0</v>
      </c>
      <c r="EH16" s="364">
        <v>0</v>
      </c>
      <c r="EI16" s="364">
        <v>0</v>
      </c>
      <c r="EJ16" s="365">
        <v>0</v>
      </c>
      <c r="EK16" s="365">
        <v>0</v>
      </c>
      <c r="EL16" s="365">
        <v>0</v>
      </c>
      <c r="EM16" s="365">
        <v>0</v>
      </c>
      <c r="EN16" s="365">
        <v>0</v>
      </c>
      <c r="EO16" s="365">
        <v>0</v>
      </c>
      <c r="EP16" s="365">
        <v>0</v>
      </c>
      <c r="EQ16" s="365">
        <v>0</v>
      </c>
      <c r="ER16" s="365">
        <v>0</v>
      </c>
      <c r="ES16" s="365">
        <v>0</v>
      </c>
      <c r="ET16" s="365">
        <v>0</v>
      </c>
      <c r="EU16" s="365">
        <v>0</v>
      </c>
      <c r="EV16" s="436">
        <v>0</v>
      </c>
      <c r="EW16" s="436">
        <v>0</v>
      </c>
      <c r="EX16" s="436">
        <v>0</v>
      </c>
      <c r="EY16" s="436">
        <v>0</v>
      </c>
      <c r="EZ16" s="365">
        <v>0</v>
      </c>
      <c r="FA16" s="436">
        <v>0</v>
      </c>
      <c r="FB16" s="436">
        <v>0</v>
      </c>
      <c r="FC16" s="436">
        <v>0</v>
      </c>
      <c r="FD16" s="436">
        <v>0</v>
      </c>
      <c r="FE16" s="365">
        <v>0</v>
      </c>
      <c r="FF16" s="364">
        <v>0</v>
      </c>
      <c r="FG16" s="364">
        <v>0</v>
      </c>
      <c r="FH16" s="364">
        <v>0</v>
      </c>
      <c r="FI16" s="365">
        <v>0</v>
      </c>
      <c r="FJ16" s="365">
        <v>0</v>
      </c>
      <c r="FK16" s="365">
        <v>0</v>
      </c>
      <c r="FL16" s="365">
        <v>0</v>
      </c>
      <c r="FM16" s="365">
        <v>0</v>
      </c>
      <c r="FN16" s="365">
        <v>0</v>
      </c>
      <c r="FO16" s="365">
        <v>0</v>
      </c>
      <c r="FP16" s="365">
        <v>0</v>
      </c>
      <c r="FQ16" s="365">
        <v>0</v>
      </c>
      <c r="FR16" s="365">
        <v>0</v>
      </c>
      <c r="FS16" s="365">
        <v>0</v>
      </c>
      <c r="FT16" s="365">
        <v>0</v>
      </c>
      <c r="FU16" s="436">
        <v>0</v>
      </c>
      <c r="FV16" s="436">
        <v>0</v>
      </c>
      <c r="FW16" s="436">
        <v>0</v>
      </c>
      <c r="FX16" s="436">
        <v>0</v>
      </c>
      <c r="FY16" s="365">
        <v>0</v>
      </c>
      <c r="FZ16" s="436">
        <v>0</v>
      </c>
      <c r="GA16" s="436">
        <v>0</v>
      </c>
      <c r="GB16" s="436">
        <v>0</v>
      </c>
      <c r="GC16" s="436">
        <v>0</v>
      </c>
      <c r="GD16" s="365">
        <v>0</v>
      </c>
    </row>
    <row r="17" spans="1:186" ht="15" x14ac:dyDescent="0.25">
      <c r="A17" s="357">
        <v>141</v>
      </c>
      <c r="B17" s="357">
        <v>58</v>
      </c>
      <c r="C17" s="357" t="s">
        <v>926</v>
      </c>
      <c r="D17" s="2">
        <v>99714</v>
      </c>
      <c r="E17" s="268" t="s">
        <v>19</v>
      </c>
      <c r="F17" s="358" t="s">
        <v>915</v>
      </c>
      <c r="G17" s="49">
        <v>0</v>
      </c>
      <c r="H17" s="49">
        <v>7</v>
      </c>
      <c r="I17" s="49">
        <v>0</v>
      </c>
      <c r="J17" s="49">
        <v>7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834.49503068156923</v>
      </c>
      <c r="T17" s="49">
        <v>834.49503068156923</v>
      </c>
      <c r="U17" s="49">
        <v>1408.3846153846155</v>
      </c>
      <c r="V17" s="49">
        <v>0</v>
      </c>
      <c r="W17" s="49">
        <v>0</v>
      </c>
      <c r="X17" s="49">
        <v>1365.173957061457</v>
      </c>
      <c r="Y17" s="434">
        <v>0</v>
      </c>
      <c r="Z17" s="434">
        <v>0</v>
      </c>
      <c r="AA17" s="49">
        <v>0.1603863478863479</v>
      </c>
      <c r="AB17" s="49">
        <v>6.8305180180180178</v>
      </c>
      <c r="AC17" s="49">
        <v>9.0956340956340961E-3</v>
      </c>
      <c r="AD17" s="285">
        <v>0</v>
      </c>
      <c r="AE17" s="285">
        <v>0</v>
      </c>
      <c r="AF17" s="359">
        <v>7</v>
      </c>
      <c r="AG17" s="360">
        <v>0</v>
      </c>
      <c r="AH17" s="360">
        <v>0</v>
      </c>
      <c r="AI17" s="361">
        <v>0</v>
      </c>
      <c r="AJ17" s="360">
        <v>0</v>
      </c>
      <c r="AK17" s="360">
        <v>0.15046325148452475</v>
      </c>
      <c r="AL17" s="360">
        <v>6.4079141638844197</v>
      </c>
      <c r="AM17" s="360">
        <v>6.5583774153689447</v>
      </c>
      <c r="AN17" s="360">
        <v>8.5328876078180384E-3</v>
      </c>
      <c r="AO17" s="360">
        <v>0</v>
      </c>
      <c r="AP17" s="360">
        <v>0</v>
      </c>
      <c r="AQ17" s="360">
        <v>0</v>
      </c>
      <c r="AR17" s="360">
        <v>0</v>
      </c>
      <c r="AS17" s="360">
        <v>0</v>
      </c>
      <c r="AT17" s="360">
        <v>0</v>
      </c>
      <c r="AU17" s="360">
        <v>6.1526108885423474</v>
      </c>
      <c r="AV17" s="360">
        <v>6.3522550560386968</v>
      </c>
      <c r="AW17" s="360">
        <v>6.5583774153689447</v>
      </c>
      <c r="AX17" s="360">
        <v>6.7711881753759684</v>
      </c>
      <c r="AY17" s="360">
        <v>6.9909043659043659</v>
      </c>
      <c r="AZ17" s="360">
        <v>0</v>
      </c>
      <c r="BA17" s="360">
        <v>0</v>
      </c>
      <c r="BB17" s="360">
        <v>0</v>
      </c>
      <c r="BC17" s="360">
        <v>0</v>
      </c>
      <c r="BD17" s="360">
        <v>0</v>
      </c>
      <c r="BE17" s="360">
        <v>0</v>
      </c>
      <c r="BF17" s="360">
        <v>0</v>
      </c>
      <c r="BG17" s="360">
        <v>0</v>
      </c>
      <c r="BH17" s="360">
        <v>0</v>
      </c>
      <c r="BI17" s="360">
        <v>0</v>
      </c>
      <c r="BJ17" s="362">
        <v>7.0483501560653172</v>
      </c>
      <c r="BK17" s="362">
        <v>7.1062679908480346</v>
      </c>
      <c r="BL17" s="362">
        <v>7.1646617491464202</v>
      </c>
      <c r="BM17" s="363">
        <v>7.1175572416065993</v>
      </c>
      <c r="BN17" s="363">
        <v>7.0707624255369774</v>
      </c>
      <c r="BO17" s="363">
        <v>7.0481831924539371</v>
      </c>
      <c r="BP17" s="363">
        <v>7.0256760621705583</v>
      </c>
      <c r="BQ17" s="363">
        <v>7.0032408044392618</v>
      </c>
      <c r="BR17" s="363">
        <v>6.9808771897477264</v>
      </c>
      <c r="BS17" s="363">
        <v>6.9585849893165372</v>
      </c>
      <c r="BT17" s="363">
        <v>7.0100574186350517</v>
      </c>
      <c r="BU17" s="363">
        <v>7.061910587857442</v>
      </c>
      <c r="BV17" s="363">
        <v>7.1141473133045299</v>
      </c>
      <c r="BW17" s="363">
        <v>7.1667704321293737</v>
      </c>
      <c r="BX17" s="363">
        <v>7.2197828024713528</v>
      </c>
      <c r="BY17" s="435">
        <v>7.2488844249029816</v>
      </c>
      <c r="BZ17" s="435">
        <v>7.2779860473346103</v>
      </c>
      <c r="CA17" s="435">
        <v>7.307087669766239</v>
      </c>
      <c r="CB17" s="435">
        <v>7.3361892921978678</v>
      </c>
      <c r="CC17" s="363">
        <v>7.3652909146294965</v>
      </c>
      <c r="CD17" s="435">
        <v>7.389145643558674</v>
      </c>
      <c r="CE17" s="435">
        <v>7.4130003724878515</v>
      </c>
      <c r="CF17" s="435">
        <v>7.4368551014170281</v>
      </c>
      <c r="CG17" s="435">
        <v>7.4607098303462056</v>
      </c>
      <c r="CH17" s="363">
        <v>7.4845645592753831</v>
      </c>
      <c r="CI17" s="362">
        <v>0</v>
      </c>
      <c r="CJ17" s="362">
        <v>0</v>
      </c>
      <c r="CK17" s="362">
        <v>0</v>
      </c>
      <c r="CL17" s="363">
        <v>0</v>
      </c>
      <c r="CM17" s="363">
        <v>0</v>
      </c>
      <c r="CN17" s="363">
        <v>0</v>
      </c>
      <c r="CO17" s="363">
        <v>0</v>
      </c>
      <c r="CP17" s="363">
        <v>0</v>
      </c>
      <c r="CQ17" s="363">
        <v>0</v>
      </c>
      <c r="CR17" s="363">
        <v>0</v>
      </c>
      <c r="CS17" s="363">
        <v>0</v>
      </c>
      <c r="CT17" s="363">
        <v>0</v>
      </c>
      <c r="CU17" s="363">
        <v>0</v>
      </c>
      <c r="CV17" s="363">
        <v>0</v>
      </c>
      <c r="CW17" s="363">
        <v>0</v>
      </c>
      <c r="CX17" s="435">
        <v>0</v>
      </c>
      <c r="CY17" s="435">
        <v>0</v>
      </c>
      <c r="CZ17" s="435">
        <v>0</v>
      </c>
      <c r="DA17" s="435">
        <v>0</v>
      </c>
      <c r="DB17" s="363">
        <v>0</v>
      </c>
      <c r="DC17" s="435">
        <v>0</v>
      </c>
      <c r="DD17" s="435">
        <v>0</v>
      </c>
      <c r="DE17" s="435">
        <v>0</v>
      </c>
      <c r="DF17" s="435">
        <v>0</v>
      </c>
      <c r="DG17" s="363">
        <v>0</v>
      </c>
      <c r="DH17" s="362">
        <v>0</v>
      </c>
      <c r="DI17" s="362">
        <v>0</v>
      </c>
      <c r="DJ17" s="362">
        <v>0</v>
      </c>
      <c r="DK17" s="363">
        <v>0</v>
      </c>
      <c r="DL17" s="363">
        <v>0</v>
      </c>
      <c r="DM17" s="363">
        <v>0</v>
      </c>
      <c r="DN17" s="363">
        <v>0</v>
      </c>
      <c r="DO17" s="363">
        <v>0</v>
      </c>
      <c r="DP17" s="363">
        <v>0</v>
      </c>
      <c r="DQ17" s="363">
        <v>0</v>
      </c>
      <c r="DR17" s="363">
        <v>0</v>
      </c>
      <c r="DS17" s="363">
        <v>0</v>
      </c>
      <c r="DT17" s="363">
        <v>0</v>
      </c>
      <c r="DU17" s="363">
        <v>0</v>
      </c>
      <c r="DV17" s="363">
        <v>0</v>
      </c>
      <c r="DW17" s="435">
        <v>0</v>
      </c>
      <c r="DX17" s="435">
        <v>0</v>
      </c>
      <c r="DY17" s="435">
        <v>0</v>
      </c>
      <c r="DZ17" s="435">
        <v>0</v>
      </c>
      <c r="EA17" s="363">
        <v>0</v>
      </c>
      <c r="EB17" s="435">
        <v>0</v>
      </c>
      <c r="EC17" s="435">
        <v>0</v>
      </c>
      <c r="ED17" s="435">
        <v>0</v>
      </c>
      <c r="EE17" s="435">
        <v>0</v>
      </c>
      <c r="EF17" s="363">
        <v>0</v>
      </c>
      <c r="EG17" s="364">
        <v>9.1703749103113682E-3</v>
      </c>
      <c r="EH17" s="364">
        <v>9.2457298866094658E-3</v>
      </c>
      <c r="EI17" s="364">
        <v>9.3217040712287539E-3</v>
      </c>
      <c r="EJ17" s="365">
        <v>9.2604179568131668E-3</v>
      </c>
      <c r="EK17" s="365">
        <v>9.1995347717108746E-3</v>
      </c>
      <c r="EL17" s="365">
        <v>9.170157679487298E-3</v>
      </c>
      <c r="EM17" s="365">
        <v>9.1408743978279444E-3</v>
      </c>
      <c r="EN17" s="365">
        <v>9.1116846271653163E-3</v>
      </c>
      <c r="EO17" s="365">
        <v>9.0825880688885328E-3</v>
      </c>
      <c r="EP17" s="365">
        <v>9.0535844253402768E-3</v>
      </c>
      <c r="EQ17" s="365">
        <v>9.1205534980940035E-3</v>
      </c>
      <c r="ER17" s="365">
        <v>9.1880179389245923E-3</v>
      </c>
      <c r="ES17" s="365">
        <v>9.255981412053773E-3</v>
      </c>
      <c r="ET17" s="365">
        <v>9.3244476088074086E-3</v>
      </c>
      <c r="EU17" s="365">
        <v>9.3934202478159669E-3</v>
      </c>
      <c r="EV17" s="436">
        <v>9.4312834047657838E-3</v>
      </c>
      <c r="EW17" s="436">
        <v>9.4691465617155988E-3</v>
      </c>
      <c r="EX17" s="436">
        <v>9.5070097186654157E-3</v>
      </c>
      <c r="EY17" s="436">
        <v>9.5448728756152307E-3</v>
      </c>
      <c r="EZ17" s="365">
        <v>9.5827360325650476E-3</v>
      </c>
      <c r="FA17" s="436">
        <v>9.6137726301830252E-3</v>
      </c>
      <c r="FB17" s="436">
        <v>9.6448092278010027E-3</v>
      </c>
      <c r="FC17" s="436">
        <v>9.6758458254189803E-3</v>
      </c>
      <c r="FD17" s="436">
        <v>9.7068824230369579E-3</v>
      </c>
      <c r="FE17" s="365">
        <v>9.7379190206549355E-3</v>
      </c>
      <c r="FF17" s="364">
        <v>0</v>
      </c>
      <c r="FG17" s="364">
        <v>0</v>
      </c>
      <c r="FH17" s="364">
        <v>0</v>
      </c>
      <c r="FI17" s="365">
        <v>0</v>
      </c>
      <c r="FJ17" s="365">
        <v>0</v>
      </c>
      <c r="FK17" s="365">
        <v>0</v>
      </c>
      <c r="FL17" s="365">
        <v>0</v>
      </c>
      <c r="FM17" s="365">
        <v>0</v>
      </c>
      <c r="FN17" s="365">
        <v>0</v>
      </c>
      <c r="FO17" s="365">
        <v>0</v>
      </c>
      <c r="FP17" s="365">
        <v>0</v>
      </c>
      <c r="FQ17" s="365">
        <v>0</v>
      </c>
      <c r="FR17" s="365">
        <v>0</v>
      </c>
      <c r="FS17" s="365">
        <v>0</v>
      </c>
      <c r="FT17" s="365">
        <v>0</v>
      </c>
      <c r="FU17" s="436">
        <v>0</v>
      </c>
      <c r="FV17" s="436">
        <v>0</v>
      </c>
      <c r="FW17" s="436">
        <v>0</v>
      </c>
      <c r="FX17" s="436">
        <v>0</v>
      </c>
      <c r="FY17" s="365">
        <v>0</v>
      </c>
      <c r="FZ17" s="436">
        <v>0</v>
      </c>
      <c r="GA17" s="436">
        <v>0</v>
      </c>
      <c r="GB17" s="436">
        <v>0</v>
      </c>
      <c r="GC17" s="436">
        <v>0</v>
      </c>
      <c r="GD17" s="365">
        <v>0</v>
      </c>
    </row>
    <row r="18" spans="1:186" ht="15" x14ac:dyDescent="0.25">
      <c r="A18" s="357">
        <v>137</v>
      </c>
      <c r="B18" s="357">
        <v>59</v>
      </c>
      <c r="C18" s="357" t="s">
        <v>927</v>
      </c>
      <c r="D18" s="2">
        <v>99714</v>
      </c>
      <c r="E18" s="268" t="s">
        <v>19</v>
      </c>
      <c r="F18" s="358" t="s">
        <v>915</v>
      </c>
      <c r="G18" s="49">
        <v>119</v>
      </c>
      <c r="H18" s="49">
        <v>78</v>
      </c>
      <c r="I18" s="49">
        <v>47</v>
      </c>
      <c r="J18" s="49">
        <v>31</v>
      </c>
      <c r="K18" s="49">
        <v>0</v>
      </c>
      <c r="L18" s="49">
        <v>8</v>
      </c>
      <c r="M18" s="49">
        <v>8</v>
      </c>
      <c r="N18" s="49">
        <v>2</v>
      </c>
      <c r="O18" s="49">
        <v>0</v>
      </c>
      <c r="P18" s="49">
        <v>0</v>
      </c>
      <c r="Q18" s="49">
        <v>10</v>
      </c>
      <c r="R18" s="49">
        <v>0</v>
      </c>
      <c r="S18" s="49">
        <v>1873.5</v>
      </c>
      <c r="T18" s="49">
        <v>1873.5</v>
      </c>
      <c r="U18" s="49">
        <v>825</v>
      </c>
      <c r="V18" s="49">
        <v>0</v>
      </c>
      <c r="W18" s="49">
        <v>0</v>
      </c>
      <c r="X18" s="49">
        <v>1663.8</v>
      </c>
      <c r="Y18" s="434">
        <v>14988</v>
      </c>
      <c r="Z18" s="434">
        <v>1650</v>
      </c>
      <c r="AA18" s="49">
        <v>0</v>
      </c>
      <c r="AB18" s="49">
        <v>78</v>
      </c>
      <c r="AC18" s="49">
        <v>0</v>
      </c>
      <c r="AD18" s="285">
        <v>2</v>
      </c>
      <c r="AE18" s="285">
        <v>0</v>
      </c>
      <c r="AF18" s="359">
        <v>80</v>
      </c>
      <c r="AG18" s="360">
        <v>0</v>
      </c>
      <c r="AH18" s="360">
        <v>47</v>
      </c>
      <c r="AI18" s="361">
        <v>47</v>
      </c>
      <c r="AJ18" s="360">
        <v>0</v>
      </c>
      <c r="AK18" s="360">
        <v>0</v>
      </c>
      <c r="AL18" s="360">
        <v>73.174143376026777</v>
      </c>
      <c r="AM18" s="360">
        <v>73.174143376026777</v>
      </c>
      <c r="AN18" s="360">
        <v>0</v>
      </c>
      <c r="AO18" s="360">
        <v>0</v>
      </c>
      <c r="AP18" s="360">
        <v>44.950292293100134</v>
      </c>
      <c r="AQ18" s="360">
        <v>44.950292293100134</v>
      </c>
      <c r="AR18" s="360">
        <v>0</v>
      </c>
      <c r="AS18" s="360">
        <v>1.9327684259768214</v>
      </c>
      <c r="AT18" s="360">
        <v>0</v>
      </c>
      <c r="AU18" s="360">
        <v>68.646862292504153</v>
      </c>
      <c r="AV18" s="360">
        <v>70.874363092066403</v>
      </c>
      <c r="AW18" s="360">
        <v>73.174143376026777</v>
      </c>
      <c r="AX18" s="360">
        <v>75.548548519015824</v>
      </c>
      <c r="AY18" s="360">
        <v>78</v>
      </c>
      <c r="AZ18" s="360">
        <v>42.98997398372633</v>
      </c>
      <c r="BA18" s="360">
        <v>43.959207183948038</v>
      </c>
      <c r="BB18" s="360">
        <v>44.950292293100134</v>
      </c>
      <c r="BC18" s="360">
        <v>45.963721974789053</v>
      </c>
      <c r="BD18" s="360">
        <v>47</v>
      </c>
      <c r="BE18" s="360">
        <v>1.8677968942264598</v>
      </c>
      <c r="BF18" s="360">
        <v>1.9000049640194285</v>
      </c>
      <c r="BG18" s="360">
        <v>1.9327684259768214</v>
      </c>
      <c r="BH18" s="360">
        <v>1.9660968572157482</v>
      </c>
      <c r="BI18" s="360">
        <v>2</v>
      </c>
      <c r="BJ18" s="362">
        <v>78.640943059442719</v>
      </c>
      <c r="BK18" s="362">
        <v>79.287152888186043</v>
      </c>
      <c r="BL18" s="362">
        <v>79.938672764425235</v>
      </c>
      <c r="BM18" s="363">
        <v>79.413111063706609</v>
      </c>
      <c r="BN18" s="363">
        <v>78.891004700582528</v>
      </c>
      <c r="BO18" s="363">
        <v>78.639080187201017</v>
      </c>
      <c r="BP18" s="363">
        <v>78.387960150333456</v>
      </c>
      <c r="BQ18" s="363">
        <v>78.137642021025911</v>
      </c>
      <c r="BR18" s="363">
        <v>77.888123238527996</v>
      </c>
      <c r="BS18" s="363">
        <v>77.639401250266644</v>
      </c>
      <c r="BT18" s="363">
        <v>78.213697403769331</v>
      </c>
      <c r="BU18" s="363">
        <v>78.792241607445234</v>
      </c>
      <c r="BV18" s="363">
        <v>79.375065283984796</v>
      </c>
      <c r="BW18" s="363">
        <v>79.962200088511167</v>
      </c>
      <c r="BX18" s="363">
        <v>80.553677910299314</v>
      </c>
      <c r="BY18" s="435">
        <v>80.878375035429187</v>
      </c>
      <c r="BZ18" s="435">
        <v>81.20307216055906</v>
      </c>
      <c r="CA18" s="435">
        <v>81.527769285688933</v>
      </c>
      <c r="CB18" s="435">
        <v>81.852466410818806</v>
      </c>
      <c r="CC18" s="363">
        <v>82.177163535948679</v>
      </c>
      <c r="CD18" s="435">
        <v>82.44331920896154</v>
      </c>
      <c r="CE18" s="435">
        <v>82.709474881974401</v>
      </c>
      <c r="CF18" s="435">
        <v>82.975630554987276</v>
      </c>
      <c r="CG18" s="435">
        <v>83.241786228000137</v>
      </c>
      <c r="CH18" s="363">
        <v>83.507941901012998</v>
      </c>
      <c r="CI18" s="362">
        <v>47.386209279407794</v>
      </c>
      <c r="CJ18" s="362">
        <v>47.775592124932615</v>
      </c>
      <c r="CK18" s="362">
        <v>48.168174614461357</v>
      </c>
      <c r="CL18" s="363">
        <v>47.851489999925775</v>
      </c>
      <c r="CM18" s="363">
        <v>47.53688744778691</v>
      </c>
      <c r="CN18" s="363">
        <v>47.385086779467279</v>
      </c>
      <c r="CO18" s="363">
        <v>47.23377085981631</v>
      </c>
      <c r="CP18" s="363">
        <v>47.082938140874582</v>
      </c>
      <c r="CQ18" s="363">
        <v>46.932587079625847</v>
      </c>
      <c r="CR18" s="363">
        <v>46.782716137981176</v>
      </c>
      <c r="CS18" s="363">
        <v>47.128766384322546</v>
      </c>
      <c r="CT18" s="363">
        <v>47.477376353204171</v>
      </c>
      <c r="CU18" s="363">
        <v>47.82856497881135</v>
      </c>
      <c r="CV18" s="363">
        <v>48.182351335384929</v>
      </c>
      <c r="CW18" s="363">
        <v>48.538754638257274</v>
      </c>
      <c r="CX18" s="435">
        <v>48.734405470066299</v>
      </c>
      <c r="CY18" s="435">
        <v>48.930056301875325</v>
      </c>
      <c r="CZ18" s="435">
        <v>49.125707133684358</v>
      </c>
      <c r="DA18" s="435">
        <v>49.321357965493384</v>
      </c>
      <c r="DB18" s="363">
        <v>49.51700879730241</v>
      </c>
      <c r="DC18" s="435">
        <v>49.677384651553751</v>
      </c>
      <c r="DD18" s="435">
        <v>49.837760505805093</v>
      </c>
      <c r="DE18" s="435">
        <v>49.998136360056428</v>
      </c>
      <c r="DF18" s="435">
        <v>50.15851221430777</v>
      </c>
      <c r="DG18" s="363">
        <v>50.318888068559112</v>
      </c>
      <c r="DH18" s="362">
        <v>2.0164344374216081</v>
      </c>
      <c r="DI18" s="362">
        <v>2.0330039202098984</v>
      </c>
      <c r="DJ18" s="362">
        <v>2.0497095580621854</v>
      </c>
      <c r="DK18" s="363">
        <v>2.0362336170181181</v>
      </c>
      <c r="DL18" s="363">
        <v>2.0228462743739111</v>
      </c>
      <c r="DM18" s="363">
        <v>2.0163866714666927</v>
      </c>
      <c r="DN18" s="363">
        <v>2.0099476961623961</v>
      </c>
      <c r="DO18" s="363">
        <v>2.0035292825904079</v>
      </c>
      <c r="DP18" s="363">
        <v>1.9971313650904614</v>
      </c>
      <c r="DQ18" s="363">
        <v>1.9907538782119649</v>
      </c>
      <c r="DR18" s="363">
        <v>2.0054794206094702</v>
      </c>
      <c r="DS18" s="363">
        <v>2.0203138873703903</v>
      </c>
      <c r="DT18" s="363">
        <v>2.0352580842047381</v>
      </c>
      <c r="DU18" s="363">
        <v>2.0503128227823373</v>
      </c>
      <c r="DV18" s="363">
        <v>2.0654789207769051</v>
      </c>
      <c r="DW18" s="435">
        <v>2.0738044880879274</v>
      </c>
      <c r="DX18" s="435">
        <v>2.0821300553989501</v>
      </c>
      <c r="DY18" s="435">
        <v>2.0904556227099724</v>
      </c>
      <c r="DZ18" s="435">
        <v>2.0987811900209952</v>
      </c>
      <c r="EA18" s="363">
        <v>2.1071067573320175</v>
      </c>
      <c r="EB18" s="435">
        <v>2.1139312617682449</v>
      </c>
      <c r="EC18" s="435">
        <v>2.1207557662044718</v>
      </c>
      <c r="ED18" s="435">
        <v>2.1275802706406992</v>
      </c>
      <c r="EE18" s="435">
        <v>2.1344047750769262</v>
      </c>
      <c r="EF18" s="363">
        <v>2.1412292795131536</v>
      </c>
      <c r="EG18" s="364">
        <v>0</v>
      </c>
      <c r="EH18" s="364">
        <v>0</v>
      </c>
      <c r="EI18" s="364">
        <v>0</v>
      </c>
      <c r="EJ18" s="365">
        <v>0</v>
      </c>
      <c r="EK18" s="365">
        <v>0</v>
      </c>
      <c r="EL18" s="365">
        <v>0</v>
      </c>
      <c r="EM18" s="365">
        <v>0</v>
      </c>
      <c r="EN18" s="365">
        <v>0</v>
      </c>
      <c r="EO18" s="365">
        <v>0</v>
      </c>
      <c r="EP18" s="365">
        <v>0</v>
      </c>
      <c r="EQ18" s="365">
        <v>0</v>
      </c>
      <c r="ER18" s="365">
        <v>0</v>
      </c>
      <c r="ES18" s="365">
        <v>0</v>
      </c>
      <c r="ET18" s="365">
        <v>0</v>
      </c>
      <c r="EU18" s="365">
        <v>0</v>
      </c>
      <c r="EV18" s="436">
        <v>0</v>
      </c>
      <c r="EW18" s="436">
        <v>0</v>
      </c>
      <c r="EX18" s="436">
        <v>0</v>
      </c>
      <c r="EY18" s="436">
        <v>0</v>
      </c>
      <c r="EZ18" s="365">
        <v>0</v>
      </c>
      <c r="FA18" s="436">
        <v>0</v>
      </c>
      <c r="FB18" s="436">
        <v>0</v>
      </c>
      <c r="FC18" s="436">
        <v>0</v>
      </c>
      <c r="FD18" s="436">
        <v>0</v>
      </c>
      <c r="FE18" s="365">
        <v>0</v>
      </c>
      <c r="FF18" s="364">
        <v>0</v>
      </c>
      <c r="FG18" s="364">
        <v>0</v>
      </c>
      <c r="FH18" s="364">
        <v>0</v>
      </c>
      <c r="FI18" s="365">
        <v>0</v>
      </c>
      <c r="FJ18" s="365">
        <v>0</v>
      </c>
      <c r="FK18" s="365">
        <v>0</v>
      </c>
      <c r="FL18" s="365">
        <v>0</v>
      </c>
      <c r="FM18" s="365">
        <v>0</v>
      </c>
      <c r="FN18" s="365">
        <v>0</v>
      </c>
      <c r="FO18" s="365">
        <v>0</v>
      </c>
      <c r="FP18" s="365">
        <v>0</v>
      </c>
      <c r="FQ18" s="365">
        <v>0</v>
      </c>
      <c r="FR18" s="365">
        <v>0</v>
      </c>
      <c r="FS18" s="365">
        <v>0</v>
      </c>
      <c r="FT18" s="365">
        <v>0</v>
      </c>
      <c r="FU18" s="436">
        <v>0</v>
      </c>
      <c r="FV18" s="436">
        <v>0</v>
      </c>
      <c r="FW18" s="436">
        <v>0</v>
      </c>
      <c r="FX18" s="436">
        <v>0</v>
      </c>
      <c r="FY18" s="365">
        <v>0</v>
      </c>
      <c r="FZ18" s="436">
        <v>0</v>
      </c>
      <c r="GA18" s="436">
        <v>0</v>
      </c>
      <c r="GB18" s="436">
        <v>0</v>
      </c>
      <c r="GC18" s="436">
        <v>0</v>
      </c>
      <c r="GD18" s="365">
        <v>0</v>
      </c>
    </row>
    <row r="19" spans="1:186" ht="15" x14ac:dyDescent="0.25">
      <c r="A19" s="357">
        <v>139</v>
      </c>
      <c r="B19" s="357">
        <v>59</v>
      </c>
      <c r="C19" s="357" t="s">
        <v>928</v>
      </c>
      <c r="D19" s="2">
        <v>99714</v>
      </c>
      <c r="E19" s="268" t="s">
        <v>19</v>
      </c>
      <c r="F19" s="358" t="s">
        <v>915</v>
      </c>
      <c r="G19" s="49">
        <v>1</v>
      </c>
      <c r="H19" s="49">
        <v>5</v>
      </c>
      <c r="I19" s="49">
        <v>1</v>
      </c>
      <c r="J19" s="49">
        <v>4</v>
      </c>
      <c r="K19" s="49">
        <v>0</v>
      </c>
      <c r="L19" s="49">
        <v>64</v>
      </c>
      <c r="M19" s="49">
        <v>64</v>
      </c>
      <c r="N19" s="49">
        <v>0</v>
      </c>
      <c r="O19" s="49">
        <v>0</v>
      </c>
      <c r="P19" s="49">
        <v>0</v>
      </c>
      <c r="Q19" s="49">
        <v>64</v>
      </c>
      <c r="R19" s="49">
        <v>0</v>
      </c>
      <c r="S19" s="49">
        <v>1384.65625</v>
      </c>
      <c r="T19" s="49">
        <v>1384.65625</v>
      </c>
      <c r="U19" s="49">
        <v>0</v>
      </c>
      <c r="V19" s="49">
        <v>0</v>
      </c>
      <c r="W19" s="49">
        <v>0</v>
      </c>
      <c r="X19" s="49">
        <v>1384.65625</v>
      </c>
      <c r="Y19" s="434">
        <v>88618</v>
      </c>
      <c r="Z19" s="434">
        <v>0</v>
      </c>
      <c r="AA19" s="49">
        <v>0</v>
      </c>
      <c r="AB19" s="49">
        <v>5</v>
      </c>
      <c r="AC19" s="49">
        <v>0</v>
      </c>
      <c r="AD19" s="285">
        <v>0</v>
      </c>
      <c r="AE19" s="285">
        <v>0</v>
      </c>
      <c r="AF19" s="359">
        <v>5</v>
      </c>
      <c r="AG19" s="360">
        <v>0</v>
      </c>
      <c r="AH19" s="360">
        <v>1</v>
      </c>
      <c r="AI19" s="361">
        <v>1</v>
      </c>
      <c r="AJ19" s="360">
        <v>0</v>
      </c>
      <c r="AK19" s="360">
        <v>0</v>
      </c>
      <c r="AL19" s="360">
        <v>4.6906502164119734</v>
      </c>
      <c r="AM19" s="360">
        <v>4.6906502164119734</v>
      </c>
      <c r="AN19" s="360">
        <v>0</v>
      </c>
      <c r="AO19" s="360">
        <v>0</v>
      </c>
      <c r="AP19" s="360">
        <v>0.95638919772553477</v>
      </c>
      <c r="AQ19" s="360">
        <v>0.95638919772553477</v>
      </c>
      <c r="AR19" s="360">
        <v>0</v>
      </c>
      <c r="AS19" s="360">
        <v>0</v>
      </c>
      <c r="AT19" s="360">
        <v>0</v>
      </c>
      <c r="AU19" s="360">
        <v>4.4004398905451376</v>
      </c>
      <c r="AV19" s="360">
        <v>4.54322840333759</v>
      </c>
      <c r="AW19" s="360">
        <v>4.6906502164119734</v>
      </c>
      <c r="AX19" s="360">
        <v>4.8428556742958868</v>
      </c>
      <c r="AY19" s="360">
        <v>5</v>
      </c>
      <c r="AZ19" s="360">
        <v>0.91468029752609203</v>
      </c>
      <c r="BA19" s="360">
        <v>0.93530228050953268</v>
      </c>
      <c r="BB19" s="360">
        <v>0.95638919772553477</v>
      </c>
      <c r="BC19" s="360">
        <v>0.97795153137849056</v>
      </c>
      <c r="BD19" s="360">
        <v>1</v>
      </c>
      <c r="BE19" s="360">
        <v>0</v>
      </c>
      <c r="BF19" s="360">
        <v>0</v>
      </c>
      <c r="BG19" s="360">
        <v>0</v>
      </c>
      <c r="BH19" s="360">
        <v>0</v>
      </c>
      <c r="BI19" s="360">
        <v>0</v>
      </c>
      <c r="BJ19" s="362">
        <v>5.0410860935540205</v>
      </c>
      <c r="BK19" s="362">
        <v>5.082509800524746</v>
      </c>
      <c r="BL19" s="362">
        <v>5.1242738951554632</v>
      </c>
      <c r="BM19" s="363">
        <v>5.0905840425452942</v>
      </c>
      <c r="BN19" s="363">
        <v>5.057115685934777</v>
      </c>
      <c r="BO19" s="363">
        <v>5.0409666786667318</v>
      </c>
      <c r="BP19" s="363">
        <v>5.02486924040599</v>
      </c>
      <c r="BQ19" s="363">
        <v>5.008823206476019</v>
      </c>
      <c r="BR19" s="363">
        <v>4.9928284127261531</v>
      </c>
      <c r="BS19" s="363">
        <v>4.976884695529912</v>
      </c>
      <c r="BT19" s="363">
        <v>5.0136985515236745</v>
      </c>
      <c r="BU19" s="363">
        <v>5.0507847184259758</v>
      </c>
      <c r="BV19" s="363">
        <v>5.0881452105118452</v>
      </c>
      <c r="BW19" s="363">
        <v>5.1257820569558437</v>
      </c>
      <c r="BX19" s="363">
        <v>5.1636973019422632</v>
      </c>
      <c r="BY19" s="435">
        <v>5.1845112202198189</v>
      </c>
      <c r="BZ19" s="435">
        <v>5.2053251384973755</v>
      </c>
      <c r="CA19" s="435">
        <v>5.2261390567749313</v>
      </c>
      <c r="CB19" s="435">
        <v>5.2469529750524879</v>
      </c>
      <c r="CC19" s="363">
        <v>5.2677668933300437</v>
      </c>
      <c r="CD19" s="435">
        <v>5.2848281544206115</v>
      </c>
      <c r="CE19" s="435">
        <v>5.3018894155111793</v>
      </c>
      <c r="CF19" s="435">
        <v>5.318950676601748</v>
      </c>
      <c r="CG19" s="435">
        <v>5.3360119376923159</v>
      </c>
      <c r="CH19" s="363">
        <v>5.3530731987828837</v>
      </c>
      <c r="CI19" s="362">
        <v>1.0082172187108041</v>
      </c>
      <c r="CJ19" s="362">
        <v>1.0165019601049492</v>
      </c>
      <c r="CK19" s="362">
        <v>1.0248547790310927</v>
      </c>
      <c r="CL19" s="363">
        <v>1.0181168085090591</v>
      </c>
      <c r="CM19" s="363">
        <v>1.0114231371869555</v>
      </c>
      <c r="CN19" s="363">
        <v>1.0081933357333464</v>
      </c>
      <c r="CO19" s="363">
        <v>1.0049738480811981</v>
      </c>
      <c r="CP19" s="363">
        <v>1.0017646412952039</v>
      </c>
      <c r="CQ19" s="363">
        <v>0.9985656825452307</v>
      </c>
      <c r="CR19" s="363">
        <v>0.99537693910598246</v>
      </c>
      <c r="CS19" s="363">
        <v>1.0027397103047351</v>
      </c>
      <c r="CT19" s="363">
        <v>1.0101569436851952</v>
      </c>
      <c r="CU19" s="363">
        <v>1.017629042102369</v>
      </c>
      <c r="CV19" s="363">
        <v>1.0251564113911686</v>
      </c>
      <c r="CW19" s="363">
        <v>1.0327394603884525</v>
      </c>
      <c r="CX19" s="435">
        <v>1.0369022440439637</v>
      </c>
      <c r="CY19" s="435">
        <v>1.0410650276994751</v>
      </c>
      <c r="CZ19" s="435">
        <v>1.0452278113549862</v>
      </c>
      <c r="DA19" s="435">
        <v>1.0493905950104976</v>
      </c>
      <c r="DB19" s="363">
        <v>1.0535533786660087</v>
      </c>
      <c r="DC19" s="435">
        <v>1.0569656308841224</v>
      </c>
      <c r="DD19" s="435">
        <v>1.0603778831022359</v>
      </c>
      <c r="DE19" s="435">
        <v>1.0637901353203496</v>
      </c>
      <c r="DF19" s="435">
        <v>1.0672023875384631</v>
      </c>
      <c r="DG19" s="363">
        <v>1.0706146397565768</v>
      </c>
      <c r="DH19" s="362">
        <v>0</v>
      </c>
      <c r="DI19" s="362">
        <v>0</v>
      </c>
      <c r="DJ19" s="362">
        <v>0</v>
      </c>
      <c r="DK19" s="363">
        <v>0</v>
      </c>
      <c r="DL19" s="363">
        <v>0</v>
      </c>
      <c r="DM19" s="363">
        <v>0</v>
      </c>
      <c r="DN19" s="363">
        <v>0</v>
      </c>
      <c r="DO19" s="363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363">
        <v>0</v>
      </c>
      <c r="DV19" s="363">
        <v>0</v>
      </c>
      <c r="DW19" s="435">
        <v>0</v>
      </c>
      <c r="DX19" s="435">
        <v>0</v>
      </c>
      <c r="DY19" s="435">
        <v>0</v>
      </c>
      <c r="DZ19" s="435">
        <v>0</v>
      </c>
      <c r="EA19" s="363">
        <v>0</v>
      </c>
      <c r="EB19" s="435">
        <v>0</v>
      </c>
      <c r="EC19" s="435">
        <v>0</v>
      </c>
      <c r="ED19" s="435">
        <v>0</v>
      </c>
      <c r="EE19" s="435">
        <v>0</v>
      </c>
      <c r="EF19" s="363">
        <v>0</v>
      </c>
      <c r="EG19" s="364">
        <v>0</v>
      </c>
      <c r="EH19" s="364">
        <v>0</v>
      </c>
      <c r="EI19" s="364">
        <v>0</v>
      </c>
      <c r="EJ19" s="365">
        <v>0</v>
      </c>
      <c r="EK19" s="365">
        <v>0</v>
      </c>
      <c r="EL19" s="365">
        <v>0</v>
      </c>
      <c r="EM19" s="365">
        <v>0</v>
      </c>
      <c r="EN19" s="365">
        <v>0</v>
      </c>
      <c r="EO19" s="365">
        <v>0</v>
      </c>
      <c r="EP19" s="365">
        <v>0</v>
      </c>
      <c r="EQ19" s="365">
        <v>0</v>
      </c>
      <c r="ER19" s="365">
        <v>0</v>
      </c>
      <c r="ES19" s="365">
        <v>0</v>
      </c>
      <c r="ET19" s="365">
        <v>0</v>
      </c>
      <c r="EU19" s="365">
        <v>0</v>
      </c>
      <c r="EV19" s="436">
        <v>0</v>
      </c>
      <c r="EW19" s="436">
        <v>0</v>
      </c>
      <c r="EX19" s="436">
        <v>0</v>
      </c>
      <c r="EY19" s="436">
        <v>0</v>
      </c>
      <c r="EZ19" s="365">
        <v>0</v>
      </c>
      <c r="FA19" s="436">
        <v>0</v>
      </c>
      <c r="FB19" s="436">
        <v>0</v>
      </c>
      <c r="FC19" s="436">
        <v>0</v>
      </c>
      <c r="FD19" s="436">
        <v>0</v>
      </c>
      <c r="FE19" s="365">
        <v>0</v>
      </c>
      <c r="FF19" s="364">
        <v>0</v>
      </c>
      <c r="FG19" s="364">
        <v>0</v>
      </c>
      <c r="FH19" s="364">
        <v>0</v>
      </c>
      <c r="FI19" s="365">
        <v>0</v>
      </c>
      <c r="FJ19" s="365">
        <v>0</v>
      </c>
      <c r="FK19" s="365">
        <v>0</v>
      </c>
      <c r="FL19" s="365">
        <v>0</v>
      </c>
      <c r="FM19" s="365">
        <v>0</v>
      </c>
      <c r="FN19" s="365">
        <v>0</v>
      </c>
      <c r="FO19" s="365">
        <v>0</v>
      </c>
      <c r="FP19" s="365">
        <v>0</v>
      </c>
      <c r="FQ19" s="365">
        <v>0</v>
      </c>
      <c r="FR19" s="365">
        <v>0</v>
      </c>
      <c r="FS19" s="365">
        <v>0</v>
      </c>
      <c r="FT19" s="365">
        <v>0</v>
      </c>
      <c r="FU19" s="436">
        <v>0</v>
      </c>
      <c r="FV19" s="436">
        <v>0</v>
      </c>
      <c r="FW19" s="436">
        <v>0</v>
      </c>
      <c r="FX19" s="436">
        <v>0</v>
      </c>
      <c r="FY19" s="365">
        <v>0</v>
      </c>
      <c r="FZ19" s="436">
        <v>0</v>
      </c>
      <c r="GA19" s="436">
        <v>0</v>
      </c>
      <c r="GB19" s="436">
        <v>0</v>
      </c>
      <c r="GC19" s="436">
        <v>0</v>
      </c>
      <c r="GD19" s="365">
        <v>0</v>
      </c>
    </row>
    <row r="20" spans="1:186" ht="15" x14ac:dyDescent="0.25">
      <c r="A20" s="357">
        <v>141</v>
      </c>
      <c r="B20" s="357">
        <v>59</v>
      </c>
      <c r="C20" s="357" t="s">
        <v>929</v>
      </c>
      <c r="D20" s="2">
        <v>99714</v>
      </c>
      <c r="E20" s="268" t="s">
        <v>19</v>
      </c>
      <c r="F20" s="358" t="s">
        <v>915</v>
      </c>
      <c r="G20" s="49">
        <v>0</v>
      </c>
      <c r="H20" s="49">
        <v>20</v>
      </c>
      <c r="I20" s="49">
        <v>0</v>
      </c>
      <c r="J20" s="49">
        <v>20</v>
      </c>
      <c r="K20" s="49">
        <v>0</v>
      </c>
      <c r="L20" s="49">
        <v>40</v>
      </c>
      <c r="M20" s="49">
        <v>40</v>
      </c>
      <c r="N20" s="49">
        <v>0</v>
      </c>
      <c r="O20" s="49">
        <v>0</v>
      </c>
      <c r="P20" s="49">
        <v>0</v>
      </c>
      <c r="Q20" s="49">
        <v>40</v>
      </c>
      <c r="R20" s="49">
        <v>0</v>
      </c>
      <c r="S20" s="49">
        <v>1013.675</v>
      </c>
      <c r="T20" s="49">
        <v>1013.675</v>
      </c>
      <c r="U20" s="49">
        <v>0</v>
      </c>
      <c r="V20" s="49">
        <v>0</v>
      </c>
      <c r="W20" s="49">
        <v>0</v>
      </c>
      <c r="X20" s="49">
        <v>1013.675</v>
      </c>
      <c r="Y20" s="434">
        <v>40547</v>
      </c>
      <c r="Z20" s="434">
        <v>0</v>
      </c>
      <c r="AA20" s="49">
        <v>0</v>
      </c>
      <c r="AB20" s="49">
        <v>20</v>
      </c>
      <c r="AC20" s="49">
        <v>0</v>
      </c>
      <c r="AD20" s="285">
        <v>0</v>
      </c>
      <c r="AE20" s="285">
        <v>0</v>
      </c>
      <c r="AF20" s="359">
        <v>20</v>
      </c>
      <c r="AG20" s="360">
        <v>0</v>
      </c>
      <c r="AH20" s="360">
        <v>0</v>
      </c>
      <c r="AI20" s="361">
        <v>0</v>
      </c>
      <c r="AJ20" s="360">
        <v>0</v>
      </c>
      <c r="AK20" s="360">
        <v>0</v>
      </c>
      <c r="AL20" s="360">
        <v>18.762600865647894</v>
      </c>
      <c r="AM20" s="360">
        <v>18.762600865647894</v>
      </c>
      <c r="AN20" s="360">
        <v>0</v>
      </c>
      <c r="AO20" s="360">
        <v>0</v>
      </c>
      <c r="AP20" s="360">
        <v>0</v>
      </c>
      <c r="AQ20" s="360">
        <v>0</v>
      </c>
      <c r="AR20" s="360">
        <v>0</v>
      </c>
      <c r="AS20" s="360">
        <v>0</v>
      </c>
      <c r="AT20" s="360">
        <v>0</v>
      </c>
      <c r="AU20" s="360">
        <v>17.60175956218055</v>
      </c>
      <c r="AV20" s="360">
        <v>18.17291361335036</v>
      </c>
      <c r="AW20" s="360">
        <v>18.762600865647894</v>
      </c>
      <c r="AX20" s="360">
        <v>19.371422697183547</v>
      </c>
      <c r="AY20" s="360">
        <v>20</v>
      </c>
      <c r="AZ20" s="360">
        <v>0</v>
      </c>
      <c r="BA20" s="360">
        <v>0</v>
      </c>
      <c r="BB20" s="360">
        <v>0</v>
      </c>
      <c r="BC20" s="360">
        <v>0</v>
      </c>
      <c r="BD20" s="360">
        <v>0</v>
      </c>
      <c r="BE20" s="360">
        <v>0</v>
      </c>
      <c r="BF20" s="360">
        <v>0</v>
      </c>
      <c r="BG20" s="360">
        <v>0</v>
      </c>
      <c r="BH20" s="360">
        <v>0</v>
      </c>
      <c r="BI20" s="360">
        <v>0</v>
      </c>
      <c r="BJ20" s="362">
        <v>20.164344374216082</v>
      </c>
      <c r="BK20" s="362">
        <v>20.330039202098984</v>
      </c>
      <c r="BL20" s="362">
        <v>20.497095580621853</v>
      </c>
      <c r="BM20" s="363">
        <v>20.362336170181177</v>
      </c>
      <c r="BN20" s="363">
        <v>20.228462743739108</v>
      </c>
      <c r="BO20" s="363">
        <v>20.163866714666927</v>
      </c>
      <c r="BP20" s="363">
        <v>20.09947696162396</v>
      </c>
      <c r="BQ20" s="363">
        <v>20.035292825904076</v>
      </c>
      <c r="BR20" s="363">
        <v>19.971313650904612</v>
      </c>
      <c r="BS20" s="363">
        <v>19.907538782119648</v>
      </c>
      <c r="BT20" s="363">
        <v>20.054794206094698</v>
      </c>
      <c r="BU20" s="363">
        <v>20.203138873703903</v>
      </c>
      <c r="BV20" s="363">
        <v>20.352580842047381</v>
      </c>
      <c r="BW20" s="363">
        <v>20.503128227823375</v>
      </c>
      <c r="BX20" s="363">
        <v>20.654789207769053</v>
      </c>
      <c r="BY20" s="435">
        <v>20.738044880879276</v>
      </c>
      <c r="BZ20" s="435">
        <v>20.821300553989502</v>
      </c>
      <c r="CA20" s="435">
        <v>20.904556227099725</v>
      </c>
      <c r="CB20" s="435">
        <v>20.987811900209952</v>
      </c>
      <c r="CC20" s="363">
        <v>21.071067573320175</v>
      </c>
      <c r="CD20" s="435">
        <v>21.139312617682446</v>
      </c>
      <c r="CE20" s="435">
        <v>21.207557662044717</v>
      </c>
      <c r="CF20" s="435">
        <v>21.275802706406992</v>
      </c>
      <c r="CG20" s="435">
        <v>21.344047750769263</v>
      </c>
      <c r="CH20" s="363">
        <v>21.412292795131535</v>
      </c>
      <c r="CI20" s="362">
        <v>0</v>
      </c>
      <c r="CJ20" s="362">
        <v>0</v>
      </c>
      <c r="CK20" s="362">
        <v>0</v>
      </c>
      <c r="CL20" s="363">
        <v>0</v>
      </c>
      <c r="CM20" s="363">
        <v>0</v>
      </c>
      <c r="CN20" s="363">
        <v>0</v>
      </c>
      <c r="CO20" s="363">
        <v>0</v>
      </c>
      <c r="CP20" s="363">
        <v>0</v>
      </c>
      <c r="CQ20" s="363">
        <v>0</v>
      </c>
      <c r="CR20" s="363">
        <v>0</v>
      </c>
      <c r="CS20" s="363">
        <v>0</v>
      </c>
      <c r="CT20" s="363">
        <v>0</v>
      </c>
      <c r="CU20" s="363">
        <v>0</v>
      </c>
      <c r="CV20" s="363">
        <v>0</v>
      </c>
      <c r="CW20" s="363">
        <v>0</v>
      </c>
      <c r="CX20" s="435">
        <v>0</v>
      </c>
      <c r="CY20" s="435">
        <v>0</v>
      </c>
      <c r="CZ20" s="435">
        <v>0</v>
      </c>
      <c r="DA20" s="435">
        <v>0</v>
      </c>
      <c r="DB20" s="363">
        <v>0</v>
      </c>
      <c r="DC20" s="435">
        <v>0</v>
      </c>
      <c r="DD20" s="435">
        <v>0</v>
      </c>
      <c r="DE20" s="435">
        <v>0</v>
      </c>
      <c r="DF20" s="435">
        <v>0</v>
      </c>
      <c r="DG20" s="363">
        <v>0</v>
      </c>
      <c r="DH20" s="362">
        <v>0</v>
      </c>
      <c r="DI20" s="362">
        <v>0</v>
      </c>
      <c r="DJ20" s="362">
        <v>0</v>
      </c>
      <c r="DK20" s="363">
        <v>0</v>
      </c>
      <c r="DL20" s="363">
        <v>0</v>
      </c>
      <c r="DM20" s="363">
        <v>0</v>
      </c>
      <c r="DN20" s="363">
        <v>0</v>
      </c>
      <c r="DO20" s="363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363">
        <v>0</v>
      </c>
      <c r="DV20" s="363">
        <v>0</v>
      </c>
      <c r="DW20" s="435">
        <v>0</v>
      </c>
      <c r="DX20" s="435">
        <v>0</v>
      </c>
      <c r="DY20" s="435">
        <v>0</v>
      </c>
      <c r="DZ20" s="435">
        <v>0</v>
      </c>
      <c r="EA20" s="363">
        <v>0</v>
      </c>
      <c r="EB20" s="435">
        <v>0</v>
      </c>
      <c r="EC20" s="435">
        <v>0</v>
      </c>
      <c r="ED20" s="435">
        <v>0</v>
      </c>
      <c r="EE20" s="435">
        <v>0</v>
      </c>
      <c r="EF20" s="363">
        <v>0</v>
      </c>
      <c r="EG20" s="364">
        <v>0</v>
      </c>
      <c r="EH20" s="364">
        <v>0</v>
      </c>
      <c r="EI20" s="364">
        <v>0</v>
      </c>
      <c r="EJ20" s="365">
        <v>0</v>
      </c>
      <c r="EK20" s="365">
        <v>0</v>
      </c>
      <c r="EL20" s="365">
        <v>0</v>
      </c>
      <c r="EM20" s="365">
        <v>0</v>
      </c>
      <c r="EN20" s="365">
        <v>0</v>
      </c>
      <c r="EO20" s="365">
        <v>0</v>
      </c>
      <c r="EP20" s="365">
        <v>0</v>
      </c>
      <c r="EQ20" s="365">
        <v>0</v>
      </c>
      <c r="ER20" s="365">
        <v>0</v>
      </c>
      <c r="ES20" s="365">
        <v>0</v>
      </c>
      <c r="ET20" s="365">
        <v>0</v>
      </c>
      <c r="EU20" s="365">
        <v>0</v>
      </c>
      <c r="EV20" s="436">
        <v>0</v>
      </c>
      <c r="EW20" s="436">
        <v>0</v>
      </c>
      <c r="EX20" s="436">
        <v>0</v>
      </c>
      <c r="EY20" s="436">
        <v>0</v>
      </c>
      <c r="EZ20" s="365">
        <v>0</v>
      </c>
      <c r="FA20" s="436">
        <v>0</v>
      </c>
      <c r="FB20" s="436">
        <v>0</v>
      </c>
      <c r="FC20" s="436">
        <v>0</v>
      </c>
      <c r="FD20" s="436">
        <v>0</v>
      </c>
      <c r="FE20" s="365">
        <v>0</v>
      </c>
      <c r="FF20" s="364">
        <v>0</v>
      </c>
      <c r="FG20" s="364">
        <v>0</v>
      </c>
      <c r="FH20" s="364">
        <v>0</v>
      </c>
      <c r="FI20" s="365">
        <v>0</v>
      </c>
      <c r="FJ20" s="365">
        <v>0</v>
      </c>
      <c r="FK20" s="365">
        <v>0</v>
      </c>
      <c r="FL20" s="365">
        <v>0</v>
      </c>
      <c r="FM20" s="365">
        <v>0</v>
      </c>
      <c r="FN20" s="365">
        <v>0</v>
      </c>
      <c r="FO20" s="365">
        <v>0</v>
      </c>
      <c r="FP20" s="365">
        <v>0</v>
      </c>
      <c r="FQ20" s="365">
        <v>0</v>
      </c>
      <c r="FR20" s="365">
        <v>0</v>
      </c>
      <c r="FS20" s="365">
        <v>0</v>
      </c>
      <c r="FT20" s="365">
        <v>0</v>
      </c>
      <c r="FU20" s="436">
        <v>0</v>
      </c>
      <c r="FV20" s="436">
        <v>0</v>
      </c>
      <c r="FW20" s="436">
        <v>0</v>
      </c>
      <c r="FX20" s="436">
        <v>0</v>
      </c>
      <c r="FY20" s="365">
        <v>0</v>
      </c>
      <c r="FZ20" s="436">
        <v>0</v>
      </c>
      <c r="GA20" s="436">
        <v>0</v>
      </c>
      <c r="GB20" s="436">
        <v>0</v>
      </c>
      <c r="GC20" s="436">
        <v>0</v>
      </c>
      <c r="GD20" s="365">
        <v>0</v>
      </c>
    </row>
    <row r="21" spans="1:186" ht="15" x14ac:dyDescent="0.25">
      <c r="A21" s="357">
        <v>142</v>
      </c>
      <c r="B21" s="357">
        <v>59</v>
      </c>
      <c r="C21" s="357" t="s">
        <v>930</v>
      </c>
      <c r="D21" s="2">
        <v>99714</v>
      </c>
      <c r="E21" s="268" t="s">
        <v>19</v>
      </c>
      <c r="F21" s="358" t="s">
        <v>915</v>
      </c>
      <c r="G21" s="49">
        <v>0</v>
      </c>
      <c r="H21" s="49">
        <v>8</v>
      </c>
      <c r="I21" s="49">
        <v>0</v>
      </c>
      <c r="J21" s="49">
        <v>8</v>
      </c>
      <c r="K21" s="49">
        <v>0</v>
      </c>
      <c r="L21" s="49">
        <v>27</v>
      </c>
      <c r="M21" s="49">
        <v>27</v>
      </c>
      <c r="N21" s="49">
        <v>0</v>
      </c>
      <c r="O21" s="49">
        <v>0</v>
      </c>
      <c r="P21" s="49">
        <v>0</v>
      </c>
      <c r="Q21" s="49">
        <v>27</v>
      </c>
      <c r="R21" s="49">
        <v>0</v>
      </c>
      <c r="S21" s="49">
        <v>745.51851851851848</v>
      </c>
      <c r="T21" s="49">
        <v>745.51851851851848</v>
      </c>
      <c r="U21" s="49">
        <v>0</v>
      </c>
      <c r="V21" s="49">
        <v>0</v>
      </c>
      <c r="W21" s="49">
        <v>0</v>
      </c>
      <c r="X21" s="49">
        <v>745.51851851851848</v>
      </c>
      <c r="Y21" s="434">
        <v>20129</v>
      </c>
      <c r="Z21" s="434">
        <v>0</v>
      </c>
      <c r="AA21" s="49">
        <v>0</v>
      </c>
      <c r="AB21" s="49">
        <v>8</v>
      </c>
      <c r="AC21" s="49">
        <v>0</v>
      </c>
      <c r="AD21" s="285">
        <v>0</v>
      </c>
      <c r="AE21" s="285">
        <v>0</v>
      </c>
      <c r="AF21" s="359">
        <v>8</v>
      </c>
      <c r="AG21" s="360">
        <v>0</v>
      </c>
      <c r="AH21" s="360">
        <v>0</v>
      </c>
      <c r="AI21" s="361">
        <v>0</v>
      </c>
      <c r="AJ21" s="360">
        <v>0</v>
      </c>
      <c r="AK21" s="360">
        <v>0</v>
      </c>
      <c r="AL21" s="360">
        <v>7.5050403462591575</v>
      </c>
      <c r="AM21" s="360">
        <v>7.5050403462591575</v>
      </c>
      <c r="AN21" s="360">
        <v>0</v>
      </c>
      <c r="AO21" s="360">
        <v>0</v>
      </c>
      <c r="AP21" s="360">
        <v>0</v>
      </c>
      <c r="AQ21" s="360">
        <v>0</v>
      </c>
      <c r="AR21" s="360">
        <v>0</v>
      </c>
      <c r="AS21" s="360">
        <v>0</v>
      </c>
      <c r="AT21" s="360">
        <v>0</v>
      </c>
      <c r="AU21" s="360">
        <v>7.0407038248722209</v>
      </c>
      <c r="AV21" s="360">
        <v>7.2691654453401444</v>
      </c>
      <c r="AW21" s="360">
        <v>7.5050403462591575</v>
      </c>
      <c r="AX21" s="360">
        <v>7.7485690788734178</v>
      </c>
      <c r="AY21" s="360">
        <v>8</v>
      </c>
      <c r="AZ21" s="360">
        <v>0</v>
      </c>
      <c r="BA21" s="360">
        <v>0</v>
      </c>
      <c r="BB21" s="360">
        <v>0</v>
      </c>
      <c r="BC21" s="360">
        <v>0</v>
      </c>
      <c r="BD21" s="360">
        <v>0</v>
      </c>
      <c r="BE21" s="360">
        <v>0</v>
      </c>
      <c r="BF21" s="360">
        <v>0</v>
      </c>
      <c r="BG21" s="360">
        <v>0</v>
      </c>
      <c r="BH21" s="360">
        <v>0</v>
      </c>
      <c r="BI21" s="360">
        <v>0</v>
      </c>
      <c r="BJ21" s="362">
        <v>8.0657377496864324</v>
      </c>
      <c r="BK21" s="362">
        <v>8.1320156808395936</v>
      </c>
      <c r="BL21" s="362">
        <v>8.1988382322487414</v>
      </c>
      <c r="BM21" s="363">
        <v>8.1449344680724725</v>
      </c>
      <c r="BN21" s="363">
        <v>8.0913850974956443</v>
      </c>
      <c r="BO21" s="363">
        <v>8.0655466858667708</v>
      </c>
      <c r="BP21" s="363">
        <v>8.0397907846495844</v>
      </c>
      <c r="BQ21" s="363">
        <v>8.0141171303616314</v>
      </c>
      <c r="BR21" s="363">
        <v>7.9885254603618456</v>
      </c>
      <c r="BS21" s="363">
        <v>7.9630155128478597</v>
      </c>
      <c r="BT21" s="363">
        <v>8.0219176824378806</v>
      </c>
      <c r="BU21" s="363">
        <v>8.0812555494815612</v>
      </c>
      <c r="BV21" s="363">
        <v>8.1410323368189523</v>
      </c>
      <c r="BW21" s="363">
        <v>8.2012512911293491</v>
      </c>
      <c r="BX21" s="363">
        <v>8.2619156831076204</v>
      </c>
      <c r="BY21" s="435">
        <v>8.2952179523517096</v>
      </c>
      <c r="BZ21" s="435">
        <v>8.3285202215958005</v>
      </c>
      <c r="CA21" s="435">
        <v>8.3618224908398897</v>
      </c>
      <c r="CB21" s="435">
        <v>8.3951247600839807</v>
      </c>
      <c r="CC21" s="363">
        <v>8.4284270293280699</v>
      </c>
      <c r="CD21" s="435">
        <v>8.4557250470729795</v>
      </c>
      <c r="CE21" s="435">
        <v>8.4830230648178873</v>
      </c>
      <c r="CF21" s="435">
        <v>8.5103210825627968</v>
      </c>
      <c r="CG21" s="435">
        <v>8.5376191003077047</v>
      </c>
      <c r="CH21" s="363">
        <v>8.5649171180526142</v>
      </c>
      <c r="CI21" s="362">
        <v>0</v>
      </c>
      <c r="CJ21" s="362">
        <v>0</v>
      </c>
      <c r="CK21" s="362">
        <v>0</v>
      </c>
      <c r="CL21" s="363">
        <v>0</v>
      </c>
      <c r="CM21" s="363">
        <v>0</v>
      </c>
      <c r="CN21" s="363">
        <v>0</v>
      </c>
      <c r="CO21" s="363">
        <v>0</v>
      </c>
      <c r="CP21" s="363">
        <v>0</v>
      </c>
      <c r="CQ21" s="363">
        <v>0</v>
      </c>
      <c r="CR21" s="363">
        <v>0</v>
      </c>
      <c r="CS21" s="363">
        <v>0</v>
      </c>
      <c r="CT21" s="363">
        <v>0</v>
      </c>
      <c r="CU21" s="363">
        <v>0</v>
      </c>
      <c r="CV21" s="363">
        <v>0</v>
      </c>
      <c r="CW21" s="363">
        <v>0</v>
      </c>
      <c r="CX21" s="435">
        <v>0</v>
      </c>
      <c r="CY21" s="435">
        <v>0</v>
      </c>
      <c r="CZ21" s="435">
        <v>0</v>
      </c>
      <c r="DA21" s="435">
        <v>0</v>
      </c>
      <c r="DB21" s="363">
        <v>0</v>
      </c>
      <c r="DC21" s="435">
        <v>0</v>
      </c>
      <c r="DD21" s="435">
        <v>0</v>
      </c>
      <c r="DE21" s="435">
        <v>0</v>
      </c>
      <c r="DF21" s="435">
        <v>0</v>
      </c>
      <c r="DG21" s="363">
        <v>0</v>
      </c>
      <c r="DH21" s="362">
        <v>0</v>
      </c>
      <c r="DI21" s="362">
        <v>0</v>
      </c>
      <c r="DJ21" s="362">
        <v>0</v>
      </c>
      <c r="DK21" s="363">
        <v>0</v>
      </c>
      <c r="DL21" s="363">
        <v>0</v>
      </c>
      <c r="DM21" s="363">
        <v>0</v>
      </c>
      <c r="DN21" s="363">
        <v>0</v>
      </c>
      <c r="DO21" s="363">
        <v>0</v>
      </c>
      <c r="DP21" s="363">
        <v>0</v>
      </c>
      <c r="DQ21" s="363">
        <v>0</v>
      </c>
      <c r="DR21" s="363">
        <v>0</v>
      </c>
      <c r="DS21" s="363">
        <v>0</v>
      </c>
      <c r="DT21" s="363">
        <v>0</v>
      </c>
      <c r="DU21" s="363">
        <v>0</v>
      </c>
      <c r="DV21" s="363">
        <v>0</v>
      </c>
      <c r="DW21" s="435">
        <v>0</v>
      </c>
      <c r="DX21" s="435">
        <v>0</v>
      </c>
      <c r="DY21" s="435">
        <v>0</v>
      </c>
      <c r="DZ21" s="435">
        <v>0</v>
      </c>
      <c r="EA21" s="363">
        <v>0</v>
      </c>
      <c r="EB21" s="435">
        <v>0</v>
      </c>
      <c r="EC21" s="435">
        <v>0</v>
      </c>
      <c r="ED21" s="435">
        <v>0</v>
      </c>
      <c r="EE21" s="435">
        <v>0</v>
      </c>
      <c r="EF21" s="363">
        <v>0</v>
      </c>
      <c r="EG21" s="364">
        <v>0</v>
      </c>
      <c r="EH21" s="364">
        <v>0</v>
      </c>
      <c r="EI21" s="364">
        <v>0</v>
      </c>
      <c r="EJ21" s="365">
        <v>0</v>
      </c>
      <c r="EK21" s="365">
        <v>0</v>
      </c>
      <c r="EL21" s="365">
        <v>0</v>
      </c>
      <c r="EM21" s="365">
        <v>0</v>
      </c>
      <c r="EN21" s="365">
        <v>0</v>
      </c>
      <c r="EO21" s="365">
        <v>0</v>
      </c>
      <c r="EP21" s="365">
        <v>0</v>
      </c>
      <c r="EQ21" s="365">
        <v>0</v>
      </c>
      <c r="ER21" s="365">
        <v>0</v>
      </c>
      <c r="ES21" s="365">
        <v>0</v>
      </c>
      <c r="ET21" s="365">
        <v>0</v>
      </c>
      <c r="EU21" s="365">
        <v>0</v>
      </c>
      <c r="EV21" s="436">
        <v>0</v>
      </c>
      <c r="EW21" s="436">
        <v>0</v>
      </c>
      <c r="EX21" s="436">
        <v>0</v>
      </c>
      <c r="EY21" s="436">
        <v>0</v>
      </c>
      <c r="EZ21" s="365">
        <v>0</v>
      </c>
      <c r="FA21" s="436">
        <v>0</v>
      </c>
      <c r="FB21" s="436">
        <v>0</v>
      </c>
      <c r="FC21" s="436">
        <v>0</v>
      </c>
      <c r="FD21" s="436">
        <v>0</v>
      </c>
      <c r="FE21" s="365">
        <v>0</v>
      </c>
      <c r="FF21" s="364">
        <v>0</v>
      </c>
      <c r="FG21" s="364">
        <v>0</v>
      </c>
      <c r="FH21" s="364">
        <v>0</v>
      </c>
      <c r="FI21" s="365">
        <v>0</v>
      </c>
      <c r="FJ21" s="365">
        <v>0</v>
      </c>
      <c r="FK21" s="365">
        <v>0</v>
      </c>
      <c r="FL21" s="365">
        <v>0</v>
      </c>
      <c r="FM21" s="365">
        <v>0</v>
      </c>
      <c r="FN21" s="365">
        <v>0</v>
      </c>
      <c r="FO21" s="365">
        <v>0</v>
      </c>
      <c r="FP21" s="365">
        <v>0</v>
      </c>
      <c r="FQ21" s="365">
        <v>0</v>
      </c>
      <c r="FR21" s="365">
        <v>0</v>
      </c>
      <c r="FS21" s="365">
        <v>0</v>
      </c>
      <c r="FT21" s="365">
        <v>0</v>
      </c>
      <c r="FU21" s="436">
        <v>0</v>
      </c>
      <c r="FV21" s="436">
        <v>0</v>
      </c>
      <c r="FW21" s="436">
        <v>0</v>
      </c>
      <c r="FX21" s="436">
        <v>0</v>
      </c>
      <c r="FY21" s="365">
        <v>0</v>
      </c>
      <c r="FZ21" s="436">
        <v>0</v>
      </c>
      <c r="GA21" s="436">
        <v>0</v>
      </c>
      <c r="GB21" s="436">
        <v>0</v>
      </c>
      <c r="GC21" s="436">
        <v>0</v>
      </c>
      <c r="GD21" s="365">
        <v>0</v>
      </c>
    </row>
    <row r="22" spans="1:186" ht="15" x14ac:dyDescent="0.25">
      <c r="A22" s="357">
        <v>136</v>
      </c>
      <c r="B22" s="357">
        <v>61</v>
      </c>
      <c r="C22" s="357" t="s">
        <v>931</v>
      </c>
      <c r="D22" s="2">
        <v>99714</v>
      </c>
      <c r="E22" s="268" t="s">
        <v>19</v>
      </c>
      <c r="F22" s="358" t="s">
        <v>915</v>
      </c>
      <c r="G22" s="49">
        <v>2</v>
      </c>
      <c r="H22" s="49">
        <v>2</v>
      </c>
      <c r="I22" s="49">
        <v>1</v>
      </c>
      <c r="J22" s="49">
        <v>1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834.49503068156923</v>
      </c>
      <c r="T22" s="49">
        <v>834.49503068156923</v>
      </c>
      <c r="U22" s="49">
        <v>1408.3846153846155</v>
      </c>
      <c r="V22" s="49">
        <v>0</v>
      </c>
      <c r="W22" s="49">
        <v>0</v>
      </c>
      <c r="X22" s="49">
        <v>1365.173957061457</v>
      </c>
      <c r="Y22" s="434">
        <v>0</v>
      </c>
      <c r="Z22" s="434">
        <v>0</v>
      </c>
      <c r="AA22" s="49">
        <v>4.5824670824670823E-2</v>
      </c>
      <c r="AB22" s="49">
        <v>1.9515765765765767</v>
      </c>
      <c r="AC22" s="49">
        <v>2.5987525987525989E-3</v>
      </c>
      <c r="AD22" s="285">
        <v>0</v>
      </c>
      <c r="AE22" s="285">
        <v>0</v>
      </c>
      <c r="AF22" s="359">
        <v>2</v>
      </c>
      <c r="AG22" s="360">
        <v>2.2912335412335411E-2</v>
      </c>
      <c r="AH22" s="360">
        <v>0.97578828828828834</v>
      </c>
      <c r="AI22" s="361">
        <v>0.99870062370062374</v>
      </c>
      <c r="AJ22" s="360">
        <v>1.2993762993762994E-3</v>
      </c>
      <c r="AK22" s="360">
        <v>4.2989500424149923E-2</v>
      </c>
      <c r="AL22" s="360">
        <v>1.8308326182526915</v>
      </c>
      <c r="AM22" s="360">
        <v>1.8738221186768413</v>
      </c>
      <c r="AN22" s="360">
        <v>2.4379678879480112E-3</v>
      </c>
      <c r="AO22" s="360">
        <v>2.1913110083021825E-2</v>
      </c>
      <c r="AP22" s="360">
        <v>0.93323337818600893</v>
      </c>
      <c r="AQ22" s="360">
        <v>0.95514648826903081</v>
      </c>
      <c r="AR22" s="360">
        <v>1.2427094565040733E-3</v>
      </c>
      <c r="AS22" s="360">
        <v>0</v>
      </c>
      <c r="AT22" s="360">
        <v>0</v>
      </c>
      <c r="AU22" s="360">
        <v>1.7578888252978135</v>
      </c>
      <c r="AV22" s="360">
        <v>1.8149300160110562</v>
      </c>
      <c r="AW22" s="360">
        <v>1.8738221186768413</v>
      </c>
      <c r="AX22" s="360">
        <v>1.9346251929645626</v>
      </c>
      <c r="AY22" s="360">
        <v>1.9974012474012475</v>
      </c>
      <c r="AZ22" s="360">
        <v>0.91349178362598027</v>
      </c>
      <c r="BA22" s="360">
        <v>0.93408697089348602</v>
      </c>
      <c r="BB22" s="360">
        <v>0.9551464882690307</v>
      </c>
      <c r="BC22" s="360">
        <v>0.97668080433667859</v>
      </c>
      <c r="BD22" s="360">
        <v>0.99870062370062374</v>
      </c>
      <c r="BE22" s="360">
        <v>0</v>
      </c>
      <c r="BF22" s="360">
        <v>0</v>
      </c>
      <c r="BG22" s="360">
        <v>0</v>
      </c>
      <c r="BH22" s="360">
        <v>0</v>
      </c>
      <c r="BI22" s="360">
        <v>0</v>
      </c>
      <c r="BJ22" s="362">
        <v>2.0138143303043763</v>
      </c>
      <c r="BK22" s="362">
        <v>2.0303622830994388</v>
      </c>
      <c r="BL22" s="362">
        <v>2.0470462140418344</v>
      </c>
      <c r="BM22" s="363">
        <v>2.0335877833161713</v>
      </c>
      <c r="BN22" s="363">
        <v>2.0202178358677081</v>
      </c>
      <c r="BO22" s="363">
        <v>2.0137666264154106</v>
      </c>
      <c r="BP22" s="363">
        <v>2.0073360177630168</v>
      </c>
      <c r="BQ22" s="363">
        <v>2.0009259441255036</v>
      </c>
      <c r="BR22" s="363">
        <v>1.9945363399279219</v>
      </c>
      <c r="BS22" s="363">
        <v>1.9881671398047249</v>
      </c>
      <c r="BT22" s="363">
        <v>2.0028735481814435</v>
      </c>
      <c r="BU22" s="363">
        <v>2.0176887393878404</v>
      </c>
      <c r="BV22" s="363">
        <v>2.0326135180870084</v>
      </c>
      <c r="BW22" s="363">
        <v>2.0476486948941068</v>
      </c>
      <c r="BX22" s="363">
        <v>2.0627950864203863</v>
      </c>
      <c r="BY22" s="435">
        <v>2.071109835686566</v>
      </c>
      <c r="BZ22" s="435">
        <v>2.0794245849527457</v>
      </c>
      <c r="CA22" s="435">
        <v>2.0877393342189254</v>
      </c>
      <c r="CB22" s="435">
        <v>2.0960540834851051</v>
      </c>
      <c r="CC22" s="363">
        <v>2.1043688327512848</v>
      </c>
      <c r="CD22" s="435">
        <v>2.1111844695881925</v>
      </c>
      <c r="CE22" s="435">
        <v>2.1180001064251002</v>
      </c>
      <c r="CF22" s="435">
        <v>2.1248157432620083</v>
      </c>
      <c r="CG22" s="435">
        <v>2.131631380098916</v>
      </c>
      <c r="CH22" s="363">
        <v>2.1384470169358236</v>
      </c>
      <c r="CI22" s="362">
        <v>1.0069071651521881</v>
      </c>
      <c r="CJ22" s="362">
        <v>1.0151811415497194</v>
      </c>
      <c r="CK22" s="362">
        <v>1.0235231070209172</v>
      </c>
      <c r="CL22" s="363">
        <v>1.0167938916580856</v>
      </c>
      <c r="CM22" s="363">
        <v>1.010108917933854</v>
      </c>
      <c r="CN22" s="363">
        <v>1.0068833132077053</v>
      </c>
      <c r="CO22" s="363">
        <v>1.0036680088815084</v>
      </c>
      <c r="CP22" s="363">
        <v>1.0004629720627518</v>
      </c>
      <c r="CQ22" s="363">
        <v>0.99726816996396095</v>
      </c>
      <c r="CR22" s="363">
        <v>0.99408356990236246</v>
      </c>
      <c r="CS22" s="363">
        <v>1.0014367740907217</v>
      </c>
      <c r="CT22" s="363">
        <v>1.0088443696939202</v>
      </c>
      <c r="CU22" s="363">
        <v>1.0163067590435042</v>
      </c>
      <c r="CV22" s="363">
        <v>1.0238243474470534</v>
      </c>
      <c r="CW22" s="363">
        <v>1.0313975432101932</v>
      </c>
      <c r="CX22" s="435">
        <v>1.035554917843283</v>
      </c>
      <c r="CY22" s="435">
        <v>1.0397122924763729</v>
      </c>
      <c r="CZ22" s="435">
        <v>1.0438696671094627</v>
      </c>
      <c r="DA22" s="435">
        <v>1.0480270417425526</v>
      </c>
      <c r="DB22" s="363">
        <v>1.0521844163756424</v>
      </c>
      <c r="DC22" s="435">
        <v>1.0555922347940963</v>
      </c>
      <c r="DD22" s="435">
        <v>1.0590000532125501</v>
      </c>
      <c r="DE22" s="435">
        <v>1.0624078716310041</v>
      </c>
      <c r="DF22" s="435">
        <v>1.065815690049458</v>
      </c>
      <c r="DG22" s="363">
        <v>1.0692235084679118</v>
      </c>
      <c r="DH22" s="362">
        <v>0</v>
      </c>
      <c r="DI22" s="362">
        <v>0</v>
      </c>
      <c r="DJ22" s="362">
        <v>0</v>
      </c>
      <c r="DK22" s="363">
        <v>0</v>
      </c>
      <c r="DL22" s="363">
        <v>0</v>
      </c>
      <c r="DM22" s="363">
        <v>0</v>
      </c>
      <c r="DN22" s="363">
        <v>0</v>
      </c>
      <c r="DO22" s="363">
        <v>0</v>
      </c>
      <c r="DP22" s="363">
        <v>0</v>
      </c>
      <c r="DQ22" s="363">
        <v>0</v>
      </c>
      <c r="DR22" s="363">
        <v>0</v>
      </c>
      <c r="DS22" s="363">
        <v>0</v>
      </c>
      <c r="DT22" s="363">
        <v>0</v>
      </c>
      <c r="DU22" s="363">
        <v>0</v>
      </c>
      <c r="DV22" s="363">
        <v>0</v>
      </c>
      <c r="DW22" s="435">
        <v>0</v>
      </c>
      <c r="DX22" s="435">
        <v>0</v>
      </c>
      <c r="DY22" s="435">
        <v>0</v>
      </c>
      <c r="DZ22" s="435">
        <v>0</v>
      </c>
      <c r="EA22" s="363">
        <v>0</v>
      </c>
      <c r="EB22" s="435">
        <v>0</v>
      </c>
      <c r="EC22" s="435">
        <v>0</v>
      </c>
      <c r="ED22" s="435">
        <v>0</v>
      </c>
      <c r="EE22" s="435">
        <v>0</v>
      </c>
      <c r="EF22" s="363">
        <v>0</v>
      </c>
      <c r="EG22" s="364">
        <v>2.6201071172318193E-3</v>
      </c>
      <c r="EH22" s="364">
        <v>2.6416371104598475E-3</v>
      </c>
      <c r="EI22" s="364">
        <v>2.6633440203510726E-3</v>
      </c>
      <c r="EJ22" s="365">
        <v>2.6458337019466191E-3</v>
      </c>
      <c r="EK22" s="365">
        <v>2.6284385062031066E-3</v>
      </c>
      <c r="EL22" s="365">
        <v>2.620045051282085E-3</v>
      </c>
      <c r="EM22" s="365">
        <v>2.6116783993794129E-3</v>
      </c>
      <c r="EN22" s="365">
        <v>2.603338464904376E-3</v>
      </c>
      <c r="EO22" s="365">
        <v>2.5950251625395811E-3</v>
      </c>
      <c r="EP22" s="365">
        <v>2.5867384072400792E-3</v>
      </c>
      <c r="EQ22" s="365">
        <v>2.6058724280268583E-3</v>
      </c>
      <c r="ER22" s="365">
        <v>2.6251479825498835E-3</v>
      </c>
      <c r="ES22" s="365">
        <v>2.6445661177296495E-3</v>
      </c>
      <c r="ET22" s="365">
        <v>2.6641278882306879E-3</v>
      </c>
      <c r="EU22" s="365">
        <v>2.6838343565188478E-3</v>
      </c>
      <c r="EV22" s="436">
        <v>2.6946524013616523E-3</v>
      </c>
      <c r="EW22" s="436">
        <v>2.7054704462044572E-3</v>
      </c>
      <c r="EX22" s="436">
        <v>2.7162884910472617E-3</v>
      </c>
      <c r="EY22" s="436">
        <v>2.7271065358900667E-3</v>
      </c>
      <c r="EZ22" s="365">
        <v>2.7379245807328712E-3</v>
      </c>
      <c r="FA22" s="436">
        <v>2.7467921800522935E-3</v>
      </c>
      <c r="FB22" s="436">
        <v>2.7556597793717153E-3</v>
      </c>
      <c r="FC22" s="436">
        <v>2.7645273786911376E-3</v>
      </c>
      <c r="FD22" s="436">
        <v>2.7733949780105595E-3</v>
      </c>
      <c r="FE22" s="365">
        <v>2.7822625773299818E-3</v>
      </c>
      <c r="FF22" s="364">
        <v>0</v>
      </c>
      <c r="FG22" s="364">
        <v>0</v>
      </c>
      <c r="FH22" s="364">
        <v>0</v>
      </c>
      <c r="FI22" s="365">
        <v>0</v>
      </c>
      <c r="FJ22" s="365">
        <v>0</v>
      </c>
      <c r="FK22" s="365">
        <v>0</v>
      </c>
      <c r="FL22" s="365">
        <v>0</v>
      </c>
      <c r="FM22" s="365">
        <v>0</v>
      </c>
      <c r="FN22" s="365">
        <v>0</v>
      </c>
      <c r="FO22" s="365">
        <v>0</v>
      </c>
      <c r="FP22" s="365">
        <v>0</v>
      </c>
      <c r="FQ22" s="365">
        <v>0</v>
      </c>
      <c r="FR22" s="365">
        <v>0</v>
      </c>
      <c r="FS22" s="365">
        <v>0</v>
      </c>
      <c r="FT22" s="365">
        <v>0</v>
      </c>
      <c r="FU22" s="436">
        <v>0</v>
      </c>
      <c r="FV22" s="436">
        <v>0</v>
      </c>
      <c r="FW22" s="436">
        <v>0</v>
      </c>
      <c r="FX22" s="436">
        <v>0</v>
      </c>
      <c r="FY22" s="365">
        <v>0</v>
      </c>
      <c r="FZ22" s="436">
        <v>0</v>
      </c>
      <c r="GA22" s="436">
        <v>0</v>
      </c>
      <c r="GB22" s="436">
        <v>0</v>
      </c>
      <c r="GC22" s="436">
        <v>0</v>
      </c>
      <c r="GD22" s="365">
        <v>0</v>
      </c>
    </row>
    <row r="23" spans="1:186" ht="15" x14ac:dyDescent="0.25">
      <c r="A23" s="357">
        <v>135</v>
      </c>
      <c r="B23" s="357">
        <v>62</v>
      </c>
      <c r="C23" s="357" t="s">
        <v>932</v>
      </c>
      <c r="D23" s="2">
        <v>99714</v>
      </c>
      <c r="E23" s="268" t="s">
        <v>19</v>
      </c>
      <c r="F23" s="358" t="s">
        <v>915</v>
      </c>
      <c r="G23" s="49">
        <v>0</v>
      </c>
      <c r="H23" s="49">
        <v>2</v>
      </c>
      <c r="I23" s="49">
        <v>0</v>
      </c>
      <c r="J23" s="49">
        <v>2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834.49503068156923</v>
      </c>
      <c r="T23" s="49">
        <v>834.49503068156923</v>
      </c>
      <c r="U23" s="49">
        <v>1408.3846153846155</v>
      </c>
      <c r="V23" s="49">
        <v>0</v>
      </c>
      <c r="W23" s="49">
        <v>0</v>
      </c>
      <c r="X23" s="49">
        <v>1365.173957061457</v>
      </c>
      <c r="Y23" s="434">
        <v>0</v>
      </c>
      <c r="Z23" s="434">
        <v>0</v>
      </c>
      <c r="AA23" s="49">
        <v>4.5824670824670823E-2</v>
      </c>
      <c r="AB23" s="49">
        <v>1.9515765765765767</v>
      </c>
      <c r="AC23" s="49">
        <v>2.5987525987525989E-3</v>
      </c>
      <c r="AD23" s="285">
        <v>0</v>
      </c>
      <c r="AE23" s="285">
        <v>0</v>
      </c>
      <c r="AF23" s="359">
        <v>2</v>
      </c>
      <c r="AG23" s="360">
        <v>0</v>
      </c>
      <c r="AH23" s="360">
        <v>0</v>
      </c>
      <c r="AI23" s="361">
        <v>0</v>
      </c>
      <c r="AJ23" s="360">
        <v>0</v>
      </c>
      <c r="AK23" s="360">
        <v>4.2989500424149923E-2</v>
      </c>
      <c r="AL23" s="360">
        <v>1.8308326182526915</v>
      </c>
      <c r="AM23" s="360">
        <v>1.8738221186768413</v>
      </c>
      <c r="AN23" s="360">
        <v>2.4379678879480112E-3</v>
      </c>
      <c r="AO23" s="360">
        <v>0</v>
      </c>
      <c r="AP23" s="360">
        <v>0</v>
      </c>
      <c r="AQ23" s="360">
        <v>0</v>
      </c>
      <c r="AR23" s="360">
        <v>0</v>
      </c>
      <c r="AS23" s="360">
        <v>0</v>
      </c>
      <c r="AT23" s="360">
        <v>0</v>
      </c>
      <c r="AU23" s="360">
        <v>1.7578888252978135</v>
      </c>
      <c r="AV23" s="360">
        <v>1.8149300160110562</v>
      </c>
      <c r="AW23" s="360">
        <v>1.8738221186768413</v>
      </c>
      <c r="AX23" s="360">
        <v>1.9346251929645626</v>
      </c>
      <c r="AY23" s="360">
        <v>1.9974012474012475</v>
      </c>
      <c r="AZ23" s="360">
        <v>0</v>
      </c>
      <c r="BA23" s="360">
        <v>0</v>
      </c>
      <c r="BB23" s="360">
        <v>0</v>
      </c>
      <c r="BC23" s="360">
        <v>0</v>
      </c>
      <c r="BD23" s="360">
        <v>0</v>
      </c>
      <c r="BE23" s="360">
        <v>0</v>
      </c>
      <c r="BF23" s="360">
        <v>0</v>
      </c>
      <c r="BG23" s="360">
        <v>0</v>
      </c>
      <c r="BH23" s="360">
        <v>0</v>
      </c>
      <c r="BI23" s="360">
        <v>0</v>
      </c>
      <c r="BJ23" s="362">
        <v>2.0138143303043763</v>
      </c>
      <c r="BK23" s="362">
        <v>2.0303622830994388</v>
      </c>
      <c r="BL23" s="362">
        <v>2.0470462140418344</v>
      </c>
      <c r="BM23" s="363">
        <v>2.0335877833161713</v>
      </c>
      <c r="BN23" s="363">
        <v>2.0202178358677081</v>
      </c>
      <c r="BO23" s="363">
        <v>2.0137666264154106</v>
      </c>
      <c r="BP23" s="363">
        <v>2.0073360177630168</v>
      </c>
      <c r="BQ23" s="363">
        <v>2.0009259441255036</v>
      </c>
      <c r="BR23" s="363">
        <v>1.9945363399279219</v>
      </c>
      <c r="BS23" s="363">
        <v>1.9881671398047249</v>
      </c>
      <c r="BT23" s="363">
        <v>2.0028735481814435</v>
      </c>
      <c r="BU23" s="363">
        <v>2.0176887393878404</v>
      </c>
      <c r="BV23" s="363">
        <v>2.0326135180870084</v>
      </c>
      <c r="BW23" s="363">
        <v>2.0476486948941068</v>
      </c>
      <c r="BX23" s="363">
        <v>2.0627950864203863</v>
      </c>
      <c r="BY23" s="435">
        <v>2.071109835686566</v>
      </c>
      <c r="BZ23" s="435">
        <v>2.0794245849527457</v>
      </c>
      <c r="CA23" s="435">
        <v>2.0877393342189254</v>
      </c>
      <c r="CB23" s="435">
        <v>2.0960540834851051</v>
      </c>
      <c r="CC23" s="363">
        <v>2.1043688327512848</v>
      </c>
      <c r="CD23" s="435">
        <v>2.1111844695881925</v>
      </c>
      <c r="CE23" s="435">
        <v>2.1180001064251002</v>
      </c>
      <c r="CF23" s="435">
        <v>2.1248157432620083</v>
      </c>
      <c r="CG23" s="435">
        <v>2.131631380098916</v>
      </c>
      <c r="CH23" s="363">
        <v>2.1384470169358236</v>
      </c>
      <c r="CI23" s="362">
        <v>0</v>
      </c>
      <c r="CJ23" s="362">
        <v>0</v>
      </c>
      <c r="CK23" s="362">
        <v>0</v>
      </c>
      <c r="CL23" s="363">
        <v>0</v>
      </c>
      <c r="CM23" s="363">
        <v>0</v>
      </c>
      <c r="CN23" s="363">
        <v>0</v>
      </c>
      <c r="CO23" s="363">
        <v>0</v>
      </c>
      <c r="CP23" s="363">
        <v>0</v>
      </c>
      <c r="CQ23" s="363">
        <v>0</v>
      </c>
      <c r="CR23" s="363">
        <v>0</v>
      </c>
      <c r="CS23" s="363">
        <v>0</v>
      </c>
      <c r="CT23" s="363">
        <v>0</v>
      </c>
      <c r="CU23" s="363">
        <v>0</v>
      </c>
      <c r="CV23" s="363">
        <v>0</v>
      </c>
      <c r="CW23" s="363">
        <v>0</v>
      </c>
      <c r="CX23" s="435">
        <v>0</v>
      </c>
      <c r="CY23" s="435">
        <v>0</v>
      </c>
      <c r="CZ23" s="435">
        <v>0</v>
      </c>
      <c r="DA23" s="435">
        <v>0</v>
      </c>
      <c r="DB23" s="363">
        <v>0</v>
      </c>
      <c r="DC23" s="435">
        <v>0</v>
      </c>
      <c r="DD23" s="435">
        <v>0</v>
      </c>
      <c r="DE23" s="435">
        <v>0</v>
      </c>
      <c r="DF23" s="435">
        <v>0</v>
      </c>
      <c r="DG23" s="363">
        <v>0</v>
      </c>
      <c r="DH23" s="362">
        <v>0</v>
      </c>
      <c r="DI23" s="362">
        <v>0</v>
      </c>
      <c r="DJ23" s="362">
        <v>0</v>
      </c>
      <c r="DK23" s="363">
        <v>0</v>
      </c>
      <c r="DL23" s="363">
        <v>0</v>
      </c>
      <c r="DM23" s="363">
        <v>0</v>
      </c>
      <c r="DN23" s="363">
        <v>0</v>
      </c>
      <c r="DO23" s="363">
        <v>0</v>
      </c>
      <c r="DP23" s="363">
        <v>0</v>
      </c>
      <c r="DQ23" s="363">
        <v>0</v>
      </c>
      <c r="DR23" s="363">
        <v>0</v>
      </c>
      <c r="DS23" s="363">
        <v>0</v>
      </c>
      <c r="DT23" s="363">
        <v>0</v>
      </c>
      <c r="DU23" s="363">
        <v>0</v>
      </c>
      <c r="DV23" s="363">
        <v>0</v>
      </c>
      <c r="DW23" s="435">
        <v>0</v>
      </c>
      <c r="DX23" s="435">
        <v>0</v>
      </c>
      <c r="DY23" s="435">
        <v>0</v>
      </c>
      <c r="DZ23" s="435">
        <v>0</v>
      </c>
      <c r="EA23" s="363">
        <v>0</v>
      </c>
      <c r="EB23" s="435">
        <v>0</v>
      </c>
      <c r="EC23" s="435">
        <v>0</v>
      </c>
      <c r="ED23" s="435">
        <v>0</v>
      </c>
      <c r="EE23" s="435">
        <v>0</v>
      </c>
      <c r="EF23" s="363">
        <v>0</v>
      </c>
      <c r="EG23" s="364">
        <v>2.6201071172318193E-3</v>
      </c>
      <c r="EH23" s="364">
        <v>2.6416371104598475E-3</v>
      </c>
      <c r="EI23" s="364">
        <v>2.6633440203510726E-3</v>
      </c>
      <c r="EJ23" s="365">
        <v>2.6458337019466191E-3</v>
      </c>
      <c r="EK23" s="365">
        <v>2.6284385062031066E-3</v>
      </c>
      <c r="EL23" s="365">
        <v>2.620045051282085E-3</v>
      </c>
      <c r="EM23" s="365">
        <v>2.6116783993794129E-3</v>
      </c>
      <c r="EN23" s="365">
        <v>2.603338464904376E-3</v>
      </c>
      <c r="EO23" s="365">
        <v>2.5950251625395811E-3</v>
      </c>
      <c r="EP23" s="365">
        <v>2.5867384072400792E-3</v>
      </c>
      <c r="EQ23" s="365">
        <v>2.6058724280268583E-3</v>
      </c>
      <c r="ER23" s="365">
        <v>2.6251479825498835E-3</v>
      </c>
      <c r="ES23" s="365">
        <v>2.6445661177296495E-3</v>
      </c>
      <c r="ET23" s="365">
        <v>2.6641278882306879E-3</v>
      </c>
      <c r="EU23" s="365">
        <v>2.6838343565188478E-3</v>
      </c>
      <c r="EV23" s="436">
        <v>2.6946524013616523E-3</v>
      </c>
      <c r="EW23" s="436">
        <v>2.7054704462044572E-3</v>
      </c>
      <c r="EX23" s="436">
        <v>2.7162884910472617E-3</v>
      </c>
      <c r="EY23" s="436">
        <v>2.7271065358900667E-3</v>
      </c>
      <c r="EZ23" s="365">
        <v>2.7379245807328712E-3</v>
      </c>
      <c r="FA23" s="436">
        <v>2.7467921800522935E-3</v>
      </c>
      <c r="FB23" s="436">
        <v>2.7556597793717153E-3</v>
      </c>
      <c r="FC23" s="436">
        <v>2.7645273786911376E-3</v>
      </c>
      <c r="FD23" s="436">
        <v>2.7733949780105595E-3</v>
      </c>
      <c r="FE23" s="365">
        <v>2.7822625773299818E-3</v>
      </c>
      <c r="FF23" s="364">
        <v>0</v>
      </c>
      <c r="FG23" s="364">
        <v>0</v>
      </c>
      <c r="FH23" s="364">
        <v>0</v>
      </c>
      <c r="FI23" s="365">
        <v>0</v>
      </c>
      <c r="FJ23" s="365">
        <v>0</v>
      </c>
      <c r="FK23" s="365">
        <v>0</v>
      </c>
      <c r="FL23" s="365">
        <v>0</v>
      </c>
      <c r="FM23" s="365">
        <v>0</v>
      </c>
      <c r="FN23" s="365">
        <v>0</v>
      </c>
      <c r="FO23" s="365">
        <v>0</v>
      </c>
      <c r="FP23" s="365">
        <v>0</v>
      </c>
      <c r="FQ23" s="365">
        <v>0</v>
      </c>
      <c r="FR23" s="365">
        <v>0</v>
      </c>
      <c r="FS23" s="365">
        <v>0</v>
      </c>
      <c r="FT23" s="365">
        <v>0</v>
      </c>
      <c r="FU23" s="436">
        <v>0</v>
      </c>
      <c r="FV23" s="436">
        <v>0</v>
      </c>
      <c r="FW23" s="436">
        <v>0</v>
      </c>
      <c r="FX23" s="436">
        <v>0</v>
      </c>
      <c r="FY23" s="365">
        <v>0</v>
      </c>
      <c r="FZ23" s="436">
        <v>0</v>
      </c>
      <c r="GA23" s="436">
        <v>0</v>
      </c>
      <c r="GB23" s="436">
        <v>0</v>
      </c>
      <c r="GC23" s="436">
        <v>0</v>
      </c>
      <c r="GD23" s="365">
        <v>0</v>
      </c>
    </row>
    <row r="24" spans="1:186" ht="15" x14ac:dyDescent="0.25">
      <c r="A24" s="357">
        <v>137</v>
      </c>
      <c r="B24" s="357">
        <v>62</v>
      </c>
      <c r="C24" s="357" t="s">
        <v>933</v>
      </c>
      <c r="D24" s="2">
        <v>99714</v>
      </c>
      <c r="E24" s="268" t="s">
        <v>19</v>
      </c>
      <c r="F24" s="358" t="s">
        <v>915</v>
      </c>
      <c r="G24" s="49">
        <v>41</v>
      </c>
      <c r="H24" s="49">
        <v>32</v>
      </c>
      <c r="I24" s="49">
        <v>20</v>
      </c>
      <c r="J24" s="49">
        <v>12</v>
      </c>
      <c r="K24" s="49">
        <v>0</v>
      </c>
      <c r="L24" s="49">
        <v>7</v>
      </c>
      <c r="M24" s="49">
        <v>7</v>
      </c>
      <c r="N24" s="49">
        <v>0</v>
      </c>
      <c r="O24" s="49">
        <v>0</v>
      </c>
      <c r="P24" s="49">
        <v>0</v>
      </c>
      <c r="Q24" s="49">
        <v>7</v>
      </c>
      <c r="R24" s="49">
        <v>0</v>
      </c>
      <c r="S24" s="49">
        <v>1724.1428571428571</v>
      </c>
      <c r="T24" s="49">
        <v>1724.1428571428571</v>
      </c>
      <c r="U24" s="49">
        <v>0</v>
      </c>
      <c r="V24" s="49">
        <v>0</v>
      </c>
      <c r="W24" s="49">
        <v>0</v>
      </c>
      <c r="X24" s="49">
        <v>1724.1428571428571</v>
      </c>
      <c r="Y24" s="434">
        <v>12069</v>
      </c>
      <c r="Z24" s="434">
        <v>0</v>
      </c>
      <c r="AA24" s="49">
        <v>0</v>
      </c>
      <c r="AB24" s="49">
        <v>32</v>
      </c>
      <c r="AC24" s="49">
        <v>0</v>
      </c>
      <c r="AD24" s="285">
        <v>0</v>
      </c>
      <c r="AE24" s="285">
        <v>0</v>
      </c>
      <c r="AF24" s="359">
        <v>32</v>
      </c>
      <c r="AG24" s="360">
        <v>0</v>
      </c>
      <c r="AH24" s="360">
        <v>20</v>
      </c>
      <c r="AI24" s="361">
        <v>20</v>
      </c>
      <c r="AJ24" s="360">
        <v>0</v>
      </c>
      <c r="AK24" s="360">
        <v>0</v>
      </c>
      <c r="AL24" s="360">
        <v>30.02016138503663</v>
      </c>
      <c r="AM24" s="360">
        <v>30.02016138503663</v>
      </c>
      <c r="AN24" s="360">
        <v>0</v>
      </c>
      <c r="AO24" s="360">
        <v>0</v>
      </c>
      <c r="AP24" s="360">
        <v>19.127783954510694</v>
      </c>
      <c r="AQ24" s="360">
        <v>19.127783954510694</v>
      </c>
      <c r="AR24" s="360">
        <v>0</v>
      </c>
      <c r="AS24" s="360">
        <v>0</v>
      </c>
      <c r="AT24" s="360">
        <v>0</v>
      </c>
      <c r="AU24" s="360">
        <v>28.162815299488884</v>
      </c>
      <c r="AV24" s="360">
        <v>29.076661781360578</v>
      </c>
      <c r="AW24" s="360">
        <v>30.02016138503663</v>
      </c>
      <c r="AX24" s="360">
        <v>30.994276315493671</v>
      </c>
      <c r="AY24" s="360">
        <v>32</v>
      </c>
      <c r="AZ24" s="360">
        <v>18.29360595052184</v>
      </c>
      <c r="BA24" s="360">
        <v>18.706045610190653</v>
      </c>
      <c r="BB24" s="360">
        <v>19.127783954510694</v>
      </c>
      <c r="BC24" s="360">
        <v>19.559030627569811</v>
      </c>
      <c r="BD24" s="360">
        <v>20</v>
      </c>
      <c r="BE24" s="360">
        <v>0</v>
      </c>
      <c r="BF24" s="360">
        <v>0</v>
      </c>
      <c r="BG24" s="360">
        <v>0</v>
      </c>
      <c r="BH24" s="360">
        <v>0</v>
      </c>
      <c r="BI24" s="360">
        <v>0</v>
      </c>
      <c r="BJ24" s="362">
        <v>32.26295099874573</v>
      </c>
      <c r="BK24" s="362">
        <v>32.528062723358374</v>
      </c>
      <c r="BL24" s="362">
        <v>32.795352928994966</v>
      </c>
      <c r="BM24" s="363">
        <v>32.57973787228989</v>
      </c>
      <c r="BN24" s="363">
        <v>32.365540389982577</v>
      </c>
      <c r="BO24" s="363">
        <v>32.262186743467083</v>
      </c>
      <c r="BP24" s="363">
        <v>32.159163138598338</v>
      </c>
      <c r="BQ24" s="363">
        <v>32.056468521446526</v>
      </c>
      <c r="BR24" s="363">
        <v>31.954101841447383</v>
      </c>
      <c r="BS24" s="363">
        <v>31.852062051391439</v>
      </c>
      <c r="BT24" s="363">
        <v>32.087670729751522</v>
      </c>
      <c r="BU24" s="363">
        <v>32.325022197926245</v>
      </c>
      <c r="BV24" s="363">
        <v>32.564129347275809</v>
      </c>
      <c r="BW24" s="363">
        <v>32.805005164517397</v>
      </c>
      <c r="BX24" s="363">
        <v>33.047662732430481</v>
      </c>
      <c r="BY24" s="435">
        <v>33.180871809406838</v>
      </c>
      <c r="BZ24" s="435">
        <v>33.314080886383202</v>
      </c>
      <c r="CA24" s="435">
        <v>33.447289963359559</v>
      </c>
      <c r="CB24" s="435">
        <v>33.580499040335923</v>
      </c>
      <c r="CC24" s="363">
        <v>33.713708117312279</v>
      </c>
      <c r="CD24" s="435">
        <v>33.822900188291918</v>
      </c>
      <c r="CE24" s="435">
        <v>33.932092259271549</v>
      </c>
      <c r="CF24" s="435">
        <v>34.041284330251187</v>
      </c>
      <c r="CG24" s="435">
        <v>34.150476401230819</v>
      </c>
      <c r="CH24" s="363">
        <v>34.259668472210457</v>
      </c>
      <c r="CI24" s="362">
        <v>20.164344374216082</v>
      </c>
      <c r="CJ24" s="362">
        <v>20.330039202098984</v>
      </c>
      <c r="CK24" s="362">
        <v>20.497095580621853</v>
      </c>
      <c r="CL24" s="363">
        <v>20.362336170181177</v>
      </c>
      <c r="CM24" s="363">
        <v>20.228462743739108</v>
      </c>
      <c r="CN24" s="363">
        <v>20.163866714666927</v>
      </c>
      <c r="CO24" s="363">
        <v>20.09947696162396</v>
      </c>
      <c r="CP24" s="363">
        <v>20.035292825904076</v>
      </c>
      <c r="CQ24" s="363">
        <v>19.971313650904612</v>
      </c>
      <c r="CR24" s="363">
        <v>19.907538782119648</v>
      </c>
      <c r="CS24" s="363">
        <v>20.054794206094698</v>
      </c>
      <c r="CT24" s="363">
        <v>20.203138873703903</v>
      </c>
      <c r="CU24" s="363">
        <v>20.352580842047381</v>
      </c>
      <c r="CV24" s="363">
        <v>20.503128227823375</v>
      </c>
      <c r="CW24" s="363">
        <v>20.654789207769053</v>
      </c>
      <c r="CX24" s="435">
        <v>20.738044880879276</v>
      </c>
      <c r="CY24" s="435">
        <v>20.821300553989502</v>
      </c>
      <c r="CZ24" s="435">
        <v>20.904556227099725</v>
      </c>
      <c r="DA24" s="435">
        <v>20.987811900209952</v>
      </c>
      <c r="DB24" s="363">
        <v>21.071067573320175</v>
      </c>
      <c r="DC24" s="435">
        <v>21.139312617682446</v>
      </c>
      <c r="DD24" s="435">
        <v>21.207557662044717</v>
      </c>
      <c r="DE24" s="435">
        <v>21.275802706406992</v>
      </c>
      <c r="DF24" s="435">
        <v>21.344047750769263</v>
      </c>
      <c r="DG24" s="363">
        <v>21.412292795131535</v>
      </c>
      <c r="DH24" s="362">
        <v>0</v>
      </c>
      <c r="DI24" s="362">
        <v>0</v>
      </c>
      <c r="DJ24" s="362">
        <v>0</v>
      </c>
      <c r="DK24" s="363">
        <v>0</v>
      </c>
      <c r="DL24" s="363">
        <v>0</v>
      </c>
      <c r="DM24" s="363">
        <v>0</v>
      </c>
      <c r="DN24" s="363">
        <v>0</v>
      </c>
      <c r="DO24" s="363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363">
        <v>0</v>
      </c>
      <c r="DV24" s="363">
        <v>0</v>
      </c>
      <c r="DW24" s="435">
        <v>0</v>
      </c>
      <c r="DX24" s="435">
        <v>0</v>
      </c>
      <c r="DY24" s="435">
        <v>0</v>
      </c>
      <c r="DZ24" s="435">
        <v>0</v>
      </c>
      <c r="EA24" s="363">
        <v>0</v>
      </c>
      <c r="EB24" s="435">
        <v>0</v>
      </c>
      <c r="EC24" s="435">
        <v>0</v>
      </c>
      <c r="ED24" s="435">
        <v>0</v>
      </c>
      <c r="EE24" s="435">
        <v>0</v>
      </c>
      <c r="EF24" s="363">
        <v>0</v>
      </c>
      <c r="EG24" s="364">
        <v>0</v>
      </c>
      <c r="EH24" s="364">
        <v>0</v>
      </c>
      <c r="EI24" s="364">
        <v>0</v>
      </c>
      <c r="EJ24" s="365">
        <v>0</v>
      </c>
      <c r="EK24" s="365">
        <v>0</v>
      </c>
      <c r="EL24" s="365">
        <v>0</v>
      </c>
      <c r="EM24" s="365">
        <v>0</v>
      </c>
      <c r="EN24" s="365">
        <v>0</v>
      </c>
      <c r="EO24" s="365">
        <v>0</v>
      </c>
      <c r="EP24" s="365">
        <v>0</v>
      </c>
      <c r="EQ24" s="365">
        <v>0</v>
      </c>
      <c r="ER24" s="365">
        <v>0</v>
      </c>
      <c r="ES24" s="365">
        <v>0</v>
      </c>
      <c r="ET24" s="365">
        <v>0</v>
      </c>
      <c r="EU24" s="365">
        <v>0</v>
      </c>
      <c r="EV24" s="436">
        <v>0</v>
      </c>
      <c r="EW24" s="436">
        <v>0</v>
      </c>
      <c r="EX24" s="436">
        <v>0</v>
      </c>
      <c r="EY24" s="436">
        <v>0</v>
      </c>
      <c r="EZ24" s="365">
        <v>0</v>
      </c>
      <c r="FA24" s="436">
        <v>0</v>
      </c>
      <c r="FB24" s="436">
        <v>0</v>
      </c>
      <c r="FC24" s="436">
        <v>0</v>
      </c>
      <c r="FD24" s="436">
        <v>0</v>
      </c>
      <c r="FE24" s="365">
        <v>0</v>
      </c>
      <c r="FF24" s="364">
        <v>0</v>
      </c>
      <c r="FG24" s="364">
        <v>0</v>
      </c>
      <c r="FH24" s="364">
        <v>0</v>
      </c>
      <c r="FI24" s="365">
        <v>0</v>
      </c>
      <c r="FJ24" s="365">
        <v>0</v>
      </c>
      <c r="FK24" s="365">
        <v>0</v>
      </c>
      <c r="FL24" s="365">
        <v>0</v>
      </c>
      <c r="FM24" s="365">
        <v>0</v>
      </c>
      <c r="FN24" s="365">
        <v>0</v>
      </c>
      <c r="FO24" s="365">
        <v>0</v>
      </c>
      <c r="FP24" s="365">
        <v>0</v>
      </c>
      <c r="FQ24" s="365">
        <v>0</v>
      </c>
      <c r="FR24" s="365">
        <v>0</v>
      </c>
      <c r="FS24" s="365">
        <v>0</v>
      </c>
      <c r="FT24" s="365">
        <v>0</v>
      </c>
      <c r="FU24" s="436">
        <v>0</v>
      </c>
      <c r="FV24" s="436">
        <v>0</v>
      </c>
      <c r="FW24" s="436">
        <v>0</v>
      </c>
      <c r="FX24" s="436">
        <v>0</v>
      </c>
      <c r="FY24" s="365">
        <v>0</v>
      </c>
      <c r="FZ24" s="436">
        <v>0</v>
      </c>
      <c r="GA24" s="436">
        <v>0</v>
      </c>
      <c r="GB24" s="436">
        <v>0</v>
      </c>
      <c r="GC24" s="436">
        <v>0</v>
      </c>
      <c r="GD24" s="365">
        <v>0</v>
      </c>
    </row>
    <row r="25" spans="1:186" ht="15" x14ac:dyDescent="0.25">
      <c r="A25" s="357">
        <v>138</v>
      </c>
      <c r="B25" s="357">
        <v>62</v>
      </c>
      <c r="C25" s="357" t="s">
        <v>934</v>
      </c>
      <c r="D25" s="2">
        <v>99714</v>
      </c>
      <c r="E25" s="268" t="s">
        <v>19</v>
      </c>
      <c r="F25" s="358" t="s">
        <v>915</v>
      </c>
      <c r="G25" s="49">
        <v>30</v>
      </c>
      <c r="H25" s="49">
        <v>12</v>
      </c>
      <c r="I25" s="49">
        <v>12</v>
      </c>
      <c r="J25" s="49">
        <v>0</v>
      </c>
      <c r="K25" s="49">
        <v>0</v>
      </c>
      <c r="L25" s="49">
        <v>21</v>
      </c>
      <c r="M25" s="49">
        <v>21</v>
      </c>
      <c r="N25" s="49">
        <v>1</v>
      </c>
      <c r="O25" s="49">
        <v>0</v>
      </c>
      <c r="P25" s="49">
        <v>0</v>
      </c>
      <c r="Q25" s="49">
        <v>22</v>
      </c>
      <c r="R25" s="49">
        <v>0</v>
      </c>
      <c r="S25" s="49">
        <v>1653.047619047619</v>
      </c>
      <c r="T25" s="49">
        <v>1653.047619047619</v>
      </c>
      <c r="U25" s="49">
        <v>7420</v>
      </c>
      <c r="V25" s="49">
        <v>0</v>
      </c>
      <c r="W25" s="49">
        <v>0</v>
      </c>
      <c r="X25" s="49">
        <v>1915.1818181818182</v>
      </c>
      <c r="Y25" s="434">
        <v>34714</v>
      </c>
      <c r="Z25" s="434">
        <v>7420</v>
      </c>
      <c r="AA25" s="49">
        <v>0</v>
      </c>
      <c r="AB25" s="49">
        <v>12</v>
      </c>
      <c r="AC25" s="49">
        <v>0</v>
      </c>
      <c r="AD25" s="285">
        <v>1</v>
      </c>
      <c r="AE25" s="285">
        <v>0</v>
      </c>
      <c r="AF25" s="359">
        <v>13</v>
      </c>
      <c r="AG25" s="360">
        <v>0</v>
      </c>
      <c r="AH25" s="360">
        <v>12</v>
      </c>
      <c r="AI25" s="361">
        <v>12</v>
      </c>
      <c r="AJ25" s="360">
        <v>0</v>
      </c>
      <c r="AK25" s="360">
        <v>0</v>
      </c>
      <c r="AL25" s="360">
        <v>11.257560519388736</v>
      </c>
      <c r="AM25" s="360">
        <v>11.257560519388736</v>
      </c>
      <c r="AN25" s="360">
        <v>0</v>
      </c>
      <c r="AO25" s="360">
        <v>0</v>
      </c>
      <c r="AP25" s="360">
        <v>11.476670372706417</v>
      </c>
      <c r="AQ25" s="360">
        <v>11.476670372706417</v>
      </c>
      <c r="AR25" s="360">
        <v>0</v>
      </c>
      <c r="AS25" s="360">
        <v>0.96638421298841071</v>
      </c>
      <c r="AT25" s="360">
        <v>0</v>
      </c>
      <c r="AU25" s="360">
        <v>10.561055737308331</v>
      </c>
      <c r="AV25" s="360">
        <v>10.903748168010218</v>
      </c>
      <c r="AW25" s="360">
        <v>11.257560519388736</v>
      </c>
      <c r="AX25" s="360">
        <v>11.622853618310128</v>
      </c>
      <c r="AY25" s="360">
        <v>12</v>
      </c>
      <c r="AZ25" s="360">
        <v>10.976163570313105</v>
      </c>
      <c r="BA25" s="360">
        <v>11.223627366114393</v>
      </c>
      <c r="BB25" s="360">
        <v>11.476670372706417</v>
      </c>
      <c r="BC25" s="360">
        <v>11.735418376541887</v>
      </c>
      <c r="BD25" s="360">
        <v>12</v>
      </c>
      <c r="BE25" s="360">
        <v>0.93389844711322989</v>
      </c>
      <c r="BF25" s="360">
        <v>0.95000248200971427</v>
      </c>
      <c r="BG25" s="360">
        <v>0.96638421298841071</v>
      </c>
      <c r="BH25" s="360">
        <v>0.98304842860787411</v>
      </c>
      <c r="BI25" s="360">
        <v>1</v>
      </c>
      <c r="BJ25" s="362">
        <v>12.136323512223782</v>
      </c>
      <c r="BK25" s="362">
        <v>12.274195699446317</v>
      </c>
      <c r="BL25" s="362">
        <v>12.413634155068863</v>
      </c>
      <c r="BM25" s="363">
        <v>12.332019956921451</v>
      </c>
      <c r="BN25" s="363">
        <v>12.250942336319023</v>
      </c>
      <c r="BO25" s="363">
        <v>12.211821112064676</v>
      </c>
      <c r="BP25" s="363">
        <v>12.1728248145421</v>
      </c>
      <c r="BQ25" s="363">
        <v>12.133953044819799</v>
      </c>
      <c r="BR25" s="363">
        <v>12.095205405240204</v>
      </c>
      <c r="BS25" s="363">
        <v>12.056581499415589</v>
      </c>
      <c r="BT25" s="363">
        <v>12.145763644924244</v>
      </c>
      <c r="BU25" s="363">
        <v>12.235605467894368</v>
      </c>
      <c r="BV25" s="363">
        <v>12.326111847938924</v>
      </c>
      <c r="BW25" s="363">
        <v>12.417287700765213</v>
      </c>
      <c r="BX25" s="363">
        <v>12.50913797844186</v>
      </c>
      <c r="BY25" s="435">
        <v>12.559560023031505</v>
      </c>
      <c r="BZ25" s="435">
        <v>12.60998206762115</v>
      </c>
      <c r="CA25" s="435">
        <v>12.660404112210795</v>
      </c>
      <c r="CB25" s="435">
        <v>12.71082615680044</v>
      </c>
      <c r="CC25" s="363">
        <v>12.761248201390085</v>
      </c>
      <c r="CD25" s="435">
        <v>12.802579374886228</v>
      </c>
      <c r="CE25" s="435">
        <v>12.84391054838237</v>
      </c>
      <c r="CF25" s="435">
        <v>12.885241721878513</v>
      </c>
      <c r="CG25" s="435">
        <v>12.926572895374655</v>
      </c>
      <c r="CH25" s="363">
        <v>12.967904068870798</v>
      </c>
      <c r="CI25" s="362">
        <v>12.136323512223782</v>
      </c>
      <c r="CJ25" s="362">
        <v>12.274195699446317</v>
      </c>
      <c r="CK25" s="362">
        <v>12.413634155068863</v>
      </c>
      <c r="CL25" s="363">
        <v>12.332019956921451</v>
      </c>
      <c r="CM25" s="363">
        <v>12.250942336319023</v>
      </c>
      <c r="CN25" s="363">
        <v>12.211821112064676</v>
      </c>
      <c r="CO25" s="363">
        <v>12.1728248145421</v>
      </c>
      <c r="CP25" s="363">
        <v>12.133953044819799</v>
      </c>
      <c r="CQ25" s="363">
        <v>12.095205405240204</v>
      </c>
      <c r="CR25" s="363">
        <v>12.056581499415589</v>
      </c>
      <c r="CS25" s="363">
        <v>12.145763644924244</v>
      </c>
      <c r="CT25" s="363">
        <v>12.235605467894368</v>
      </c>
      <c r="CU25" s="363">
        <v>12.326111847938924</v>
      </c>
      <c r="CV25" s="363">
        <v>12.417287700765213</v>
      </c>
      <c r="CW25" s="363">
        <v>12.50913797844186</v>
      </c>
      <c r="CX25" s="435">
        <v>12.559560023031505</v>
      </c>
      <c r="CY25" s="435">
        <v>12.60998206762115</v>
      </c>
      <c r="CZ25" s="435">
        <v>12.660404112210795</v>
      </c>
      <c r="DA25" s="435">
        <v>12.71082615680044</v>
      </c>
      <c r="DB25" s="363">
        <v>12.761248201390085</v>
      </c>
      <c r="DC25" s="435">
        <v>12.802579374886228</v>
      </c>
      <c r="DD25" s="435">
        <v>12.84391054838237</v>
      </c>
      <c r="DE25" s="435">
        <v>12.885241721878513</v>
      </c>
      <c r="DF25" s="435">
        <v>12.926572895374655</v>
      </c>
      <c r="DG25" s="363">
        <v>12.967904068870798</v>
      </c>
      <c r="DH25" s="362">
        <v>1.0113602926853151</v>
      </c>
      <c r="DI25" s="362">
        <v>1.0228496416205264</v>
      </c>
      <c r="DJ25" s="362">
        <v>1.0344695129224053</v>
      </c>
      <c r="DK25" s="363">
        <v>1.0276683297434543</v>
      </c>
      <c r="DL25" s="363">
        <v>1.0209118613599186</v>
      </c>
      <c r="DM25" s="363">
        <v>1.0176517593387231</v>
      </c>
      <c r="DN25" s="363">
        <v>1.0144020678785084</v>
      </c>
      <c r="DO25" s="363">
        <v>1.0111627537349834</v>
      </c>
      <c r="DP25" s="363">
        <v>1.0079337837700171</v>
      </c>
      <c r="DQ25" s="363">
        <v>1.0047151249512991</v>
      </c>
      <c r="DR25" s="363">
        <v>1.0121469704103538</v>
      </c>
      <c r="DS25" s="363">
        <v>1.0196337889911975</v>
      </c>
      <c r="DT25" s="363">
        <v>1.0271759873282436</v>
      </c>
      <c r="DU25" s="363">
        <v>1.0347739750637679</v>
      </c>
      <c r="DV25" s="363">
        <v>1.0424281648701552</v>
      </c>
      <c r="DW25" s="435">
        <v>1.0466300019192922</v>
      </c>
      <c r="DX25" s="435">
        <v>1.0508318389684292</v>
      </c>
      <c r="DY25" s="435">
        <v>1.0550336760175665</v>
      </c>
      <c r="DZ25" s="435">
        <v>1.0592355130667035</v>
      </c>
      <c r="EA25" s="363">
        <v>1.0634373501158405</v>
      </c>
      <c r="EB25" s="435">
        <v>1.0668816145738524</v>
      </c>
      <c r="EC25" s="435">
        <v>1.0703258790318642</v>
      </c>
      <c r="ED25" s="435">
        <v>1.0737701434898761</v>
      </c>
      <c r="EE25" s="435">
        <v>1.0772144079478878</v>
      </c>
      <c r="EF25" s="363">
        <v>1.0806586724058997</v>
      </c>
      <c r="EG25" s="364">
        <v>0</v>
      </c>
      <c r="EH25" s="364">
        <v>0</v>
      </c>
      <c r="EI25" s="364">
        <v>0</v>
      </c>
      <c r="EJ25" s="365">
        <v>0</v>
      </c>
      <c r="EK25" s="365">
        <v>0</v>
      </c>
      <c r="EL25" s="365">
        <v>0</v>
      </c>
      <c r="EM25" s="365">
        <v>0</v>
      </c>
      <c r="EN25" s="365">
        <v>0</v>
      </c>
      <c r="EO25" s="365">
        <v>0</v>
      </c>
      <c r="EP25" s="365">
        <v>0</v>
      </c>
      <c r="EQ25" s="365">
        <v>0</v>
      </c>
      <c r="ER25" s="365">
        <v>0</v>
      </c>
      <c r="ES25" s="365">
        <v>0</v>
      </c>
      <c r="ET25" s="365">
        <v>0</v>
      </c>
      <c r="EU25" s="365">
        <v>0</v>
      </c>
      <c r="EV25" s="436">
        <v>0</v>
      </c>
      <c r="EW25" s="436">
        <v>0</v>
      </c>
      <c r="EX25" s="436">
        <v>0</v>
      </c>
      <c r="EY25" s="436">
        <v>0</v>
      </c>
      <c r="EZ25" s="365">
        <v>0</v>
      </c>
      <c r="FA25" s="436">
        <v>0</v>
      </c>
      <c r="FB25" s="436">
        <v>0</v>
      </c>
      <c r="FC25" s="436">
        <v>0</v>
      </c>
      <c r="FD25" s="436">
        <v>0</v>
      </c>
      <c r="FE25" s="365">
        <v>0</v>
      </c>
      <c r="FF25" s="364">
        <v>0</v>
      </c>
      <c r="FG25" s="364">
        <v>0</v>
      </c>
      <c r="FH25" s="364">
        <v>0</v>
      </c>
      <c r="FI25" s="365">
        <v>0</v>
      </c>
      <c r="FJ25" s="365">
        <v>0</v>
      </c>
      <c r="FK25" s="365">
        <v>0</v>
      </c>
      <c r="FL25" s="365">
        <v>0</v>
      </c>
      <c r="FM25" s="365">
        <v>0</v>
      </c>
      <c r="FN25" s="365">
        <v>0</v>
      </c>
      <c r="FO25" s="365">
        <v>0</v>
      </c>
      <c r="FP25" s="365">
        <v>0</v>
      </c>
      <c r="FQ25" s="365">
        <v>0</v>
      </c>
      <c r="FR25" s="365">
        <v>0</v>
      </c>
      <c r="FS25" s="365">
        <v>0</v>
      </c>
      <c r="FT25" s="365">
        <v>0</v>
      </c>
      <c r="FU25" s="436">
        <v>0</v>
      </c>
      <c r="FV25" s="436">
        <v>0</v>
      </c>
      <c r="FW25" s="436">
        <v>0</v>
      </c>
      <c r="FX25" s="436">
        <v>0</v>
      </c>
      <c r="FY25" s="365">
        <v>0</v>
      </c>
      <c r="FZ25" s="436">
        <v>0</v>
      </c>
      <c r="GA25" s="436">
        <v>0</v>
      </c>
      <c r="GB25" s="436">
        <v>0</v>
      </c>
      <c r="GC25" s="436">
        <v>0</v>
      </c>
      <c r="GD25" s="365">
        <v>0</v>
      </c>
    </row>
    <row r="26" spans="1:186" ht="15" x14ac:dyDescent="0.25">
      <c r="A26" s="357">
        <v>137</v>
      </c>
      <c r="B26" s="357">
        <v>63</v>
      </c>
      <c r="C26" s="357" t="s">
        <v>935</v>
      </c>
      <c r="D26" s="2">
        <v>99714</v>
      </c>
      <c r="E26" s="268" t="s">
        <v>19</v>
      </c>
      <c r="F26" s="358" t="s">
        <v>915</v>
      </c>
      <c r="G26" s="49">
        <v>3</v>
      </c>
      <c r="H26" s="49">
        <v>10</v>
      </c>
      <c r="I26" s="49">
        <v>1</v>
      </c>
      <c r="J26" s="49">
        <v>9</v>
      </c>
      <c r="K26" s="49">
        <v>0</v>
      </c>
      <c r="L26" s="49">
        <v>24</v>
      </c>
      <c r="M26" s="49">
        <v>24</v>
      </c>
      <c r="N26" s="49">
        <v>0</v>
      </c>
      <c r="O26" s="49">
        <v>0</v>
      </c>
      <c r="P26" s="49">
        <v>0</v>
      </c>
      <c r="Q26" s="49">
        <v>24</v>
      </c>
      <c r="R26" s="49">
        <v>0</v>
      </c>
      <c r="S26" s="49">
        <v>1057.625</v>
      </c>
      <c r="T26" s="49">
        <v>1057.625</v>
      </c>
      <c r="U26" s="49">
        <v>0</v>
      </c>
      <c r="V26" s="49">
        <v>0</v>
      </c>
      <c r="W26" s="49">
        <v>0</v>
      </c>
      <c r="X26" s="49">
        <v>1057.625</v>
      </c>
      <c r="Y26" s="434">
        <v>25383</v>
      </c>
      <c r="Z26" s="434">
        <v>0</v>
      </c>
      <c r="AA26" s="49">
        <v>0</v>
      </c>
      <c r="AB26" s="49">
        <v>10</v>
      </c>
      <c r="AC26" s="49">
        <v>0</v>
      </c>
      <c r="AD26" s="285">
        <v>0</v>
      </c>
      <c r="AE26" s="285">
        <v>0</v>
      </c>
      <c r="AF26" s="359">
        <v>10</v>
      </c>
      <c r="AG26" s="360">
        <v>0</v>
      </c>
      <c r="AH26" s="360">
        <v>1</v>
      </c>
      <c r="AI26" s="361">
        <v>1</v>
      </c>
      <c r="AJ26" s="360">
        <v>0</v>
      </c>
      <c r="AK26" s="360">
        <v>0</v>
      </c>
      <c r="AL26" s="360">
        <v>9.3813004328239469</v>
      </c>
      <c r="AM26" s="360">
        <v>9.3813004328239469</v>
      </c>
      <c r="AN26" s="360">
        <v>0</v>
      </c>
      <c r="AO26" s="360">
        <v>0</v>
      </c>
      <c r="AP26" s="360">
        <v>0.95638919772553477</v>
      </c>
      <c r="AQ26" s="360">
        <v>0.95638919772553477</v>
      </c>
      <c r="AR26" s="360">
        <v>0</v>
      </c>
      <c r="AS26" s="360">
        <v>0</v>
      </c>
      <c r="AT26" s="360">
        <v>0</v>
      </c>
      <c r="AU26" s="360">
        <v>8.8008797810902752</v>
      </c>
      <c r="AV26" s="360">
        <v>9.0864568066751801</v>
      </c>
      <c r="AW26" s="360">
        <v>9.3813004328239469</v>
      </c>
      <c r="AX26" s="360">
        <v>9.6857113485917736</v>
      </c>
      <c r="AY26" s="360">
        <v>10</v>
      </c>
      <c r="AZ26" s="360">
        <v>0.91468029752609203</v>
      </c>
      <c r="BA26" s="360">
        <v>0.93530228050953268</v>
      </c>
      <c r="BB26" s="360">
        <v>0.95638919772553477</v>
      </c>
      <c r="BC26" s="360">
        <v>0.97795153137849056</v>
      </c>
      <c r="BD26" s="360">
        <v>1</v>
      </c>
      <c r="BE26" s="360">
        <v>0</v>
      </c>
      <c r="BF26" s="360">
        <v>0</v>
      </c>
      <c r="BG26" s="360">
        <v>0</v>
      </c>
      <c r="BH26" s="360">
        <v>0</v>
      </c>
      <c r="BI26" s="360">
        <v>0</v>
      </c>
      <c r="BJ26" s="362">
        <v>10.113602926853151</v>
      </c>
      <c r="BK26" s="362">
        <v>10.228496416205264</v>
      </c>
      <c r="BL26" s="362">
        <v>10.344695129224053</v>
      </c>
      <c r="BM26" s="363">
        <v>10.276683297434545</v>
      </c>
      <c r="BN26" s="363">
        <v>10.209118613599186</v>
      </c>
      <c r="BO26" s="363">
        <v>10.176517593387231</v>
      </c>
      <c r="BP26" s="363">
        <v>10.144020678785084</v>
      </c>
      <c r="BQ26" s="363">
        <v>10.111627537349834</v>
      </c>
      <c r="BR26" s="363">
        <v>10.079337837700171</v>
      </c>
      <c r="BS26" s="363">
        <v>10.047151249512991</v>
      </c>
      <c r="BT26" s="363">
        <v>10.121469704103538</v>
      </c>
      <c r="BU26" s="363">
        <v>10.196337889911975</v>
      </c>
      <c r="BV26" s="363">
        <v>10.271759873282438</v>
      </c>
      <c r="BW26" s="363">
        <v>10.347739750637679</v>
      </c>
      <c r="BX26" s="363">
        <v>10.424281648701552</v>
      </c>
      <c r="BY26" s="435">
        <v>10.466300019192923</v>
      </c>
      <c r="BZ26" s="435">
        <v>10.508318389684293</v>
      </c>
      <c r="CA26" s="435">
        <v>10.550336760175664</v>
      </c>
      <c r="CB26" s="435">
        <v>10.592355130667034</v>
      </c>
      <c r="CC26" s="363">
        <v>10.634373501158406</v>
      </c>
      <c r="CD26" s="435">
        <v>10.668816145738525</v>
      </c>
      <c r="CE26" s="435">
        <v>10.703258790318642</v>
      </c>
      <c r="CF26" s="435">
        <v>10.737701434898762</v>
      </c>
      <c r="CG26" s="435">
        <v>10.772144079478879</v>
      </c>
      <c r="CH26" s="363">
        <v>10.806586724058999</v>
      </c>
      <c r="CI26" s="362">
        <v>1.0113602926853151</v>
      </c>
      <c r="CJ26" s="362">
        <v>1.0228496416205264</v>
      </c>
      <c r="CK26" s="362">
        <v>1.0344695129224053</v>
      </c>
      <c r="CL26" s="363">
        <v>1.0276683297434543</v>
      </c>
      <c r="CM26" s="363">
        <v>1.0209118613599186</v>
      </c>
      <c r="CN26" s="363">
        <v>1.0176517593387231</v>
      </c>
      <c r="CO26" s="363">
        <v>1.0144020678785084</v>
      </c>
      <c r="CP26" s="363">
        <v>1.0111627537349834</v>
      </c>
      <c r="CQ26" s="363">
        <v>1.0079337837700171</v>
      </c>
      <c r="CR26" s="363">
        <v>1.0047151249512991</v>
      </c>
      <c r="CS26" s="363">
        <v>1.0121469704103538</v>
      </c>
      <c r="CT26" s="363">
        <v>1.0196337889911975</v>
      </c>
      <c r="CU26" s="363">
        <v>1.0271759873282436</v>
      </c>
      <c r="CV26" s="363">
        <v>1.0347739750637679</v>
      </c>
      <c r="CW26" s="363">
        <v>1.0424281648701552</v>
      </c>
      <c r="CX26" s="435">
        <v>1.0466300019192922</v>
      </c>
      <c r="CY26" s="435">
        <v>1.0508318389684292</v>
      </c>
      <c r="CZ26" s="435">
        <v>1.0550336760175665</v>
      </c>
      <c r="DA26" s="435">
        <v>1.0592355130667035</v>
      </c>
      <c r="DB26" s="363">
        <v>1.0634373501158405</v>
      </c>
      <c r="DC26" s="435">
        <v>1.0668816145738524</v>
      </c>
      <c r="DD26" s="435">
        <v>1.0703258790318642</v>
      </c>
      <c r="DE26" s="435">
        <v>1.0737701434898761</v>
      </c>
      <c r="DF26" s="435">
        <v>1.0772144079478878</v>
      </c>
      <c r="DG26" s="363">
        <v>1.0806586724058997</v>
      </c>
      <c r="DH26" s="362">
        <v>0</v>
      </c>
      <c r="DI26" s="362">
        <v>0</v>
      </c>
      <c r="DJ26" s="362">
        <v>0</v>
      </c>
      <c r="DK26" s="363">
        <v>0</v>
      </c>
      <c r="DL26" s="363">
        <v>0</v>
      </c>
      <c r="DM26" s="363">
        <v>0</v>
      </c>
      <c r="DN26" s="363">
        <v>0</v>
      </c>
      <c r="DO26" s="363">
        <v>0</v>
      </c>
      <c r="DP26" s="363">
        <v>0</v>
      </c>
      <c r="DQ26" s="363">
        <v>0</v>
      </c>
      <c r="DR26" s="363">
        <v>0</v>
      </c>
      <c r="DS26" s="363">
        <v>0</v>
      </c>
      <c r="DT26" s="363">
        <v>0</v>
      </c>
      <c r="DU26" s="363">
        <v>0</v>
      </c>
      <c r="DV26" s="363">
        <v>0</v>
      </c>
      <c r="DW26" s="435">
        <v>0</v>
      </c>
      <c r="DX26" s="435">
        <v>0</v>
      </c>
      <c r="DY26" s="435">
        <v>0</v>
      </c>
      <c r="DZ26" s="435">
        <v>0</v>
      </c>
      <c r="EA26" s="363">
        <v>0</v>
      </c>
      <c r="EB26" s="435">
        <v>0</v>
      </c>
      <c r="EC26" s="435">
        <v>0</v>
      </c>
      <c r="ED26" s="435">
        <v>0</v>
      </c>
      <c r="EE26" s="435">
        <v>0</v>
      </c>
      <c r="EF26" s="363">
        <v>0</v>
      </c>
      <c r="EG26" s="364">
        <v>0</v>
      </c>
      <c r="EH26" s="364">
        <v>0</v>
      </c>
      <c r="EI26" s="364">
        <v>0</v>
      </c>
      <c r="EJ26" s="365">
        <v>0</v>
      </c>
      <c r="EK26" s="365">
        <v>0</v>
      </c>
      <c r="EL26" s="365">
        <v>0</v>
      </c>
      <c r="EM26" s="365">
        <v>0</v>
      </c>
      <c r="EN26" s="365">
        <v>0</v>
      </c>
      <c r="EO26" s="365">
        <v>0</v>
      </c>
      <c r="EP26" s="365">
        <v>0</v>
      </c>
      <c r="EQ26" s="365">
        <v>0</v>
      </c>
      <c r="ER26" s="365">
        <v>0</v>
      </c>
      <c r="ES26" s="365">
        <v>0</v>
      </c>
      <c r="ET26" s="365">
        <v>0</v>
      </c>
      <c r="EU26" s="365">
        <v>0</v>
      </c>
      <c r="EV26" s="436">
        <v>0</v>
      </c>
      <c r="EW26" s="436">
        <v>0</v>
      </c>
      <c r="EX26" s="436">
        <v>0</v>
      </c>
      <c r="EY26" s="436">
        <v>0</v>
      </c>
      <c r="EZ26" s="365">
        <v>0</v>
      </c>
      <c r="FA26" s="436">
        <v>0</v>
      </c>
      <c r="FB26" s="436">
        <v>0</v>
      </c>
      <c r="FC26" s="436">
        <v>0</v>
      </c>
      <c r="FD26" s="436">
        <v>0</v>
      </c>
      <c r="FE26" s="365">
        <v>0</v>
      </c>
      <c r="FF26" s="364">
        <v>0</v>
      </c>
      <c r="FG26" s="364">
        <v>0</v>
      </c>
      <c r="FH26" s="364">
        <v>0</v>
      </c>
      <c r="FI26" s="365">
        <v>0</v>
      </c>
      <c r="FJ26" s="365">
        <v>0</v>
      </c>
      <c r="FK26" s="365">
        <v>0</v>
      </c>
      <c r="FL26" s="365">
        <v>0</v>
      </c>
      <c r="FM26" s="365">
        <v>0</v>
      </c>
      <c r="FN26" s="365">
        <v>0</v>
      </c>
      <c r="FO26" s="365">
        <v>0</v>
      </c>
      <c r="FP26" s="365">
        <v>0</v>
      </c>
      <c r="FQ26" s="365">
        <v>0</v>
      </c>
      <c r="FR26" s="365">
        <v>0</v>
      </c>
      <c r="FS26" s="365">
        <v>0</v>
      </c>
      <c r="FT26" s="365">
        <v>0</v>
      </c>
      <c r="FU26" s="436">
        <v>0</v>
      </c>
      <c r="FV26" s="436">
        <v>0</v>
      </c>
      <c r="FW26" s="436">
        <v>0</v>
      </c>
      <c r="FX26" s="436">
        <v>0</v>
      </c>
      <c r="FY26" s="365">
        <v>0</v>
      </c>
      <c r="FZ26" s="436">
        <v>0</v>
      </c>
      <c r="GA26" s="436">
        <v>0</v>
      </c>
      <c r="GB26" s="436">
        <v>0</v>
      </c>
      <c r="GC26" s="436">
        <v>0</v>
      </c>
      <c r="GD26" s="365">
        <v>0</v>
      </c>
    </row>
    <row r="27" spans="1:186" ht="15" x14ac:dyDescent="0.25">
      <c r="A27" s="357">
        <v>138</v>
      </c>
      <c r="B27" s="357">
        <v>63</v>
      </c>
      <c r="C27" s="357" t="s">
        <v>936</v>
      </c>
      <c r="D27" s="2">
        <v>99714</v>
      </c>
      <c r="E27" s="268" t="s">
        <v>19</v>
      </c>
      <c r="F27" s="358" t="s">
        <v>915</v>
      </c>
      <c r="G27" s="49">
        <v>7</v>
      </c>
      <c r="H27" s="49">
        <v>7</v>
      </c>
      <c r="I27" s="49">
        <v>6</v>
      </c>
      <c r="J27" s="49">
        <v>1</v>
      </c>
      <c r="K27" s="49">
        <v>0</v>
      </c>
      <c r="L27" s="49">
        <v>11</v>
      </c>
      <c r="M27" s="49">
        <v>11</v>
      </c>
      <c r="N27" s="49">
        <v>2</v>
      </c>
      <c r="O27" s="49">
        <v>0</v>
      </c>
      <c r="P27" s="49">
        <v>0</v>
      </c>
      <c r="Q27" s="49">
        <v>13</v>
      </c>
      <c r="R27" s="49">
        <v>0</v>
      </c>
      <c r="S27" s="49">
        <v>1943.2727272727273</v>
      </c>
      <c r="T27" s="49">
        <v>1943.2727272727273</v>
      </c>
      <c r="U27" s="49">
        <v>4367</v>
      </c>
      <c r="V27" s="49">
        <v>0</v>
      </c>
      <c r="W27" s="49">
        <v>0</v>
      </c>
      <c r="X27" s="49">
        <v>2316.1538461538462</v>
      </c>
      <c r="Y27" s="434">
        <v>21376</v>
      </c>
      <c r="Z27" s="434">
        <v>8734</v>
      </c>
      <c r="AA27" s="49">
        <v>0</v>
      </c>
      <c r="AB27" s="49">
        <v>7</v>
      </c>
      <c r="AC27" s="49">
        <v>0</v>
      </c>
      <c r="AD27" s="285">
        <v>2</v>
      </c>
      <c r="AE27" s="285">
        <v>0</v>
      </c>
      <c r="AF27" s="359">
        <v>9</v>
      </c>
      <c r="AG27" s="360">
        <v>0</v>
      </c>
      <c r="AH27" s="360">
        <v>6</v>
      </c>
      <c r="AI27" s="361">
        <v>6</v>
      </c>
      <c r="AJ27" s="360">
        <v>0</v>
      </c>
      <c r="AK27" s="360">
        <v>0</v>
      </c>
      <c r="AL27" s="360">
        <v>6.5669103029767628</v>
      </c>
      <c r="AM27" s="360">
        <v>6.5669103029767628</v>
      </c>
      <c r="AN27" s="360">
        <v>0</v>
      </c>
      <c r="AO27" s="360">
        <v>0</v>
      </c>
      <c r="AP27" s="360">
        <v>5.7383351863532086</v>
      </c>
      <c r="AQ27" s="360">
        <v>5.7383351863532086</v>
      </c>
      <c r="AR27" s="360">
        <v>0</v>
      </c>
      <c r="AS27" s="360">
        <v>1.9327684259768214</v>
      </c>
      <c r="AT27" s="360">
        <v>0</v>
      </c>
      <c r="AU27" s="360">
        <v>6.1606158467631928</v>
      </c>
      <c r="AV27" s="360">
        <v>6.3605197646726266</v>
      </c>
      <c r="AW27" s="360">
        <v>6.5669103029767628</v>
      </c>
      <c r="AX27" s="360">
        <v>6.7799979440142408</v>
      </c>
      <c r="AY27" s="360">
        <v>7</v>
      </c>
      <c r="AZ27" s="360">
        <v>5.4880817851565524</v>
      </c>
      <c r="BA27" s="360">
        <v>5.6118136830571963</v>
      </c>
      <c r="BB27" s="360">
        <v>5.7383351863532086</v>
      </c>
      <c r="BC27" s="360">
        <v>5.8677091882709433</v>
      </c>
      <c r="BD27" s="360">
        <v>6</v>
      </c>
      <c r="BE27" s="360">
        <v>1.8677968942264598</v>
      </c>
      <c r="BF27" s="360">
        <v>1.9000049640194285</v>
      </c>
      <c r="BG27" s="360">
        <v>1.9327684259768214</v>
      </c>
      <c r="BH27" s="360">
        <v>1.9660968572157482</v>
      </c>
      <c r="BI27" s="360">
        <v>2</v>
      </c>
      <c r="BJ27" s="362">
        <v>7.0795220487972061</v>
      </c>
      <c r="BK27" s="362">
        <v>7.1599474913436847</v>
      </c>
      <c r="BL27" s="362">
        <v>7.2412865904568369</v>
      </c>
      <c r="BM27" s="363">
        <v>7.1936783082041806</v>
      </c>
      <c r="BN27" s="363">
        <v>7.1463830295194297</v>
      </c>
      <c r="BO27" s="363">
        <v>7.1235623153710614</v>
      </c>
      <c r="BP27" s="363">
        <v>7.1008144751495585</v>
      </c>
      <c r="BQ27" s="363">
        <v>7.078139276144884</v>
      </c>
      <c r="BR27" s="363">
        <v>7.0555364863901193</v>
      </c>
      <c r="BS27" s="363">
        <v>7.0330058746590938</v>
      </c>
      <c r="BT27" s="363">
        <v>7.0850287928724764</v>
      </c>
      <c r="BU27" s="363">
        <v>7.1374365229383816</v>
      </c>
      <c r="BV27" s="363">
        <v>7.1902319112977056</v>
      </c>
      <c r="BW27" s="363">
        <v>7.2434178254463752</v>
      </c>
      <c r="BX27" s="363">
        <v>7.2969971540910858</v>
      </c>
      <c r="BY27" s="435">
        <v>7.3264100134350452</v>
      </c>
      <c r="BZ27" s="435">
        <v>7.3558228727790045</v>
      </c>
      <c r="CA27" s="435">
        <v>7.3852357321229647</v>
      </c>
      <c r="CB27" s="435">
        <v>7.414648591466924</v>
      </c>
      <c r="CC27" s="363">
        <v>7.4440614508108833</v>
      </c>
      <c r="CD27" s="435">
        <v>7.468171302016966</v>
      </c>
      <c r="CE27" s="435">
        <v>7.4922811532230496</v>
      </c>
      <c r="CF27" s="435">
        <v>7.5163910044291322</v>
      </c>
      <c r="CG27" s="435">
        <v>7.5405008556352158</v>
      </c>
      <c r="CH27" s="363">
        <v>7.5646107068412984</v>
      </c>
      <c r="CI27" s="362">
        <v>6.0681617561118912</v>
      </c>
      <c r="CJ27" s="362">
        <v>6.1370978497231583</v>
      </c>
      <c r="CK27" s="362">
        <v>6.2068170775344313</v>
      </c>
      <c r="CL27" s="363">
        <v>6.1660099784607256</v>
      </c>
      <c r="CM27" s="363">
        <v>6.1254711681595113</v>
      </c>
      <c r="CN27" s="363">
        <v>6.1059105560323381</v>
      </c>
      <c r="CO27" s="363">
        <v>6.0864124072710499</v>
      </c>
      <c r="CP27" s="363">
        <v>6.0669765224098997</v>
      </c>
      <c r="CQ27" s="363">
        <v>6.047602702620102</v>
      </c>
      <c r="CR27" s="363">
        <v>6.0282907497077947</v>
      </c>
      <c r="CS27" s="363">
        <v>6.0728818224621222</v>
      </c>
      <c r="CT27" s="363">
        <v>6.1178027339471841</v>
      </c>
      <c r="CU27" s="363">
        <v>6.1630559239694618</v>
      </c>
      <c r="CV27" s="363">
        <v>6.2086438503826065</v>
      </c>
      <c r="CW27" s="363">
        <v>6.25456898922093</v>
      </c>
      <c r="CX27" s="435">
        <v>6.2797800115157525</v>
      </c>
      <c r="CY27" s="435">
        <v>6.304991033810575</v>
      </c>
      <c r="CZ27" s="435">
        <v>6.3302020561053975</v>
      </c>
      <c r="DA27" s="435">
        <v>6.3554130784002201</v>
      </c>
      <c r="DB27" s="363">
        <v>6.3806241006950426</v>
      </c>
      <c r="DC27" s="435">
        <v>6.4012896874431142</v>
      </c>
      <c r="DD27" s="435">
        <v>6.4219552741911849</v>
      </c>
      <c r="DE27" s="435">
        <v>6.4426208609392566</v>
      </c>
      <c r="DF27" s="435">
        <v>6.4632864476873273</v>
      </c>
      <c r="DG27" s="363">
        <v>6.4839520344353989</v>
      </c>
      <c r="DH27" s="362">
        <v>2.0227205853706303</v>
      </c>
      <c r="DI27" s="362">
        <v>2.0456992832410528</v>
      </c>
      <c r="DJ27" s="362">
        <v>2.0689390258448106</v>
      </c>
      <c r="DK27" s="363">
        <v>2.0553366594869087</v>
      </c>
      <c r="DL27" s="363">
        <v>2.0418237227198373</v>
      </c>
      <c r="DM27" s="363">
        <v>2.0353035186774462</v>
      </c>
      <c r="DN27" s="363">
        <v>2.0288041357570168</v>
      </c>
      <c r="DO27" s="363">
        <v>2.0223255074699669</v>
      </c>
      <c r="DP27" s="363">
        <v>2.0158675675400342</v>
      </c>
      <c r="DQ27" s="363">
        <v>2.0094302499025982</v>
      </c>
      <c r="DR27" s="363">
        <v>2.0242939408207077</v>
      </c>
      <c r="DS27" s="363">
        <v>2.039267577982395</v>
      </c>
      <c r="DT27" s="363">
        <v>2.0543519746564871</v>
      </c>
      <c r="DU27" s="363">
        <v>2.0695479501275358</v>
      </c>
      <c r="DV27" s="363">
        <v>2.0848563297403104</v>
      </c>
      <c r="DW27" s="435">
        <v>2.0932600038385845</v>
      </c>
      <c r="DX27" s="435">
        <v>2.1016636779368585</v>
      </c>
      <c r="DY27" s="435">
        <v>2.110067352035133</v>
      </c>
      <c r="DZ27" s="435">
        <v>2.118471026133407</v>
      </c>
      <c r="EA27" s="363">
        <v>2.126874700231681</v>
      </c>
      <c r="EB27" s="435">
        <v>2.1337632291477049</v>
      </c>
      <c r="EC27" s="435">
        <v>2.1406517580637283</v>
      </c>
      <c r="ED27" s="435">
        <v>2.1475402869797522</v>
      </c>
      <c r="EE27" s="435">
        <v>2.1544288158957756</v>
      </c>
      <c r="EF27" s="363">
        <v>2.1613173448117995</v>
      </c>
      <c r="EG27" s="364">
        <v>0</v>
      </c>
      <c r="EH27" s="364">
        <v>0</v>
      </c>
      <c r="EI27" s="364">
        <v>0</v>
      </c>
      <c r="EJ27" s="365">
        <v>0</v>
      </c>
      <c r="EK27" s="365">
        <v>0</v>
      </c>
      <c r="EL27" s="365">
        <v>0</v>
      </c>
      <c r="EM27" s="365">
        <v>0</v>
      </c>
      <c r="EN27" s="365">
        <v>0</v>
      </c>
      <c r="EO27" s="365">
        <v>0</v>
      </c>
      <c r="EP27" s="365">
        <v>0</v>
      </c>
      <c r="EQ27" s="365">
        <v>0</v>
      </c>
      <c r="ER27" s="365">
        <v>0</v>
      </c>
      <c r="ES27" s="365">
        <v>0</v>
      </c>
      <c r="ET27" s="365">
        <v>0</v>
      </c>
      <c r="EU27" s="365">
        <v>0</v>
      </c>
      <c r="EV27" s="436">
        <v>0</v>
      </c>
      <c r="EW27" s="436">
        <v>0</v>
      </c>
      <c r="EX27" s="436">
        <v>0</v>
      </c>
      <c r="EY27" s="436">
        <v>0</v>
      </c>
      <c r="EZ27" s="365">
        <v>0</v>
      </c>
      <c r="FA27" s="436">
        <v>0</v>
      </c>
      <c r="FB27" s="436">
        <v>0</v>
      </c>
      <c r="FC27" s="436">
        <v>0</v>
      </c>
      <c r="FD27" s="436">
        <v>0</v>
      </c>
      <c r="FE27" s="365">
        <v>0</v>
      </c>
      <c r="FF27" s="364">
        <v>0</v>
      </c>
      <c r="FG27" s="364">
        <v>0</v>
      </c>
      <c r="FH27" s="364">
        <v>0</v>
      </c>
      <c r="FI27" s="365">
        <v>0</v>
      </c>
      <c r="FJ27" s="365">
        <v>0</v>
      </c>
      <c r="FK27" s="365">
        <v>0</v>
      </c>
      <c r="FL27" s="365">
        <v>0</v>
      </c>
      <c r="FM27" s="365">
        <v>0</v>
      </c>
      <c r="FN27" s="365">
        <v>0</v>
      </c>
      <c r="FO27" s="365">
        <v>0</v>
      </c>
      <c r="FP27" s="365">
        <v>0</v>
      </c>
      <c r="FQ27" s="365">
        <v>0</v>
      </c>
      <c r="FR27" s="365">
        <v>0</v>
      </c>
      <c r="FS27" s="365">
        <v>0</v>
      </c>
      <c r="FT27" s="365">
        <v>0</v>
      </c>
      <c r="FU27" s="436">
        <v>0</v>
      </c>
      <c r="FV27" s="436">
        <v>0</v>
      </c>
      <c r="FW27" s="436">
        <v>0</v>
      </c>
      <c r="FX27" s="436">
        <v>0</v>
      </c>
      <c r="FY27" s="365">
        <v>0</v>
      </c>
      <c r="FZ27" s="436">
        <v>0</v>
      </c>
      <c r="GA27" s="436">
        <v>0</v>
      </c>
      <c r="GB27" s="436">
        <v>0</v>
      </c>
      <c r="GC27" s="436">
        <v>0</v>
      </c>
      <c r="GD27" s="365">
        <v>0</v>
      </c>
    </row>
    <row r="28" spans="1:186" ht="15" x14ac:dyDescent="0.25">
      <c r="A28" s="357">
        <v>136</v>
      </c>
      <c r="B28" s="357">
        <v>64</v>
      </c>
      <c r="C28" s="357" t="s">
        <v>937</v>
      </c>
      <c r="D28" s="2">
        <v>99714</v>
      </c>
      <c r="E28" s="268" t="s">
        <v>19</v>
      </c>
      <c r="F28" s="358" t="s">
        <v>915</v>
      </c>
      <c r="G28" s="49">
        <v>2</v>
      </c>
      <c r="H28" s="49">
        <v>1</v>
      </c>
      <c r="I28" s="49">
        <v>1</v>
      </c>
      <c r="J28" s="49">
        <v>0</v>
      </c>
      <c r="K28" s="49">
        <v>0</v>
      </c>
      <c r="L28" s="49">
        <v>3</v>
      </c>
      <c r="M28" s="49">
        <v>3</v>
      </c>
      <c r="N28" s="49">
        <v>0</v>
      </c>
      <c r="O28" s="49">
        <v>0</v>
      </c>
      <c r="P28" s="49">
        <v>0</v>
      </c>
      <c r="Q28" s="49">
        <v>3</v>
      </c>
      <c r="R28" s="49">
        <v>0</v>
      </c>
      <c r="S28" s="49">
        <v>2031.3333333333333</v>
      </c>
      <c r="T28" s="49">
        <v>2031.3333333333333</v>
      </c>
      <c r="U28" s="49">
        <v>0</v>
      </c>
      <c r="V28" s="49">
        <v>0</v>
      </c>
      <c r="W28" s="49">
        <v>0</v>
      </c>
      <c r="X28" s="49">
        <v>2031.3333333333333</v>
      </c>
      <c r="Y28" s="434">
        <v>6094</v>
      </c>
      <c r="Z28" s="434">
        <v>0</v>
      </c>
      <c r="AA28" s="49">
        <v>0</v>
      </c>
      <c r="AB28" s="49">
        <v>1</v>
      </c>
      <c r="AC28" s="49">
        <v>0</v>
      </c>
      <c r="AD28" s="285">
        <v>0</v>
      </c>
      <c r="AE28" s="285">
        <v>0</v>
      </c>
      <c r="AF28" s="359">
        <v>1</v>
      </c>
      <c r="AG28" s="360">
        <v>0</v>
      </c>
      <c r="AH28" s="360">
        <v>1</v>
      </c>
      <c r="AI28" s="361">
        <v>1</v>
      </c>
      <c r="AJ28" s="360">
        <v>0</v>
      </c>
      <c r="AK28" s="360">
        <v>0</v>
      </c>
      <c r="AL28" s="360">
        <v>0.93813004328239469</v>
      </c>
      <c r="AM28" s="360">
        <v>0.93813004328239469</v>
      </c>
      <c r="AN28" s="360">
        <v>0</v>
      </c>
      <c r="AO28" s="360">
        <v>0</v>
      </c>
      <c r="AP28" s="360">
        <v>0.95638919772553477</v>
      </c>
      <c r="AQ28" s="360">
        <v>0.95638919772553477</v>
      </c>
      <c r="AR28" s="360">
        <v>0</v>
      </c>
      <c r="AS28" s="360">
        <v>0</v>
      </c>
      <c r="AT28" s="360">
        <v>0</v>
      </c>
      <c r="AU28" s="360">
        <v>0.88008797810902761</v>
      </c>
      <c r="AV28" s="360">
        <v>0.90864568066751805</v>
      </c>
      <c r="AW28" s="360">
        <v>0.93813004328239469</v>
      </c>
      <c r="AX28" s="360">
        <v>0.96857113485917723</v>
      </c>
      <c r="AY28" s="360">
        <v>1</v>
      </c>
      <c r="AZ28" s="360">
        <v>0.91468029752609203</v>
      </c>
      <c r="BA28" s="360">
        <v>0.93530228050953268</v>
      </c>
      <c r="BB28" s="360">
        <v>0.95638919772553477</v>
      </c>
      <c r="BC28" s="360">
        <v>0.97795153137849056</v>
      </c>
      <c r="BD28" s="360">
        <v>1</v>
      </c>
      <c r="BE28" s="360">
        <v>0</v>
      </c>
      <c r="BF28" s="360">
        <v>0</v>
      </c>
      <c r="BG28" s="360">
        <v>0</v>
      </c>
      <c r="BH28" s="360">
        <v>0</v>
      </c>
      <c r="BI28" s="360">
        <v>0</v>
      </c>
      <c r="BJ28" s="362">
        <v>1.0113602926853151</v>
      </c>
      <c r="BK28" s="362">
        <v>1.0228496416205264</v>
      </c>
      <c r="BL28" s="362">
        <v>1.0344695129224053</v>
      </c>
      <c r="BM28" s="363">
        <v>1.0276683297434543</v>
      </c>
      <c r="BN28" s="363">
        <v>1.0209118613599186</v>
      </c>
      <c r="BO28" s="363">
        <v>1.0176517593387231</v>
      </c>
      <c r="BP28" s="363">
        <v>1.0144020678785084</v>
      </c>
      <c r="BQ28" s="363">
        <v>1.0111627537349834</v>
      </c>
      <c r="BR28" s="363">
        <v>1.0079337837700171</v>
      </c>
      <c r="BS28" s="363">
        <v>1.0047151249512991</v>
      </c>
      <c r="BT28" s="363">
        <v>1.0121469704103538</v>
      </c>
      <c r="BU28" s="363">
        <v>1.0196337889911975</v>
      </c>
      <c r="BV28" s="363">
        <v>1.0271759873282436</v>
      </c>
      <c r="BW28" s="363">
        <v>1.0347739750637679</v>
      </c>
      <c r="BX28" s="363">
        <v>1.0424281648701552</v>
      </c>
      <c r="BY28" s="435">
        <v>1.0466300019192922</v>
      </c>
      <c r="BZ28" s="435">
        <v>1.0508318389684292</v>
      </c>
      <c r="CA28" s="435">
        <v>1.0550336760175665</v>
      </c>
      <c r="CB28" s="435">
        <v>1.0592355130667035</v>
      </c>
      <c r="CC28" s="363">
        <v>1.0634373501158405</v>
      </c>
      <c r="CD28" s="435">
        <v>1.0668816145738524</v>
      </c>
      <c r="CE28" s="435">
        <v>1.0703258790318642</v>
      </c>
      <c r="CF28" s="435">
        <v>1.0737701434898761</v>
      </c>
      <c r="CG28" s="435">
        <v>1.0772144079478878</v>
      </c>
      <c r="CH28" s="363">
        <v>1.0806586724058997</v>
      </c>
      <c r="CI28" s="362">
        <v>1.0113602926853151</v>
      </c>
      <c r="CJ28" s="362">
        <v>1.0228496416205264</v>
      </c>
      <c r="CK28" s="362">
        <v>1.0344695129224053</v>
      </c>
      <c r="CL28" s="363">
        <v>1.0276683297434543</v>
      </c>
      <c r="CM28" s="363">
        <v>1.0209118613599186</v>
      </c>
      <c r="CN28" s="363">
        <v>1.0176517593387231</v>
      </c>
      <c r="CO28" s="363">
        <v>1.0144020678785084</v>
      </c>
      <c r="CP28" s="363">
        <v>1.0111627537349834</v>
      </c>
      <c r="CQ28" s="363">
        <v>1.0079337837700171</v>
      </c>
      <c r="CR28" s="363">
        <v>1.0047151249512991</v>
      </c>
      <c r="CS28" s="363">
        <v>1.0121469704103538</v>
      </c>
      <c r="CT28" s="363">
        <v>1.0196337889911975</v>
      </c>
      <c r="CU28" s="363">
        <v>1.0271759873282436</v>
      </c>
      <c r="CV28" s="363">
        <v>1.0347739750637679</v>
      </c>
      <c r="CW28" s="363">
        <v>1.0424281648701552</v>
      </c>
      <c r="CX28" s="435">
        <v>1.0466300019192922</v>
      </c>
      <c r="CY28" s="435">
        <v>1.0508318389684292</v>
      </c>
      <c r="CZ28" s="435">
        <v>1.0550336760175665</v>
      </c>
      <c r="DA28" s="435">
        <v>1.0592355130667035</v>
      </c>
      <c r="DB28" s="363">
        <v>1.0634373501158405</v>
      </c>
      <c r="DC28" s="435">
        <v>1.0668816145738524</v>
      </c>
      <c r="DD28" s="435">
        <v>1.0703258790318642</v>
      </c>
      <c r="DE28" s="435">
        <v>1.0737701434898761</v>
      </c>
      <c r="DF28" s="435">
        <v>1.0772144079478878</v>
      </c>
      <c r="DG28" s="363">
        <v>1.0806586724058997</v>
      </c>
      <c r="DH28" s="362">
        <v>0</v>
      </c>
      <c r="DI28" s="362">
        <v>0</v>
      </c>
      <c r="DJ28" s="362">
        <v>0</v>
      </c>
      <c r="DK28" s="363">
        <v>0</v>
      </c>
      <c r="DL28" s="363">
        <v>0</v>
      </c>
      <c r="DM28" s="363">
        <v>0</v>
      </c>
      <c r="DN28" s="363">
        <v>0</v>
      </c>
      <c r="DO28" s="363">
        <v>0</v>
      </c>
      <c r="DP28" s="363">
        <v>0</v>
      </c>
      <c r="DQ28" s="363">
        <v>0</v>
      </c>
      <c r="DR28" s="363">
        <v>0</v>
      </c>
      <c r="DS28" s="363">
        <v>0</v>
      </c>
      <c r="DT28" s="363">
        <v>0</v>
      </c>
      <c r="DU28" s="363">
        <v>0</v>
      </c>
      <c r="DV28" s="363">
        <v>0</v>
      </c>
      <c r="DW28" s="435">
        <v>0</v>
      </c>
      <c r="DX28" s="435">
        <v>0</v>
      </c>
      <c r="DY28" s="435">
        <v>0</v>
      </c>
      <c r="DZ28" s="435">
        <v>0</v>
      </c>
      <c r="EA28" s="363">
        <v>0</v>
      </c>
      <c r="EB28" s="435">
        <v>0</v>
      </c>
      <c r="EC28" s="435">
        <v>0</v>
      </c>
      <c r="ED28" s="435">
        <v>0</v>
      </c>
      <c r="EE28" s="435">
        <v>0</v>
      </c>
      <c r="EF28" s="363">
        <v>0</v>
      </c>
      <c r="EG28" s="364">
        <v>0</v>
      </c>
      <c r="EH28" s="364">
        <v>0</v>
      </c>
      <c r="EI28" s="364">
        <v>0</v>
      </c>
      <c r="EJ28" s="365">
        <v>0</v>
      </c>
      <c r="EK28" s="365">
        <v>0</v>
      </c>
      <c r="EL28" s="365">
        <v>0</v>
      </c>
      <c r="EM28" s="365">
        <v>0</v>
      </c>
      <c r="EN28" s="365">
        <v>0</v>
      </c>
      <c r="EO28" s="365">
        <v>0</v>
      </c>
      <c r="EP28" s="365">
        <v>0</v>
      </c>
      <c r="EQ28" s="365">
        <v>0</v>
      </c>
      <c r="ER28" s="365">
        <v>0</v>
      </c>
      <c r="ES28" s="365">
        <v>0</v>
      </c>
      <c r="ET28" s="365">
        <v>0</v>
      </c>
      <c r="EU28" s="365">
        <v>0</v>
      </c>
      <c r="EV28" s="436">
        <v>0</v>
      </c>
      <c r="EW28" s="436">
        <v>0</v>
      </c>
      <c r="EX28" s="436">
        <v>0</v>
      </c>
      <c r="EY28" s="436">
        <v>0</v>
      </c>
      <c r="EZ28" s="365">
        <v>0</v>
      </c>
      <c r="FA28" s="436">
        <v>0</v>
      </c>
      <c r="FB28" s="436">
        <v>0</v>
      </c>
      <c r="FC28" s="436">
        <v>0</v>
      </c>
      <c r="FD28" s="436">
        <v>0</v>
      </c>
      <c r="FE28" s="365">
        <v>0</v>
      </c>
      <c r="FF28" s="364">
        <v>0</v>
      </c>
      <c r="FG28" s="364">
        <v>0</v>
      </c>
      <c r="FH28" s="364">
        <v>0</v>
      </c>
      <c r="FI28" s="365">
        <v>0</v>
      </c>
      <c r="FJ28" s="365">
        <v>0</v>
      </c>
      <c r="FK28" s="365">
        <v>0</v>
      </c>
      <c r="FL28" s="365">
        <v>0</v>
      </c>
      <c r="FM28" s="365">
        <v>0</v>
      </c>
      <c r="FN28" s="365">
        <v>0</v>
      </c>
      <c r="FO28" s="365">
        <v>0</v>
      </c>
      <c r="FP28" s="365">
        <v>0</v>
      </c>
      <c r="FQ28" s="365">
        <v>0</v>
      </c>
      <c r="FR28" s="365">
        <v>0</v>
      </c>
      <c r="FS28" s="365">
        <v>0</v>
      </c>
      <c r="FT28" s="365">
        <v>0</v>
      </c>
      <c r="FU28" s="436">
        <v>0</v>
      </c>
      <c r="FV28" s="436">
        <v>0</v>
      </c>
      <c r="FW28" s="436">
        <v>0</v>
      </c>
      <c r="FX28" s="436">
        <v>0</v>
      </c>
      <c r="FY28" s="365">
        <v>0</v>
      </c>
      <c r="FZ28" s="436">
        <v>0</v>
      </c>
      <c r="GA28" s="436">
        <v>0</v>
      </c>
      <c r="GB28" s="436">
        <v>0</v>
      </c>
      <c r="GC28" s="436">
        <v>0</v>
      </c>
      <c r="GD28" s="365">
        <v>0</v>
      </c>
    </row>
    <row r="29" spans="1:186" ht="15" x14ac:dyDescent="0.25">
      <c r="A29" s="357">
        <v>137</v>
      </c>
      <c r="B29" s="357">
        <v>64</v>
      </c>
      <c r="C29" s="357" t="s">
        <v>938</v>
      </c>
      <c r="D29" s="2">
        <v>99714</v>
      </c>
      <c r="E29" s="268" t="s">
        <v>19</v>
      </c>
      <c r="F29" s="358" t="s">
        <v>915</v>
      </c>
      <c r="G29" s="49">
        <v>2</v>
      </c>
      <c r="H29" s="49">
        <v>5</v>
      </c>
      <c r="I29" s="49">
        <v>2</v>
      </c>
      <c r="J29" s="49">
        <v>3</v>
      </c>
      <c r="K29" s="49">
        <v>1</v>
      </c>
      <c r="L29" s="49">
        <v>10</v>
      </c>
      <c r="M29" s="49">
        <v>11</v>
      </c>
      <c r="N29" s="49">
        <v>1</v>
      </c>
      <c r="O29" s="49">
        <v>0</v>
      </c>
      <c r="P29" s="49">
        <v>0</v>
      </c>
      <c r="Q29" s="49">
        <v>12</v>
      </c>
      <c r="R29" s="49">
        <v>2784</v>
      </c>
      <c r="S29" s="49">
        <v>1988.7</v>
      </c>
      <c r="T29" s="49">
        <v>2061</v>
      </c>
      <c r="U29" s="49">
        <v>2418</v>
      </c>
      <c r="V29" s="49">
        <v>0</v>
      </c>
      <c r="W29" s="49">
        <v>0</v>
      </c>
      <c r="X29" s="49">
        <v>2090.75</v>
      </c>
      <c r="Y29" s="434">
        <v>22671</v>
      </c>
      <c r="Z29" s="434">
        <v>2418</v>
      </c>
      <c r="AA29" s="49">
        <v>0.45454545454545453</v>
      </c>
      <c r="AB29" s="49">
        <v>4.5454545454545459</v>
      </c>
      <c r="AC29" s="49">
        <v>0</v>
      </c>
      <c r="AD29" s="285">
        <v>1</v>
      </c>
      <c r="AE29" s="285">
        <v>0</v>
      </c>
      <c r="AF29" s="359">
        <v>6</v>
      </c>
      <c r="AG29" s="360">
        <v>0.18181818181818182</v>
      </c>
      <c r="AH29" s="360">
        <v>1.8181818181818183</v>
      </c>
      <c r="AI29" s="361">
        <v>2</v>
      </c>
      <c r="AJ29" s="360">
        <v>0</v>
      </c>
      <c r="AK29" s="360">
        <v>0.42642274694654303</v>
      </c>
      <c r="AL29" s="360">
        <v>4.264227469465431</v>
      </c>
      <c r="AM29" s="360">
        <v>4.6906502164119743</v>
      </c>
      <c r="AN29" s="360">
        <v>0</v>
      </c>
      <c r="AO29" s="360">
        <v>0.17388894504100633</v>
      </c>
      <c r="AP29" s="360">
        <v>1.7388894504100634</v>
      </c>
      <c r="AQ29" s="360">
        <v>1.9127783954510698</v>
      </c>
      <c r="AR29" s="360">
        <v>0</v>
      </c>
      <c r="AS29" s="360">
        <v>0.96638421298841071</v>
      </c>
      <c r="AT29" s="360">
        <v>0</v>
      </c>
      <c r="AU29" s="360">
        <v>4.4004398905451376</v>
      </c>
      <c r="AV29" s="360">
        <v>4.54322840333759</v>
      </c>
      <c r="AW29" s="360">
        <v>4.6906502164119734</v>
      </c>
      <c r="AX29" s="360">
        <v>4.8428556742958868</v>
      </c>
      <c r="AY29" s="360">
        <v>5</v>
      </c>
      <c r="AZ29" s="360">
        <v>1.8293605950521841</v>
      </c>
      <c r="BA29" s="360">
        <v>1.8706045610190654</v>
      </c>
      <c r="BB29" s="360">
        <v>1.9127783954510695</v>
      </c>
      <c r="BC29" s="360">
        <v>1.9559030627569811</v>
      </c>
      <c r="BD29" s="360">
        <v>2</v>
      </c>
      <c r="BE29" s="360">
        <v>0.93389844711322989</v>
      </c>
      <c r="BF29" s="360">
        <v>0.95000248200971427</v>
      </c>
      <c r="BG29" s="360">
        <v>0.96638421298841071</v>
      </c>
      <c r="BH29" s="360">
        <v>0.98304842860787411</v>
      </c>
      <c r="BI29" s="360">
        <v>1</v>
      </c>
      <c r="BJ29" s="362">
        <v>5.0568014634265754</v>
      </c>
      <c r="BK29" s="362">
        <v>5.1142482081026319</v>
      </c>
      <c r="BL29" s="362">
        <v>5.1723475646120267</v>
      </c>
      <c r="BM29" s="363">
        <v>5.1383416487172724</v>
      </c>
      <c r="BN29" s="363">
        <v>5.1045593067995929</v>
      </c>
      <c r="BO29" s="363">
        <v>5.0882587966936157</v>
      </c>
      <c r="BP29" s="363">
        <v>5.0720103393925422</v>
      </c>
      <c r="BQ29" s="363">
        <v>5.0558137686749172</v>
      </c>
      <c r="BR29" s="363">
        <v>5.0396689188500856</v>
      </c>
      <c r="BS29" s="363">
        <v>5.0235756247564956</v>
      </c>
      <c r="BT29" s="363">
        <v>5.0607348520517688</v>
      </c>
      <c r="BU29" s="363">
        <v>5.0981689449559875</v>
      </c>
      <c r="BV29" s="363">
        <v>5.1358799366412189</v>
      </c>
      <c r="BW29" s="363">
        <v>5.1738698753188395</v>
      </c>
      <c r="BX29" s="363">
        <v>5.2121408243507759</v>
      </c>
      <c r="BY29" s="435">
        <v>5.2331500095964616</v>
      </c>
      <c r="BZ29" s="435">
        <v>5.2541591948421464</v>
      </c>
      <c r="CA29" s="435">
        <v>5.2751683800878322</v>
      </c>
      <c r="CB29" s="435">
        <v>5.296177565333517</v>
      </c>
      <c r="CC29" s="363">
        <v>5.3171867505792028</v>
      </c>
      <c r="CD29" s="435">
        <v>5.3344080728692624</v>
      </c>
      <c r="CE29" s="435">
        <v>5.3516293951593212</v>
      </c>
      <c r="CF29" s="435">
        <v>5.3688507174493809</v>
      </c>
      <c r="CG29" s="435">
        <v>5.3860720397394397</v>
      </c>
      <c r="CH29" s="363">
        <v>5.4032933620294994</v>
      </c>
      <c r="CI29" s="362">
        <v>2.0227205853706303</v>
      </c>
      <c r="CJ29" s="362">
        <v>2.0456992832410528</v>
      </c>
      <c r="CK29" s="362">
        <v>2.0689390258448106</v>
      </c>
      <c r="CL29" s="363">
        <v>2.0553366594869087</v>
      </c>
      <c r="CM29" s="363">
        <v>2.0418237227198373</v>
      </c>
      <c r="CN29" s="363">
        <v>2.0353035186774462</v>
      </c>
      <c r="CO29" s="363">
        <v>2.0288041357570168</v>
      </c>
      <c r="CP29" s="363">
        <v>2.0223255074699669</v>
      </c>
      <c r="CQ29" s="363">
        <v>2.0158675675400342</v>
      </c>
      <c r="CR29" s="363">
        <v>2.0094302499025982</v>
      </c>
      <c r="CS29" s="363">
        <v>2.0242939408207077</v>
      </c>
      <c r="CT29" s="363">
        <v>2.039267577982395</v>
      </c>
      <c r="CU29" s="363">
        <v>2.0543519746564871</v>
      </c>
      <c r="CV29" s="363">
        <v>2.0695479501275358</v>
      </c>
      <c r="CW29" s="363">
        <v>2.0848563297403104</v>
      </c>
      <c r="CX29" s="435">
        <v>2.0932600038385845</v>
      </c>
      <c r="CY29" s="435">
        <v>2.1016636779368585</v>
      </c>
      <c r="CZ29" s="435">
        <v>2.110067352035133</v>
      </c>
      <c r="DA29" s="435">
        <v>2.118471026133407</v>
      </c>
      <c r="DB29" s="363">
        <v>2.126874700231681</v>
      </c>
      <c r="DC29" s="435">
        <v>2.1337632291477049</v>
      </c>
      <c r="DD29" s="435">
        <v>2.1406517580637283</v>
      </c>
      <c r="DE29" s="435">
        <v>2.1475402869797522</v>
      </c>
      <c r="DF29" s="435">
        <v>2.1544288158957756</v>
      </c>
      <c r="DG29" s="363">
        <v>2.1613173448117995</v>
      </c>
      <c r="DH29" s="362">
        <v>1.0113602926853151</v>
      </c>
      <c r="DI29" s="362">
        <v>1.0228496416205264</v>
      </c>
      <c r="DJ29" s="362">
        <v>1.0344695129224053</v>
      </c>
      <c r="DK29" s="363">
        <v>1.0276683297434543</v>
      </c>
      <c r="DL29" s="363">
        <v>1.0209118613599186</v>
      </c>
      <c r="DM29" s="363">
        <v>1.0176517593387231</v>
      </c>
      <c r="DN29" s="363">
        <v>1.0144020678785084</v>
      </c>
      <c r="DO29" s="363">
        <v>1.0111627537349834</v>
      </c>
      <c r="DP29" s="363">
        <v>1.0079337837700171</v>
      </c>
      <c r="DQ29" s="363">
        <v>1.0047151249512991</v>
      </c>
      <c r="DR29" s="363">
        <v>1.0121469704103538</v>
      </c>
      <c r="DS29" s="363">
        <v>1.0196337889911975</v>
      </c>
      <c r="DT29" s="363">
        <v>1.0271759873282436</v>
      </c>
      <c r="DU29" s="363">
        <v>1.0347739750637679</v>
      </c>
      <c r="DV29" s="363">
        <v>1.0424281648701552</v>
      </c>
      <c r="DW29" s="435">
        <v>1.0466300019192922</v>
      </c>
      <c r="DX29" s="435">
        <v>1.0508318389684292</v>
      </c>
      <c r="DY29" s="435">
        <v>1.0550336760175665</v>
      </c>
      <c r="DZ29" s="435">
        <v>1.0592355130667035</v>
      </c>
      <c r="EA29" s="363">
        <v>1.0634373501158405</v>
      </c>
      <c r="EB29" s="435">
        <v>1.0668816145738524</v>
      </c>
      <c r="EC29" s="435">
        <v>1.0703258790318642</v>
      </c>
      <c r="ED29" s="435">
        <v>1.0737701434898761</v>
      </c>
      <c r="EE29" s="435">
        <v>1.0772144079478878</v>
      </c>
      <c r="EF29" s="363">
        <v>1.0806586724058997</v>
      </c>
      <c r="EG29" s="364">
        <v>0</v>
      </c>
      <c r="EH29" s="364">
        <v>0</v>
      </c>
      <c r="EI29" s="364">
        <v>0</v>
      </c>
      <c r="EJ29" s="365">
        <v>0</v>
      </c>
      <c r="EK29" s="365">
        <v>0</v>
      </c>
      <c r="EL29" s="365">
        <v>0</v>
      </c>
      <c r="EM29" s="365">
        <v>0</v>
      </c>
      <c r="EN29" s="365">
        <v>0</v>
      </c>
      <c r="EO29" s="365">
        <v>0</v>
      </c>
      <c r="EP29" s="365">
        <v>0</v>
      </c>
      <c r="EQ29" s="365">
        <v>0</v>
      </c>
      <c r="ER29" s="365">
        <v>0</v>
      </c>
      <c r="ES29" s="365">
        <v>0</v>
      </c>
      <c r="ET29" s="365">
        <v>0</v>
      </c>
      <c r="EU29" s="365">
        <v>0</v>
      </c>
      <c r="EV29" s="436">
        <v>0</v>
      </c>
      <c r="EW29" s="436">
        <v>0</v>
      </c>
      <c r="EX29" s="436">
        <v>0</v>
      </c>
      <c r="EY29" s="436">
        <v>0</v>
      </c>
      <c r="EZ29" s="365">
        <v>0</v>
      </c>
      <c r="FA29" s="436">
        <v>0</v>
      </c>
      <c r="FB29" s="436">
        <v>0</v>
      </c>
      <c r="FC29" s="436">
        <v>0</v>
      </c>
      <c r="FD29" s="436">
        <v>0</v>
      </c>
      <c r="FE29" s="365">
        <v>0</v>
      </c>
      <c r="FF29" s="364">
        <v>0</v>
      </c>
      <c r="FG29" s="364">
        <v>0</v>
      </c>
      <c r="FH29" s="364">
        <v>0</v>
      </c>
      <c r="FI29" s="365">
        <v>0</v>
      </c>
      <c r="FJ29" s="365">
        <v>0</v>
      </c>
      <c r="FK29" s="365">
        <v>0</v>
      </c>
      <c r="FL29" s="365">
        <v>0</v>
      </c>
      <c r="FM29" s="365">
        <v>0</v>
      </c>
      <c r="FN29" s="365">
        <v>0</v>
      </c>
      <c r="FO29" s="365">
        <v>0</v>
      </c>
      <c r="FP29" s="365">
        <v>0</v>
      </c>
      <c r="FQ29" s="365">
        <v>0</v>
      </c>
      <c r="FR29" s="365">
        <v>0</v>
      </c>
      <c r="FS29" s="365">
        <v>0</v>
      </c>
      <c r="FT29" s="365">
        <v>0</v>
      </c>
      <c r="FU29" s="436">
        <v>0</v>
      </c>
      <c r="FV29" s="436">
        <v>0</v>
      </c>
      <c r="FW29" s="436">
        <v>0</v>
      </c>
      <c r="FX29" s="436">
        <v>0</v>
      </c>
      <c r="FY29" s="365">
        <v>0</v>
      </c>
      <c r="FZ29" s="436">
        <v>0</v>
      </c>
      <c r="GA29" s="436">
        <v>0</v>
      </c>
      <c r="GB29" s="436">
        <v>0</v>
      </c>
      <c r="GC29" s="436">
        <v>0</v>
      </c>
      <c r="GD29" s="365">
        <v>0</v>
      </c>
    </row>
    <row r="30" spans="1:186" ht="15" x14ac:dyDescent="0.25">
      <c r="A30" s="357">
        <v>143</v>
      </c>
      <c r="B30" s="357">
        <v>64</v>
      </c>
      <c r="C30" s="357" t="s">
        <v>939</v>
      </c>
      <c r="D30" s="2">
        <v>99714</v>
      </c>
      <c r="E30" s="268" t="s">
        <v>19</v>
      </c>
      <c r="F30" s="358" t="s">
        <v>915</v>
      </c>
      <c r="G30" s="49">
        <v>15</v>
      </c>
      <c r="H30" s="49">
        <v>23</v>
      </c>
      <c r="I30" s="49">
        <v>8</v>
      </c>
      <c r="J30" s="49">
        <v>15</v>
      </c>
      <c r="K30" s="49">
        <v>0</v>
      </c>
      <c r="L30" s="49">
        <v>1</v>
      </c>
      <c r="M30" s="49">
        <v>1</v>
      </c>
      <c r="N30" s="49">
        <v>0</v>
      </c>
      <c r="O30" s="49">
        <v>0</v>
      </c>
      <c r="P30" s="49">
        <v>0</v>
      </c>
      <c r="Q30" s="49">
        <v>1</v>
      </c>
      <c r="R30" s="49">
        <v>0</v>
      </c>
      <c r="S30" s="49">
        <v>1120</v>
      </c>
      <c r="T30" s="49">
        <v>1120</v>
      </c>
      <c r="U30" s="49">
        <v>0</v>
      </c>
      <c r="V30" s="49">
        <v>0</v>
      </c>
      <c r="W30" s="49">
        <v>0</v>
      </c>
      <c r="X30" s="49">
        <v>1120</v>
      </c>
      <c r="Y30" s="434">
        <v>1120</v>
      </c>
      <c r="Z30" s="434">
        <v>0</v>
      </c>
      <c r="AA30" s="49">
        <v>0</v>
      </c>
      <c r="AB30" s="49">
        <v>23</v>
      </c>
      <c r="AC30" s="49">
        <v>0</v>
      </c>
      <c r="AD30" s="285">
        <v>0</v>
      </c>
      <c r="AE30" s="285">
        <v>0</v>
      </c>
      <c r="AF30" s="359">
        <v>23</v>
      </c>
      <c r="AG30" s="360">
        <v>0</v>
      </c>
      <c r="AH30" s="360">
        <v>8</v>
      </c>
      <c r="AI30" s="361">
        <v>8</v>
      </c>
      <c r="AJ30" s="360">
        <v>0</v>
      </c>
      <c r="AK30" s="360">
        <v>0</v>
      </c>
      <c r="AL30" s="360">
        <v>21.576990995495077</v>
      </c>
      <c r="AM30" s="360">
        <v>21.576990995495077</v>
      </c>
      <c r="AN30" s="360">
        <v>0</v>
      </c>
      <c r="AO30" s="360">
        <v>0</v>
      </c>
      <c r="AP30" s="360">
        <v>7.6511135818042781</v>
      </c>
      <c r="AQ30" s="360">
        <v>7.6511135818042781</v>
      </c>
      <c r="AR30" s="360">
        <v>0</v>
      </c>
      <c r="AS30" s="360">
        <v>0</v>
      </c>
      <c r="AT30" s="360">
        <v>0</v>
      </c>
      <c r="AU30" s="360">
        <v>20.242023496507635</v>
      </c>
      <c r="AV30" s="360">
        <v>20.898850655352916</v>
      </c>
      <c r="AW30" s="360">
        <v>21.576990995495077</v>
      </c>
      <c r="AX30" s="360">
        <v>22.277136101761077</v>
      </c>
      <c r="AY30" s="360">
        <v>23</v>
      </c>
      <c r="AZ30" s="360">
        <v>7.3174423802087363</v>
      </c>
      <c r="BA30" s="360">
        <v>7.4824182440762614</v>
      </c>
      <c r="BB30" s="360">
        <v>7.6511135818042781</v>
      </c>
      <c r="BC30" s="360">
        <v>7.8236122510279245</v>
      </c>
      <c r="BD30" s="360">
        <v>8</v>
      </c>
      <c r="BE30" s="360">
        <v>0</v>
      </c>
      <c r="BF30" s="360">
        <v>0</v>
      </c>
      <c r="BG30" s="360">
        <v>0</v>
      </c>
      <c r="BH30" s="360">
        <v>0</v>
      </c>
      <c r="BI30" s="360">
        <v>0</v>
      </c>
      <c r="BJ30" s="362">
        <v>23.261286731762247</v>
      </c>
      <c r="BK30" s="362">
        <v>23.525541757272109</v>
      </c>
      <c r="BL30" s="362">
        <v>23.792798797215323</v>
      </c>
      <c r="BM30" s="363">
        <v>23.63637158409945</v>
      </c>
      <c r="BN30" s="363">
        <v>23.480972811278129</v>
      </c>
      <c r="BO30" s="363">
        <v>23.405990464790634</v>
      </c>
      <c r="BP30" s="363">
        <v>23.331247561205693</v>
      </c>
      <c r="BQ30" s="363">
        <v>23.25674333590462</v>
      </c>
      <c r="BR30" s="363">
        <v>23.182477026710394</v>
      </c>
      <c r="BS30" s="363">
        <v>23.108447873879882</v>
      </c>
      <c r="BT30" s="363">
        <v>23.27938031943814</v>
      </c>
      <c r="BU30" s="363">
        <v>23.451577146797543</v>
      </c>
      <c r="BV30" s="363">
        <v>23.625047708549605</v>
      </c>
      <c r="BW30" s="363">
        <v>23.799801426466662</v>
      </c>
      <c r="BX30" s="363">
        <v>23.975847792013568</v>
      </c>
      <c r="BY30" s="435">
        <v>24.07249004414372</v>
      </c>
      <c r="BZ30" s="435">
        <v>24.169132296273872</v>
      </c>
      <c r="CA30" s="435">
        <v>24.265774548404028</v>
      </c>
      <c r="CB30" s="435">
        <v>24.362416800534181</v>
      </c>
      <c r="CC30" s="363">
        <v>24.459059052664333</v>
      </c>
      <c r="CD30" s="435">
        <v>24.538277135198605</v>
      </c>
      <c r="CE30" s="435">
        <v>24.617495217732877</v>
      </c>
      <c r="CF30" s="435">
        <v>24.696713300267152</v>
      </c>
      <c r="CG30" s="435">
        <v>24.775931382801424</v>
      </c>
      <c r="CH30" s="363">
        <v>24.855149465335696</v>
      </c>
      <c r="CI30" s="362">
        <v>8.0908823414825211</v>
      </c>
      <c r="CJ30" s="362">
        <v>8.1827971329642111</v>
      </c>
      <c r="CK30" s="362">
        <v>8.2757561033792424</v>
      </c>
      <c r="CL30" s="363">
        <v>8.2213466379476348</v>
      </c>
      <c r="CM30" s="363">
        <v>8.167294890879349</v>
      </c>
      <c r="CN30" s="363">
        <v>8.1412140747097848</v>
      </c>
      <c r="CO30" s="363">
        <v>8.1152165430280672</v>
      </c>
      <c r="CP30" s="363">
        <v>8.0893020298798675</v>
      </c>
      <c r="CQ30" s="363">
        <v>8.0634702701601366</v>
      </c>
      <c r="CR30" s="363">
        <v>8.0377209996103929</v>
      </c>
      <c r="CS30" s="363">
        <v>8.0971757632828307</v>
      </c>
      <c r="CT30" s="363">
        <v>8.15707031192958</v>
      </c>
      <c r="CU30" s="363">
        <v>8.2174078986259484</v>
      </c>
      <c r="CV30" s="363">
        <v>8.2781918005101431</v>
      </c>
      <c r="CW30" s="363">
        <v>8.3394253189612417</v>
      </c>
      <c r="CX30" s="435">
        <v>8.3730400153543378</v>
      </c>
      <c r="CY30" s="435">
        <v>8.406654711747434</v>
      </c>
      <c r="CZ30" s="435">
        <v>8.4402694081405318</v>
      </c>
      <c r="DA30" s="435">
        <v>8.4738841045336279</v>
      </c>
      <c r="DB30" s="363">
        <v>8.5074988009267241</v>
      </c>
      <c r="DC30" s="435">
        <v>8.5350529165908195</v>
      </c>
      <c r="DD30" s="435">
        <v>8.5626070322549133</v>
      </c>
      <c r="DE30" s="435">
        <v>8.5901611479190088</v>
      </c>
      <c r="DF30" s="435">
        <v>8.6177152635831025</v>
      </c>
      <c r="DG30" s="363">
        <v>8.645269379247198</v>
      </c>
      <c r="DH30" s="362">
        <v>0</v>
      </c>
      <c r="DI30" s="362">
        <v>0</v>
      </c>
      <c r="DJ30" s="362">
        <v>0</v>
      </c>
      <c r="DK30" s="363">
        <v>0</v>
      </c>
      <c r="DL30" s="363">
        <v>0</v>
      </c>
      <c r="DM30" s="363">
        <v>0</v>
      </c>
      <c r="DN30" s="363">
        <v>0</v>
      </c>
      <c r="DO30" s="363">
        <v>0</v>
      </c>
      <c r="DP30" s="363">
        <v>0</v>
      </c>
      <c r="DQ30" s="363">
        <v>0</v>
      </c>
      <c r="DR30" s="363">
        <v>0</v>
      </c>
      <c r="DS30" s="363">
        <v>0</v>
      </c>
      <c r="DT30" s="363">
        <v>0</v>
      </c>
      <c r="DU30" s="363">
        <v>0</v>
      </c>
      <c r="DV30" s="363">
        <v>0</v>
      </c>
      <c r="DW30" s="435">
        <v>0</v>
      </c>
      <c r="DX30" s="435">
        <v>0</v>
      </c>
      <c r="DY30" s="435">
        <v>0</v>
      </c>
      <c r="DZ30" s="435">
        <v>0</v>
      </c>
      <c r="EA30" s="363">
        <v>0</v>
      </c>
      <c r="EB30" s="435">
        <v>0</v>
      </c>
      <c r="EC30" s="435">
        <v>0</v>
      </c>
      <c r="ED30" s="435">
        <v>0</v>
      </c>
      <c r="EE30" s="435">
        <v>0</v>
      </c>
      <c r="EF30" s="363">
        <v>0</v>
      </c>
      <c r="EG30" s="364">
        <v>0</v>
      </c>
      <c r="EH30" s="364">
        <v>0</v>
      </c>
      <c r="EI30" s="364">
        <v>0</v>
      </c>
      <c r="EJ30" s="365">
        <v>0</v>
      </c>
      <c r="EK30" s="365">
        <v>0</v>
      </c>
      <c r="EL30" s="365">
        <v>0</v>
      </c>
      <c r="EM30" s="365">
        <v>0</v>
      </c>
      <c r="EN30" s="365">
        <v>0</v>
      </c>
      <c r="EO30" s="365">
        <v>0</v>
      </c>
      <c r="EP30" s="365">
        <v>0</v>
      </c>
      <c r="EQ30" s="365">
        <v>0</v>
      </c>
      <c r="ER30" s="365">
        <v>0</v>
      </c>
      <c r="ES30" s="365">
        <v>0</v>
      </c>
      <c r="ET30" s="365">
        <v>0</v>
      </c>
      <c r="EU30" s="365">
        <v>0</v>
      </c>
      <c r="EV30" s="436">
        <v>0</v>
      </c>
      <c r="EW30" s="436">
        <v>0</v>
      </c>
      <c r="EX30" s="436">
        <v>0</v>
      </c>
      <c r="EY30" s="436">
        <v>0</v>
      </c>
      <c r="EZ30" s="365">
        <v>0</v>
      </c>
      <c r="FA30" s="436">
        <v>0</v>
      </c>
      <c r="FB30" s="436">
        <v>0</v>
      </c>
      <c r="FC30" s="436">
        <v>0</v>
      </c>
      <c r="FD30" s="436">
        <v>0</v>
      </c>
      <c r="FE30" s="365">
        <v>0</v>
      </c>
      <c r="FF30" s="364">
        <v>0</v>
      </c>
      <c r="FG30" s="364">
        <v>0</v>
      </c>
      <c r="FH30" s="364">
        <v>0</v>
      </c>
      <c r="FI30" s="365">
        <v>0</v>
      </c>
      <c r="FJ30" s="365">
        <v>0</v>
      </c>
      <c r="FK30" s="365">
        <v>0</v>
      </c>
      <c r="FL30" s="365">
        <v>0</v>
      </c>
      <c r="FM30" s="365">
        <v>0</v>
      </c>
      <c r="FN30" s="365">
        <v>0</v>
      </c>
      <c r="FO30" s="365">
        <v>0</v>
      </c>
      <c r="FP30" s="365">
        <v>0</v>
      </c>
      <c r="FQ30" s="365">
        <v>0</v>
      </c>
      <c r="FR30" s="365">
        <v>0</v>
      </c>
      <c r="FS30" s="365">
        <v>0</v>
      </c>
      <c r="FT30" s="365">
        <v>0</v>
      </c>
      <c r="FU30" s="436">
        <v>0</v>
      </c>
      <c r="FV30" s="436">
        <v>0</v>
      </c>
      <c r="FW30" s="436">
        <v>0</v>
      </c>
      <c r="FX30" s="436">
        <v>0</v>
      </c>
      <c r="FY30" s="365">
        <v>0</v>
      </c>
      <c r="FZ30" s="436">
        <v>0</v>
      </c>
      <c r="GA30" s="436">
        <v>0</v>
      </c>
      <c r="GB30" s="436">
        <v>0</v>
      </c>
      <c r="GC30" s="436">
        <v>0</v>
      </c>
      <c r="GD30" s="365">
        <v>0</v>
      </c>
    </row>
    <row r="31" spans="1:186" ht="15" x14ac:dyDescent="0.25">
      <c r="A31" s="357">
        <v>136</v>
      </c>
      <c r="B31" s="357">
        <v>65</v>
      </c>
      <c r="C31" s="357" t="s">
        <v>940</v>
      </c>
      <c r="D31" s="2">
        <v>99714</v>
      </c>
      <c r="E31" s="268" t="s">
        <v>19</v>
      </c>
      <c r="F31" s="358" t="s">
        <v>915</v>
      </c>
      <c r="G31" s="49">
        <v>79</v>
      </c>
      <c r="H31" s="49">
        <v>56</v>
      </c>
      <c r="I31" s="49">
        <v>36</v>
      </c>
      <c r="J31" s="49">
        <v>20</v>
      </c>
      <c r="K31" s="49">
        <v>0</v>
      </c>
      <c r="L31" s="49">
        <v>8</v>
      </c>
      <c r="M31" s="49">
        <v>8</v>
      </c>
      <c r="N31" s="49">
        <v>0</v>
      </c>
      <c r="O31" s="49">
        <v>0</v>
      </c>
      <c r="P31" s="49">
        <v>0</v>
      </c>
      <c r="Q31" s="49">
        <v>8</v>
      </c>
      <c r="R31" s="49">
        <v>0</v>
      </c>
      <c r="S31" s="49">
        <v>2156.75</v>
      </c>
      <c r="T31" s="49">
        <v>2156.75</v>
      </c>
      <c r="U31" s="49">
        <v>0</v>
      </c>
      <c r="V31" s="49">
        <v>0</v>
      </c>
      <c r="W31" s="49">
        <v>0</v>
      </c>
      <c r="X31" s="49">
        <v>2156.75</v>
      </c>
      <c r="Y31" s="434">
        <v>17254</v>
      </c>
      <c r="Z31" s="434">
        <v>0</v>
      </c>
      <c r="AA31" s="49">
        <v>0</v>
      </c>
      <c r="AB31" s="49">
        <v>56</v>
      </c>
      <c r="AC31" s="49">
        <v>0</v>
      </c>
      <c r="AD31" s="285">
        <v>0</v>
      </c>
      <c r="AE31" s="285">
        <v>0</v>
      </c>
      <c r="AF31" s="359">
        <v>56</v>
      </c>
      <c r="AG31" s="360">
        <v>0</v>
      </c>
      <c r="AH31" s="360">
        <v>36</v>
      </c>
      <c r="AI31" s="361">
        <v>36</v>
      </c>
      <c r="AJ31" s="360">
        <v>0</v>
      </c>
      <c r="AK31" s="360">
        <v>0</v>
      </c>
      <c r="AL31" s="360">
        <v>52.535282423814103</v>
      </c>
      <c r="AM31" s="360">
        <v>52.535282423814103</v>
      </c>
      <c r="AN31" s="360">
        <v>0</v>
      </c>
      <c r="AO31" s="360">
        <v>0</v>
      </c>
      <c r="AP31" s="360">
        <v>34.430011118119253</v>
      </c>
      <c r="AQ31" s="360">
        <v>34.430011118119253</v>
      </c>
      <c r="AR31" s="360">
        <v>0</v>
      </c>
      <c r="AS31" s="360">
        <v>0</v>
      </c>
      <c r="AT31" s="360">
        <v>0</v>
      </c>
      <c r="AU31" s="360">
        <v>49.284926774105543</v>
      </c>
      <c r="AV31" s="360">
        <v>50.884158117381013</v>
      </c>
      <c r="AW31" s="360">
        <v>52.535282423814103</v>
      </c>
      <c r="AX31" s="360">
        <v>54.239983552113927</v>
      </c>
      <c r="AY31" s="360">
        <v>56</v>
      </c>
      <c r="AZ31" s="360">
        <v>32.928490710939315</v>
      </c>
      <c r="BA31" s="360">
        <v>33.670882098343178</v>
      </c>
      <c r="BB31" s="360">
        <v>34.430011118119253</v>
      </c>
      <c r="BC31" s="360">
        <v>35.20625512962566</v>
      </c>
      <c r="BD31" s="360">
        <v>36</v>
      </c>
      <c r="BE31" s="360">
        <v>0</v>
      </c>
      <c r="BF31" s="360">
        <v>0</v>
      </c>
      <c r="BG31" s="360">
        <v>0</v>
      </c>
      <c r="BH31" s="360">
        <v>0</v>
      </c>
      <c r="BI31" s="360">
        <v>0</v>
      </c>
      <c r="BJ31" s="362">
        <v>56.636176390377649</v>
      </c>
      <c r="BK31" s="362">
        <v>57.279579930749478</v>
      </c>
      <c r="BL31" s="362">
        <v>57.930292723654695</v>
      </c>
      <c r="BM31" s="363">
        <v>57.549426465633445</v>
      </c>
      <c r="BN31" s="363">
        <v>57.171064236155438</v>
      </c>
      <c r="BO31" s="363">
        <v>56.988498522968491</v>
      </c>
      <c r="BP31" s="363">
        <v>56.806515801196468</v>
      </c>
      <c r="BQ31" s="363">
        <v>56.625114209159072</v>
      </c>
      <c r="BR31" s="363">
        <v>56.444291891120955</v>
      </c>
      <c r="BS31" s="363">
        <v>56.26404699727275</v>
      </c>
      <c r="BT31" s="363">
        <v>56.680230342979812</v>
      </c>
      <c r="BU31" s="363">
        <v>57.099492183507053</v>
      </c>
      <c r="BV31" s="363">
        <v>57.521855290381644</v>
      </c>
      <c r="BW31" s="363">
        <v>57.947342603571002</v>
      </c>
      <c r="BX31" s="363">
        <v>58.375977232728687</v>
      </c>
      <c r="BY31" s="435">
        <v>58.611280107480361</v>
      </c>
      <c r="BZ31" s="435">
        <v>58.846582982232036</v>
      </c>
      <c r="CA31" s="435">
        <v>59.081885856983718</v>
      </c>
      <c r="CB31" s="435">
        <v>59.317188731735392</v>
      </c>
      <c r="CC31" s="363">
        <v>59.552491606487067</v>
      </c>
      <c r="CD31" s="435">
        <v>59.745370416135728</v>
      </c>
      <c r="CE31" s="435">
        <v>59.938249225784396</v>
      </c>
      <c r="CF31" s="435">
        <v>60.131128035433058</v>
      </c>
      <c r="CG31" s="435">
        <v>60.324006845081726</v>
      </c>
      <c r="CH31" s="363">
        <v>60.516885654730388</v>
      </c>
      <c r="CI31" s="362">
        <v>36.408970536671347</v>
      </c>
      <c r="CJ31" s="362">
        <v>36.82258709833895</v>
      </c>
      <c r="CK31" s="362">
        <v>37.240902465206588</v>
      </c>
      <c r="CL31" s="363">
        <v>36.996059870764356</v>
      </c>
      <c r="CM31" s="363">
        <v>36.75282700895707</v>
      </c>
      <c r="CN31" s="363">
        <v>36.635463336194029</v>
      </c>
      <c r="CO31" s="363">
        <v>36.518474443626303</v>
      </c>
      <c r="CP31" s="363">
        <v>36.4018591344594</v>
      </c>
      <c r="CQ31" s="363">
        <v>36.285616215720616</v>
      </c>
      <c r="CR31" s="363">
        <v>36.169744498246764</v>
      </c>
      <c r="CS31" s="363">
        <v>36.437290934772733</v>
      </c>
      <c r="CT31" s="363">
        <v>36.706816403683106</v>
      </c>
      <c r="CU31" s="363">
        <v>36.978335543816769</v>
      </c>
      <c r="CV31" s="363">
        <v>37.251863102295637</v>
      </c>
      <c r="CW31" s="363">
        <v>37.527413935325583</v>
      </c>
      <c r="CX31" s="435">
        <v>37.678680069094519</v>
      </c>
      <c r="CY31" s="435">
        <v>37.829946202863454</v>
      </c>
      <c r="CZ31" s="435">
        <v>37.981212336632382</v>
      </c>
      <c r="DA31" s="435">
        <v>38.132478470401317</v>
      </c>
      <c r="DB31" s="363">
        <v>38.283744604170252</v>
      </c>
      <c r="DC31" s="435">
        <v>38.407738124658678</v>
      </c>
      <c r="DD31" s="435">
        <v>38.531731645147104</v>
      </c>
      <c r="DE31" s="435">
        <v>38.655725165635538</v>
      </c>
      <c r="DF31" s="435">
        <v>38.779718686123964</v>
      </c>
      <c r="DG31" s="363">
        <v>38.90371220661239</v>
      </c>
      <c r="DH31" s="362">
        <v>0</v>
      </c>
      <c r="DI31" s="362">
        <v>0</v>
      </c>
      <c r="DJ31" s="362">
        <v>0</v>
      </c>
      <c r="DK31" s="363">
        <v>0</v>
      </c>
      <c r="DL31" s="363">
        <v>0</v>
      </c>
      <c r="DM31" s="363">
        <v>0</v>
      </c>
      <c r="DN31" s="363">
        <v>0</v>
      </c>
      <c r="DO31" s="363">
        <v>0</v>
      </c>
      <c r="DP31" s="363">
        <v>0</v>
      </c>
      <c r="DQ31" s="363">
        <v>0</v>
      </c>
      <c r="DR31" s="363">
        <v>0</v>
      </c>
      <c r="DS31" s="363">
        <v>0</v>
      </c>
      <c r="DT31" s="363">
        <v>0</v>
      </c>
      <c r="DU31" s="363">
        <v>0</v>
      </c>
      <c r="DV31" s="363">
        <v>0</v>
      </c>
      <c r="DW31" s="435">
        <v>0</v>
      </c>
      <c r="DX31" s="435">
        <v>0</v>
      </c>
      <c r="DY31" s="435">
        <v>0</v>
      </c>
      <c r="DZ31" s="435">
        <v>0</v>
      </c>
      <c r="EA31" s="363">
        <v>0</v>
      </c>
      <c r="EB31" s="435">
        <v>0</v>
      </c>
      <c r="EC31" s="435">
        <v>0</v>
      </c>
      <c r="ED31" s="435">
        <v>0</v>
      </c>
      <c r="EE31" s="435">
        <v>0</v>
      </c>
      <c r="EF31" s="363">
        <v>0</v>
      </c>
      <c r="EG31" s="364">
        <v>0</v>
      </c>
      <c r="EH31" s="364">
        <v>0</v>
      </c>
      <c r="EI31" s="364">
        <v>0</v>
      </c>
      <c r="EJ31" s="365">
        <v>0</v>
      </c>
      <c r="EK31" s="365">
        <v>0</v>
      </c>
      <c r="EL31" s="365">
        <v>0</v>
      </c>
      <c r="EM31" s="365">
        <v>0</v>
      </c>
      <c r="EN31" s="365">
        <v>0</v>
      </c>
      <c r="EO31" s="365">
        <v>0</v>
      </c>
      <c r="EP31" s="365">
        <v>0</v>
      </c>
      <c r="EQ31" s="365">
        <v>0</v>
      </c>
      <c r="ER31" s="365">
        <v>0</v>
      </c>
      <c r="ES31" s="365">
        <v>0</v>
      </c>
      <c r="ET31" s="365">
        <v>0</v>
      </c>
      <c r="EU31" s="365">
        <v>0</v>
      </c>
      <c r="EV31" s="436">
        <v>0</v>
      </c>
      <c r="EW31" s="436">
        <v>0</v>
      </c>
      <c r="EX31" s="436">
        <v>0</v>
      </c>
      <c r="EY31" s="436">
        <v>0</v>
      </c>
      <c r="EZ31" s="365">
        <v>0</v>
      </c>
      <c r="FA31" s="436">
        <v>0</v>
      </c>
      <c r="FB31" s="436">
        <v>0</v>
      </c>
      <c r="FC31" s="436">
        <v>0</v>
      </c>
      <c r="FD31" s="436">
        <v>0</v>
      </c>
      <c r="FE31" s="365">
        <v>0</v>
      </c>
      <c r="FF31" s="364">
        <v>0</v>
      </c>
      <c r="FG31" s="364">
        <v>0</v>
      </c>
      <c r="FH31" s="364">
        <v>0</v>
      </c>
      <c r="FI31" s="365">
        <v>0</v>
      </c>
      <c r="FJ31" s="365">
        <v>0</v>
      </c>
      <c r="FK31" s="365">
        <v>0</v>
      </c>
      <c r="FL31" s="365">
        <v>0</v>
      </c>
      <c r="FM31" s="365">
        <v>0</v>
      </c>
      <c r="FN31" s="365">
        <v>0</v>
      </c>
      <c r="FO31" s="365">
        <v>0</v>
      </c>
      <c r="FP31" s="365">
        <v>0</v>
      </c>
      <c r="FQ31" s="365">
        <v>0</v>
      </c>
      <c r="FR31" s="365">
        <v>0</v>
      </c>
      <c r="FS31" s="365">
        <v>0</v>
      </c>
      <c r="FT31" s="365">
        <v>0</v>
      </c>
      <c r="FU31" s="436">
        <v>0</v>
      </c>
      <c r="FV31" s="436">
        <v>0</v>
      </c>
      <c r="FW31" s="436">
        <v>0</v>
      </c>
      <c r="FX31" s="436">
        <v>0</v>
      </c>
      <c r="FY31" s="365">
        <v>0</v>
      </c>
      <c r="FZ31" s="436">
        <v>0</v>
      </c>
      <c r="GA31" s="436">
        <v>0</v>
      </c>
      <c r="GB31" s="436">
        <v>0</v>
      </c>
      <c r="GC31" s="436">
        <v>0</v>
      </c>
      <c r="GD31" s="365">
        <v>0</v>
      </c>
    </row>
    <row r="32" spans="1:186" ht="15" x14ac:dyDescent="0.25">
      <c r="A32" s="357">
        <v>141</v>
      </c>
      <c r="B32" s="357">
        <v>66</v>
      </c>
      <c r="C32" s="357" t="s">
        <v>941</v>
      </c>
      <c r="D32" s="2">
        <v>99714</v>
      </c>
      <c r="E32" s="268" t="s">
        <v>19</v>
      </c>
      <c r="F32" s="358" t="s">
        <v>915</v>
      </c>
      <c r="G32" s="49">
        <v>65</v>
      </c>
      <c r="H32" s="49">
        <v>37</v>
      </c>
      <c r="I32" s="49">
        <v>24</v>
      </c>
      <c r="J32" s="49">
        <v>13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834.49503068156923</v>
      </c>
      <c r="T32" s="49">
        <v>834.49503068156923</v>
      </c>
      <c r="U32" s="49">
        <v>1408.3846153846155</v>
      </c>
      <c r="V32" s="49">
        <v>0</v>
      </c>
      <c r="W32" s="49">
        <v>0</v>
      </c>
      <c r="X32" s="49">
        <v>1365.173957061457</v>
      </c>
      <c r="Y32" s="434">
        <v>0</v>
      </c>
      <c r="Z32" s="434">
        <v>0</v>
      </c>
      <c r="AA32" s="49">
        <v>0.84775641025641024</v>
      </c>
      <c r="AB32" s="49">
        <v>36.104166666666664</v>
      </c>
      <c r="AC32" s="49">
        <v>4.807692307692308E-2</v>
      </c>
      <c r="AD32" s="285">
        <v>0</v>
      </c>
      <c r="AE32" s="285">
        <v>0</v>
      </c>
      <c r="AF32" s="359">
        <v>36.999999999999993</v>
      </c>
      <c r="AG32" s="360">
        <v>0.5498960498960499</v>
      </c>
      <c r="AH32" s="360">
        <v>23.418918918918919</v>
      </c>
      <c r="AI32" s="361">
        <v>23.968814968814968</v>
      </c>
      <c r="AJ32" s="360">
        <v>3.1185031185031187E-2</v>
      </c>
      <c r="AK32" s="360">
        <v>0.79530575784677371</v>
      </c>
      <c r="AL32" s="360">
        <v>33.870403437674788</v>
      </c>
      <c r="AM32" s="360">
        <v>34.665709195521565</v>
      </c>
      <c r="AN32" s="360">
        <v>4.5102405927038208E-2</v>
      </c>
      <c r="AO32" s="360">
        <v>0.5259146419925238</v>
      </c>
      <c r="AP32" s="360">
        <v>22.397601076464213</v>
      </c>
      <c r="AQ32" s="360">
        <v>22.923515718456738</v>
      </c>
      <c r="AR32" s="360">
        <v>2.9825026956097758E-2</v>
      </c>
      <c r="AS32" s="360">
        <v>0</v>
      </c>
      <c r="AT32" s="360">
        <v>0</v>
      </c>
      <c r="AU32" s="360">
        <v>32.520943268009546</v>
      </c>
      <c r="AV32" s="360">
        <v>33.576205296204535</v>
      </c>
      <c r="AW32" s="360">
        <v>34.665709195521558</v>
      </c>
      <c r="AX32" s="360">
        <v>35.790566069844402</v>
      </c>
      <c r="AY32" s="360">
        <v>36.951923076923073</v>
      </c>
      <c r="AZ32" s="360">
        <v>21.923802807023524</v>
      </c>
      <c r="BA32" s="360">
        <v>22.418087301443663</v>
      </c>
      <c r="BB32" s="360">
        <v>22.923515718456734</v>
      </c>
      <c r="BC32" s="360">
        <v>23.440339304080286</v>
      </c>
      <c r="BD32" s="360">
        <v>23.968814968814968</v>
      </c>
      <c r="BE32" s="360">
        <v>0</v>
      </c>
      <c r="BF32" s="360">
        <v>0</v>
      </c>
      <c r="BG32" s="360">
        <v>0</v>
      </c>
      <c r="BH32" s="360">
        <v>0</v>
      </c>
      <c r="BI32" s="360">
        <v>0</v>
      </c>
      <c r="BJ32" s="362">
        <v>37.371707738362169</v>
      </c>
      <c r="BK32" s="362">
        <v>37.796261276420026</v>
      </c>
      <c r="BL32" s="362">
        <v>38.225637866930796</v>
      </c>
      <c r="BM32" s="363">
        <v>37.97432106927014</v>
      </c>
      <c r="BN32" s="363">
        <v>37.724656569290062</v>
      </c>
      <c r="BO32" s="363">
        <v>37.604189530179923</v>
      </c>
      <c r="BP32" s="363">
        <v>37.484107181318336</v>
      </c>
      <c r="BQ32" s="363">
        <v>37.364408294264813</v>
      </c>
      <c r="BR32" s="363">
        <v>37.245091644501684</v>
      </c>
      <c r="BS32" s="363">
        <v>37.126156011421557</v>
      </c>
      <c r="BT32" s="363">
        <v>37.400776993144127</v>
      </c>
      <c r="BU32" s="363">
        <v>37.67742933743434</v>
      </c>
      <c r="BV32" s="363">
        <v>37.956128070215769</v>
      </c>
      <c r="BW32" s="363">
        <v>38.236888328558258</v>
      </c>
      <c r="BX32" s="363">
        <v>38.519725361500051</v>
      </c>
      <c r="BY32" s="435">
        <v>38.674991320921528</v>
      </c>
      <c r="BZ32" s="435">
        <v>38.830257280343005</v>
      </c>
      <c r="CA32" s="435">
        <v>38.98552323976449</v>
      </c>
      <c r="CB32" s="435">
        <v>39.140789199185967</v>
      </c>
      <c r="CC32" s="363">
        <v>39.296055158607444</v>
      </c>
      <c r="CD32" s="435">
        <v>39.423327353916477</v>
      </c>
      <c r="CE32" s="435">
        <v>39.550599549225517</v>
      </c>
      <c r="CF32" s="435">
        <v>39.677871744534549</v>
      </c>
      <c r="CG32" s="435">
        <v>39.805143939843589</v>
      </c>
      <c r="CH32" s="363">
        <v>39.932416135152621</v>
      </c>
      <c r="CI32" s="362">
        <v>24.241107722180868</v>
      </c>
      <c r="CJ32" s="362">
        <v>24.516493800921097</v>
      </c>
      <c r="CK32" s="362">
        <v>24.795008346117278</v>
      </c>
      <c r="CL32" s="363">
        <v>24.631992044931987</v>
      </c>
      <c r="CM32" s="363">
        <v>24.47004750440437</v>
      </c>
      <c r="CN32" s="363">
        <v>24.391906722278875</v>
      </c>
      <c r="CO32" s="363">
        <v>24.314015468963252</v>
      </c>
      <c r="CP32" s="363">
        <v>24.236372947631235</v>
      </c>
      <c r="CQ32" s="363">
        <v>24.158978364001097</v>
      </c>
      <c r="CR32" s="363">
        <v>24.081830926327502</v>
      </c>
      <c r="CS32" s="363">
        <v>24.259963455012411</v>
      </c>
      <c r="CT32" s="363">
        <v>24.439413624281737</v>
      </c>
      <c r="CU32" s="363">
        <v>24.6201911806805</v>
      </c>
      <c r="CV32" s="363">
        <v>24.802305942848605</v>
      </c>
      <c r="CW32" s="363">
        <v>24.985767802054092</v>
      </c>
      <c r="CX32" s="435">
        <v>25.086480856813971</v>
      </c>
      <c r="CY32" s="435">
        <v>25.18719391157385</v>
      </c>
      <c r="CZ32" s="435">
        <v>25.287906966333725</v>
      </c>
      <c r="DA32" s="435">
        <v>25.388620021093605</v>
      </c>
      <c r="DB32" s="363">
        <v>25.489333075853484</v>
      </c>
      <c r="DC32" s="435">
        <v>25.571888013351234</v>
      </c>
      <c r="DD32" s="435">
        <v>25.654442950848988</v>
      </c>
      <c r="DE32" s="435">
        <v>25.736997888346739</v>
      </c>
      <c r="DF32" s="435">
        <v>25.819552825844493</v>
      </c>
      <c r="DG32" s="363">
        <v>25.902107763342244</v>
      </c>
      <c r="DH32" s="362">
        <v>0</v>
      </c>
      <c r="DI32" s="362">
        <v>0</v>
      </c>
      <c r="DJ32" s="362">
        <v>0</v>
      </c>
      <c r="DK32" s="363">
        <v>0</v>
      </c>
      <c r="DL32" s="363">
        <v>0</v>
      </c>
      <c r="DM32" s="363">
        <v>0</v>
      </c>
      <c r="DN32" s="363">
        <v>0</v>
      </c>
      <c r="DO32" s="363">
        <v>0</v>
      </c>
      <c r="DP32" s="363">
        <v>0</v>
      </c>
      <c r="DQ32" s="363">
        <v>0</v>
      </c>
      <c r="DR32" s="363">
        <v>0</v>
      </c>
      <c r="DS32" s="363">
        <v>0</v>
      </c>
      <c r="DT32" s="363">
        <v>0</v>
      </c>
      <c r="DU32" s="363">
        <v>0</v>
      </c>
      <c r="DV32" s="363">
        <v>0</v>
      </c>
      <c r="DW32" s="435">
        <v>0</v>
      </c>
      <c r="DX32" s="435">
        <v>0</v>
      </c>
      <c r="DY32" s="435">
        <v>0</v>
      </c>
      <c r="DZ32" s="435">
        <v>0</v>
      </c>
      <c r="EA32" s="363">
        <v>0</v>
      </c>
      <c r="EB32" s="435">
        <v>0</v>
      </c>
      <c r="EC32" s="435">
        <v>0</v>
      </c>
      <c r="ED32" s="435">
        <v>0</v>
      </c>
      <c r="EE32" s="435">
        <v>0</v>
      </c>
      <c r="EF32" s="363">
        <v>0</v>
      </c>
      <c r="EG32" s="364">
        <v>4.8623090994486307E-2</v>
      </c>
      <c r="EH32" s="364">
        <v>4.9175463539448384E-2</v>
      </c>
      <c r="EI32" s="364">
        <v>4.9734111198192564E-2</v>
      </c>
      <c r="EJ32" s="365">
        <v>4.9407131237666074E-2</v>
      </c>
      <c r="EK32" s="365">
        <v>4.9082301026919163E-2</v>
      </c>
      <c r="EL32" s="365">
        <v>4.8925565352823226E-2</v>
      </c>
      <c r="EM32" s="365">
        <v>4.8769330186466751E-2</v>
      </c>
      <c r="EN32" s="365">
        <v>4.8613593929566511E-2</v>
      </c>
      <c r="EO32" s="365">
        <v>4.8458354988943131E-2</v>
      </c>
      <c r="EP32" s="365">
        <v>4.8303611776504767E-2</v>
      </c>
      <c r="EQ32" s="365">
        <v>4.8660912038959316E-2</v>
      </c>
      <c r="ER32" s="365">
        <v>4.9020855239961414E-2</v>
      </c>
      <c r="ES32" s="365">
        <v>4.9383460929242486E-2</v>
      </c>
      <c r="ET32" s="365">
        <v>4.9748748801142689E-2</v>
      </c>
      <c r="EU32" s="365">
        <v>5.0116738695680535E-2</v>
      </c>
      <c r="EV32" s="436">
        <v>5.0318750092273663E-2</v>
      </c>
      <c r="EW32" s="436">
        <v>5.0520761488866792E-2</v>
      </c>
      <c r="EX32" s="436">
        <v>5.072277288545992E-2</v>
      </c>
      <c r="EY32" s="436">
        <v>5.0924784282053048E-2</v>
      </c>
      <c r="EZ32" s="365">
        <v>5.1126795678646177E-2</v>
      </c>
      <c r="FA32" s="436">
        <v>5.1292385316050591E-2</v>
      </c>
      <c r="FB32" s="436">
        <v>5.1457974953455013E-2</v>
      </c>
      <c r="FC32" s="436">
        <v>5.1623564590859428E-2</v>
      </c>
      <c r="FD32" s="436">
        <v>5.1789154228263849E-2</v>
      </c>
      <c r="FE32" s="365">
        <v>5.1954743865668264E-2</v>
      </c>
      <c r="FF32" s="364">
        <v>0</v>
      </c>
      <c r="FG32" s="364">
        <v>0</v>
      </c>
      <c r="FH32" s="364">
        <v>0</v>
      </c>
      <c r="FI32" s="365">
        <v>0</v>
      </c>
      <c r="FJ32" s="365">
        <v>0</v>
      </c>
      <c r="FK32" s="365">
        <v>0</v>
      </c>
      <c r="FL32" s="365">
        <v>0</v>
      </c>
      <c r="FM32" s="365">
        <v>0</v>
      </c>
      <c r="FN32" s="365">
        <v>0</v>
      </c>
      <c r="FO32" s="365">
        <v>0</v>
      </c>
      <c r="FP32" s="365">
        <v>0</v>
      </c>
      <c r="FQ32" s="365">
        <v>0</v>
      </c>
      <c r="FR32" s="365">
        <v>0</v>
      </c>
      <c r="FS32" s="365">
        <v>0</v>
      </c>
      <c r="FT32" s="365">
        <v>0</v>
      </c>
      <c r="FU32" s="436">
        <v>0</v>
      </c>
      <c r="FV32" s="436">
        <v>0</v>
      </c>
      <c r="FW32" s="436">
        <v>0</v>
      </c>
      <c r="FX32" s="436">
        <v>0</v>
      </c>
      <c r="FY32" s="365">
        <v>0</v>
      </c>
      <c r="FZ32" s="436">
        <v>0</v>
      </c>
      <c r="GA32" s="436">
        <v>0</v>
      </c>
      <c r="GB32" s="436">
        <v>0</v>
      </c>
      <c r="GC32" s="436">
        <v>0</v>
      </c>
      <c r="GD32" s="365">
        <v>0</v>
      </c>
    </row>
    <row r="33" spans="1:186" ht="15" x14ac:dyDescent="0.25">
      <c r="A33" s="357">
        <v>152</v>
      </c>
      <c r="B33" s="357">
        <v>66</v>
      </c>
      <c r="C33" s="357" t="s">
        <v>942</v>
      </c>
      <c r="D33" s="2">
        <v>99714</v>
      </c>
      <c r="E33" s="268" t="s">
        <v>19</v>
      </c>
      <c r="F33" s="358" t="s">
        <v>915</v>
      </c>
      <c r="G33" s="49">
        <v>0</v>
      </c>
      <c r="H33" s="49">
        <v>28</v>
      </c>
      <c r="I33" s="49">
        <v>0</v>
      </c>
      <c r="J33" s="49">
        <v>28</v>
      </c>
      <c r="K33" s="49">
        <v>0</v>
      </c>
      <c r="L33" s="49">
        <v>1</v>
      </c>
      <c r="M33" s="49">
        <v>1</v>
      </c>
      <c r="N33" s="49">
        <v>0</v>
      </c>
      <c r="O33" s="49">
        <v>0</v>
      </c>
      <c r="P33" s="49">
        <v>0</v>
      </c>
      <c r="Q33" s="49">
        <v>1</v>
      </c>
      <c r="R33" s="49">
        <v>0</v>
      </c>
      <c r="S33" s="49">
        <v>1876</v>
      </c>
      <c r="T33" s="49">
        <v>1876</v>
      </c>
      <c r="U33" s="49">
        <v>0</v>
      </c>
      <c r="V33" s="49">
        <v>0</v>
      </c>
      <c r="W33" s="49">
        <v>0</v>
      </c>
      <c r="X33" s="49">
        <v>1876</v>
      </c>
      <c r="Y33" s="434">
        <v>1876</v>
      </c>
      <c r="Z33" s="434">
        <v>0</v>
      </c>
      <c r="AA33" s="49">
        <v>0</v>
      </c>
      <c r="AB33" s="49">
        <v>28</v>
      </c>
      <c r="AC33" s="49">
        <v>0</v>
      </c>
      <c r="AD33" s="285">
        <v>0</v>
      </c>
      <c r="AE33" s="285">
        <v>0</v>
      </c>
      <c r="AF33" s="359">
        <v>28</v>
      </c>
      <c r="AG33" s="360">
        <v>0</v>
      </c>
      <c r="AH33" s="360">
        <v>0</v>
      </c>
      <c r="AI33" s="361">
        <v>0</v>
      </c>
      <c r="AJ33" s="360">
        <v>0</v>
      </c>
      <c r="AK33" s="360">
        <v>0</v>
      </c>
      <c r="AL33" s="360">
        <v>26.267641211907051</v>
      </c>
      <c r="AM33" s="360">
        <v>26.267641211907051</v>
      </c>
      <c r="AN33" s="360">
        <v>0</v>
      </c>
      <c r="AO33" s="360">
        <v>0</v>
      </c>
      <c r="AP33" s="360">
        <v>0</v>
      </c>
      <c r="AQ33" s="360">
        <v>0</v>
      </c>
      <c r="AR33" s="360">
        <v>0</v>
      </c>
      <c r="AS33" s="360">
        <v>0</v>
      </c>
      <c r="AT33" s="360">
        <v>0</v>
      </c>
      <c r="AU33" s="360">
        <v>24.642463387052771</v>
      </c>
      <c r="AV33" s="360">
        <v>25.442079058690506</v>
      </c>
      <c r="AW33" s="360">
        <v>26.267641211907051</v>
      </c>
      <c r="AX33" s="360">
        <v>27.119991776056963</v>
      </c>
      <c r="AY33" s="360">
        <v>28</v>
      </c>
      <c r="AZ33" s="360">
        <v>0</v>
      </c>
      <c r="BA33" s="360">
        <v>0</v>
      </c>
      <c r="BB33" s="360">
        <v>0</v>
      </c>
      <c r="BC33" s="360">
        <v>0</v>
      </c>
      <c r="BD33" s="360">
        <v>0</v>
      </c>
      <c r="BE33" s="360">
        <v>0</v>
      </c>
      <c r="BF33" s="360">
        <v>0</v>
      </c>
      <c r="BG33" s="360">
        <v>0</v>
      </c>
      <c r="BH33" s="360">
        <v>0</v>
      </c>
      <c r="BI33" s="360">
        <v>0</v>
      </c>
      <c r="BJ33" s="362">
        <v>28.230082123902513</v>
      </c>
      <c r="BK33" s="362">
        <v>28.462054882938578</v>
      </c>
      <c r="BL33" s="362">
        <v>28.695933812870596</v>
      </c>
      <c r="BM33" s="363">
        <v>28.507270638253651</v>
      </c>
      <c r="BN33" s="363">
        <v>28.319847841234754</v>
      </c>
      <c r="BO33" s="363">
        <v>28.229413400533698</v>
      </c>
      <c r="BP33" s="363">
        <v>28.139267746273546</v>
      </c>
      <c r="BQ33" s="363">
        <v>28.049409956265709</v>
      </c>
      <c r="BR33" s="363">
        <v>27.959839111266461</v>
      </c>
      <c r="BS33" s="363">
        <v>27.870554294967508</v>
      </c>
      <c r="BT33" s="363">
        <v>28.076711888532582</v>
      </c>
      <c r="BU33" s="363">
        <v>28.284394423185464</v>
      </c>
      <c r="BV33" s="363">
        <v>28.493613178866337</v>
      </c>
      <c r="BW33" s="363">
        <v>28.704379518952724</v>
      </c>
      <c r="BX33" s="363">
        <v>28.916704890876673</v>
      </c>
      <c r="BY33" s="435">
        <v>29.033262833230989</v>
      </c>
      <c r="BZ33" s="435">
        <v>29.149820775585301</v>
      </c>
      <c r="CA33" s="435">
        <v>29.266378717939617</v>
      </c>
      <c r="CB33" s="435">
        <v>29.382936660293929</v>
      </c>
      <c r="CC33" s="363">
        <v>29.499494602648245</v>
      </c>
      <c r="CD33" s="435">
        <v>29.595037664755427</v>
      </c>
      <c r="CE33" s="435">
        <v>29.690580726862606</v>
      </c>
      <c r="CF33" s="435">
        <v>29.786123788969789</v>
      </c>
      <c r="CG33" s="435">
        <v>29.881666851076968</v>
      </c>
      <c r="CH33" s="363">
        <v>29.977209913184151</v>
      </c>
      <c r="CI33" s="362">
        <v>0</v>
      </c>
      <c r="CJ33" s="362">
        <v>0</v>
      </c>
      <c r="CK33" s="362">
        <v>0</v>
      </c>
      <c r="CL33" s="363">
        <v>0</v>
      </c>
      <c r="CM33" s="363">
        <v>0</v>
      </c>
      <c r="CN33" s="363">
        <v>0</v>
      </c>
      <c r="CO33" s="363">
        <v>0</v>
      </c>
      <c r="CP33" s="363">
        <v>0</v>
      </c>
      <c r="CQ33" s="363">
        <v>0</v>
      </c>
      <c r="CR33" s="363">
        <v>0</v>
      </c>
      <c r="CS33" s="363">
        <v>0</v>
      </c>
      <c r="CT33" s="363">
        <v>0</v>
      </c>
      <c r="CU33" s="363">
        <v>0</v>
      </c>
      <c r="CV33" s="363">
        <v>0</v>
      </c>
      <c r="CW33" s="363">
        <v>0</v>
      </c>
      <c r="CX33" s="435">
        <v>0</v>
      </c>
      <c r="CY33" s="435">
        <v>0</v>
      </c>
      <c r="CZ33" s="435">
        <v>0</v>
      </c>
      <c r="DA33" s="435">
        <v>0</v>
      </c>
      <c r="DB33" s="363">
        <v>0</v>
      </c>
      <c r="DC33" s="435">
        <v>0</v>
      </c>
      <c r="DD33" s="435">
        <v>0</v>
      </c>
      <c r="DE33" s="435">
        <v>0</v>
      </c>
      <c r="DF33" s="435">
        <v>0</v>
      </c>
      <c r="DG33" s="363">
        <v>0</v>
      </c>
      <c r="DH33" s="362">
        <v>0</v>
      </c>
      <c r="DI33" s="362">
        <v>0</v>
      </c>
      <c r="DJ33" s="362">
        <v>0</v>
      </c>
      <c r="DK33" s="363">
        <v>0</v>
      </c>
      <c r="DL33" s="363">
        <v>0</v>
      </c>
      <c r="DM33" s="363">
        <v>0</v>
      </c>
      <c r="DN33" s="363">
        <v>0</v>
      </c>
      <c r="DO33" s="363">
        <v>0</v>
      </c>
      <c r="DP33" s="363">
        <v>0</v>
      </c>
      <c r="DQ33" s="363">
        <v>0</v>
      </c>
      <c r="DR33" s="363">
        <v>0</v>
      </c>
      <c r="DS33" s="363">
        <v>0</v>
      </c>
      <c r="DT33" s="363">
        <v>0</v>
      </c>
      <c r="DU33" s="363">
        <v>0</v>
      </c>
      <c r="DV33" s="363">
        <v>0</v>
      </c>
      <c r="DW33" s="435">
        <v>0</v>
      </c>
      <c r="DX33" s="435">
        <v>0</v>
      </c>
      <c r="DY33" s="435">
        <v>0</v>
      </c>
      <c r="DZ33" s="435">
        <v>0</v>
      </c>
      <c r="EA33" s="363">
        <v>0</v>
      </c>
      <c r="EB33" s="435">
        <v>0</v>
      </c>
      <c r="EC33" s="435">
        <v>0</v>
      </c>
      <c r="ED33" s="435">
        <v>0</v>
      </c>
      <c r="EE33" s="435">
        <v>0</v>
      </c>
      <c r="EF33" s="363">
        <v>0</v>
      </c>
      <c r="EG33" s="364">
        <v>0</v>
      </c>
      <c r="EH33" s="364">
        <v>0</v>
      </c>
      <c r="EI33" s="364">
        <v>0</v>
      </c>
      <c r="EJ33" s="365">
        <v>0</v>
      </c>
      <c r="EK33" s="365">
        <v>0</v>
      </c>
      <c r="EL33" s="365">
        <v>0</v>
      </c>
      <c r="EM33" s="365">
        <v>0</v>
      </c>
      <c r="EN33" s="365">
        <v>0</v>
      </c>
      <c r="EO33" s="365">
        <v>0</v>
      </c>
      <c r="EP33" s="365">
        <v>0</v>
      </c>
      <c r="EQ33" s="365">
        <v>0</v>
      </c>
      <c r="ER33" s="365">
        <v>0</v>
      </c>
      <c r="ES33" s="365">
        <v>0</v>
      </c>
      <c r="ET33" s="365">
        <v>0</v>
      </c>
      <c r="EU33" s="365">
        <v>0</v>
      </c>
      <c r="EV33" s="436">
        <v>0</v>
      </c>
      <c r="EW33" s="436">
        <v>0</v>
      </c>
      <c r="EX33" s="436">
        <v>0</v>
      </c>
      <c r="EY33" s="436">
        <v>0</v>
      </c>
      <c r="EZ33" s="365">
        <v>0</v>
      </c>
      <c r="FA33" s="436">
        <v>0</v>
      </c>
      <c r="FB33" s="436">
        <v>0</v>
      </c>
      <c r="FC33" s="436">
        <v>0</v>
      </c>
      <c r="FD33" s="436">
        <v>0</v>
      </c>
      <c r="FE33" s="365">
        <v>0</v>
      </c>
      <c r="FF33" s="364">
        <v>0</v>
      </c>
      <c r="FG33" s="364">
        <v>0</v>
      </c>
      <c r="FH33" s="364">
        <v>0</v>
      </c>
      <c r="FI33" s="365">
        <v>0</v>
      </c>
      <c r="FJ33" s="365">
        <v>0</v>
      </c>
      <c r="FK33" s="365">
        <v>0</v>
      </c>
      <c r="FL33" s="365">
        <v>0</v>
      </c>
      <c r="FM33" s="365">
        <v>0</v>
      </c>
      <c r="FN33" s="365">
        <v>0</v>
      </c>
      <c r="FO33" s="365">
        <v>0</v>
      </c>
      <c r="FP33" s="365">
        <v>0</v>
      </c>
      <c r="FQ33" s="365">
        <v>0</v>
      </c>
      <c r="FR33" s="365">
        <v>0</v>
      </c>
      <c r="FS33" s="365">
        <v>0</v>
      </c>
      <c r="FT33" s="365">
        <v>0</v>
      </c>
      <c r="FU33" s="436">
        <v>0</v>
      </c>
      <c r="FV33" s="436">
        <v>0</v>
      </c>
      <c r="FW33" s="436">
        <v>0</v>
      </c>
      <c r="FX33" s="436">
        <v>0</v>
      </c>
      <c r="FY33" s="365">
        <v>0</v>
      </c>
      <c r="FZ33" s="436">
        <v>0</v>
      </c>
      <c r="GA33" s="436">
        <v>0</v>
      </c>
      <c r="GB33" s="436">
        <v>0</v>
      </c>
      <c r="GC33" s="436">
        <v>0</v>
      </c>
      <c r="GD33" s="365">
        <v>0</v>
      </c>
    </row>
    <row r="34" spans="1:186" ht="15" x14ac:dyDescent="0.25">
      <c r="A34" s="357">
        <v>100</v>
      </c>
      <c r="B34" s="357">
        <v>68</v>
      </c>
      <c r="C34" s="357" t="s">
        <v>943</v>
      </c>
      <c r="D34" s="2">
        <v>99760</v>
      </c>
      <c r="E34" s="268" t="s">
        <v>19</v>
      </c>
      <c r="F34" s="358" t="s">
        <v>915</v>
      </c>
      <c r="G34" s="49">
        <v>0</v>
      </c>
      <c r="H34" s="49">
        <v>11</v>
      </c>
      <c r="I34" s="49">
        <v>0</v>
      </c>
      <c r="J34" s="49">
        <v>11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834.49503068156923</v>
      </c>
      <c r="T34" s="49">
        <v>834.49503068156923</v>
      </c>
      <c r="U34" s="49">
        <v>1408.3846153846155</v>
      </c>
      <c r="V34" s="49">
        <v>0</v>
      </c>
      <c r="W34" s="49">
        <v>0</v>
      </c>
      <c r="X34" s="49">
        <v>1365.173957061457</v>
      </c>
      <c r="Y34" s="434">
        <v>0</v>
      </c>
      <c r="Z34" s="434">
        <v>0</v>
      </c>
      <c r="AA34" s="49">
        <v>0.25203568953568956</v>
      </c>
      <c r="AB34" s="49">
        <v>10.733671171171171</v>
      </c>
      <c r="AC34" s="49">
        <v>1.4293139293139294E-2</v>
      </c>
      <c r="AD34" s="285">
        <v>0</v>
      </c>
      <c r="AE34" s="285">
        <v>0</v>
      </c>
      <c r="AF34" s="359">
        <v>11</v>
      </c>
      <c r="AG34" s="360">
        <v>0</v>
      </c>
      <c r="AH34" s="360">
        <v>0</v>
      </c>
      <c r="AI34" s="361">
        <v>0</v>
      </c>
      <c r="AJ34" s="360">
        <v>0</v>
      </c>
      <c r="AK34" s="360">
        <v>0.23278238662920361</v>
      </c>
      <c r="AL34" s="360">
        <v>9.9137133995639459</v>
      </c>
      <c r="AM34" s="360">
        <v>10.14649578619315</v>
      </c>
      <c r="AN34" s="360">
        <v>1.3201269563092831E-2</v>
      </c>
      <c r="AO34" s="360">
        <v>0</v>
      </c>
      <c r="AP34" s="360">
        <v>0</v>
      </c>
      <c r="AQ34" s="360">
        <v>0</v>
      </c>
      <c r="AR34" s="360">
        <v>0</v>
      </c>
      <c r="AS34" s="360">
        <v>0</v>
      </c>
      <c r="AT34" s="360">
        <v>0</v>
      </c>
      <c r="AU34" s="360">
        <v>9.3713930332026969</v>
      </c>
      <c r="AV34" s="360">
        <v>9.7512460702287171</v>
      </c>
      <c r="AW34" s="360">
        <v>10.14649578619315</v>
      </c>
      <c r="AX34" s="360">
        <v>10.55776625856603</v>
      </c>
      <c r="AY34" s="360">
        <v>10.985706860706861</v>
      </c>
      <c r="AZ34" s="360">
        <v>0</v>
      </c>
      <c r="BA34" s="360">
        <v>0</v>
      </c>
      <c r="BB34" s="360">
        <v>0</v>
      </c>
      <c r="BC34" s="360">
        <v>0</v>
      </c>
      <c r="BD34" s="360">
        <v>0</v>
      </c>
      <c r="BE34" s="360">
        <v>0</v>
      </c>
      <c r="BF34" s="360">
        <v>0</v>
      </c>
      <c r="BG34" s="360">
        <v>0</v>
      </c>
      <c r="BH34" s="360">
        <v>0</v>
      </c>
      <c r="BI34" s="360">
        <v>0</v>
      </c>
      <c r="BJ34" s="362">
        <v>11.031354389986282</v>
      </c>
      <c r="BK34" s="362">
        <v>11.077191592716462</v>
      </c>
      <c r="BL34" s="362">
        <v>11.123219257023694</v>
      </c>
      <c r="BM34" s="363">
        <v>11.050088970667611</v>
      </c>
      <c r="BN34" s="363">
        <v>10.977439483858758</v>
      </c>
      <c r="BO34" s="363">
        <v>10.942384966418626</v>
      </c>
      <c r="BP34" s="363">
        <v>10.907442389399097</v>
      </c>
      <c r="BQ34" s="363">
        <v>10.872611395338174</v>
      </c>
      <c r="BR34" s="363">
        <v>10.837891627915353</v>
      </c>
      <c r="BS34" s="363">
        <v>10.803282731947979</v>
      </c>
      <c r="BT34" s="363">
        <v>10.883194266790458</v>
      </c>
      <c r="BU34" s="363">
        <v>10.963696904685529</v>
      </c>
      <c r="BV34" s="363">
        <v>11.044795018003457</v>
      </c>
      <c r="BW34" s="363">
        <v>11.126493011456796</v>
      </c>
      <c r="BX34" s="363">
        <v>11.208795322339599</v>
      </c>
      <c r="BY34" s="435">
        <v>11.253975923793769</v>
      </c>
      <c r="BZ34" s="435">
        <v>11.299156525247939</v>
      </c>
      <c r="CA34" s="435">
        <v>11.344337126702111</v>
      </c>
      <c r="CB34" s="435">
        <v>11.389517728156282</v>
      </c>
      <c r="CC34" s="363">
        <v>11.434698329610452</v>
      </c>
      <c r="CD34" s="435">
        <v>11.47173306893052</v>
      </c>
      <c r="CE34" s="435">
        <v>11.508767808250589</v>
      </c>
      <c r="CF34" s="435">
        <v>11.545802547570659</v>
      </c>
      <c r="CG34" s="435">
        <v>11.582837286890728</v>
      </c>
      <c r="CH34" s="363">
        <v>11.619872026210796</v>
      </c>
      <c r="CI34" s="362">
        <v>0</v>
      </c>
      <c r="CJ34" s="362">
        <v>0</v>
      </c>
      <c r="CK34" s="362">
        <v>0</v>
      </c>
      <c r="CL34" s="363">
        <v>0</v>
      </c>
      <c r="CM34" s="363">
        <v>0</v>
      </c>
      <c r="CN34" s="363">
        <v>0</v>
      </c>
      <c r="CO34" s="363">
        <v>0</v>
      </c>
      <c r="CP34" s="363">
        <v>0</v>
      </c>
      <c r="CQ34" s="363">
        <v>0</v>
      </c>
      <c r="CR34" s="363">
        <v>0</v>
      </c>
      <c r="CS34" s="363">
        <v>0</v>
      </c>
      <c r="CT34" s="363">
        <v>0</v>
      </c>
      <c r="CU34" s="363">
        <v>0</v>
      </c>
      <c r="CV34" s="363">
        <v>0</v>
      </c>
      <c r="CW34" s="363">
        <v>0</v>
      </c>
      <c r="CX34" s="435">
        <v>0</v>
      </c>
      <c r="CY34" s="435">
        <v>0</v>
      </c>
      <c r="CZ34" s="435">
        <v>0</v>
      </c>
      <c r="DA34" s="435">
        <v>0</v>
      </c>
      <c r="DB34" s="363">
        <v>0</v>
      </c>
      <c r="DC34" s="435">
        <v>0</v>
      </c>
      <c r="DD34" s="435">
        <v>0</v>
      </c>
      <c r="DE34" s="435">
        <v>0</v>
      </c>
      <c r="DF34" s="435">
        <v>0</v>
      </c>
      <c r="DG34" s="363">
        <v>0</v>
      </c>
      <c r="DH34" s="362">
        <v>0</v>
      </c>
      <c r="DI34" s="362">
        <v>0</v>
      </c>
      <c r="DJ34" s="362">
        <v>0</v>
      </c>
      <c r="DK34" s="363">
        <v>0</v>
      </c>
      <c r="DL34" s="363">
        <v>0</v>
      </c>
      <c r="DM34" s="363">
        <v>0</v>
      </c>
      <c r="DN34" s="363">
        <v>0</v>
      </c>
      <c r="DO34" s="363">
        <v>0</v>
      </c>
      <c r="DP34" s="363">
        <v>0</v>
      </c>
      <c r="DQ34" s="363">
        <v>0</v>
      </c>
      <c r="DR34" s="363">
        <v>0</v>
      </c>
      <c r="DS34" s="363">
        <v>0</v>
      </c>
      <c r="DT34" s="363">
        <v>0</v>
      </c>
      <c r="DU34" s="363">
        <v>0</v>
      </c>
      <c r="DV34" s="363">
        <v>0</v>
      </c>
      <c r="DW34" s="435">
        <v>0</v>
      </c>
      <c r="DX34" s="435">
        <v>0</v>
      </c>
      <c r="DY34" s="435">
        <v>0</v>
      </c>
      <c r="DZ34" s="435">
        <v>0</v>
      </c>
      <c r="EA34" s="363">
        <v>0</v>
      </c>
      <c r="EB34" s="435">
        <v>0</v>
      </c>
      <c r="EC34" s="435">
        <v>0</v>
      </c>
      <c r="ED34" s="435">
        <v>0</v>
      </c>
      <c r="EE34" s="435">
        <v>0</v>
      </c>
      <c r="EF34" s="363">
        <v>0</v>
      </c>
      <c r="EG34" s="364">
        <v>1.4352529781402916E-2</v>
      </c>
      <c r="EH34" s="364">
        <v>1.4412167047510359E-2</v>
      </c>
      <c r="EI34" s="364">
        <v>1.4472052116866634E-2</v>
      </c>
      <c r="EJ34" s="365">
        <v>1.4376904723741363E-2</v>
      </c>
      <c r="EK34" s="365">
        <v>1.4282382882980432E-2</v>
      </c>
      <c r="EL34" s="365">
        <v>1.4236774611525666E-2</v>
      </c>
      <c r="EM34" s="365">
        <v>1.4191311982044104E-2</v>
      </c>
      <c r="EN34" s="365">
        <v>1.414599452945378E-2</v>
      </c>
      <c r="EO34" s="365">
        <v>1.410082179015789E-2</v>
      </c>
      <c r="EP34" s="365">
        <v>1.4055793302040046E-2</v>
      </c>
      <c r="EQ34" s="365">
        <v>1.4159763552941008E-2</v>
      </c>
      <c r="ER34" s="365">
        <v>1.426450286844331E-2</v>
      </c>
      <c r="ES34" s="365">
        <v>1.4370016937293076E-2</v>
      </c>
      <c r="ET34" s="365">
        <v>1.4476311490315894E-2</v>
      </c>
      <c r="EU34" s="365">
        <v>1.4583392300728077E-2</v>
      </c>
      <c r="EV34" s="436">
        <v>1.4642175284665326E-2</v>
      </c>
      <c r="EW34" s="436">
        <v>1.4700958268602578E-2</v>
      </c>
      <c r="EX34" s="436">
        <v>1.4759741252539827E-2</v>
      </c>
      <c r="EY34" s="436">
        <v>1.4818524236477079E-2</v>
      </c>
      <c r="EZ34" s="365">
        <v>1.4877307220414328E-2</v>
      </c>
      <c r="FA34" s="436">
        <v>1.4925491892961907E-2</v>
      </c>
      <c r="FB34" s="436">
        <v>1.4973676565509485E-2</v>
      </c>
      <c r="FC34" s="436">
        <v>1.5021861238057065E-2</v>
      </c>
      <c r="FD34" s="436">
        <v>1.5070045910604643E-2</v>
      </c>
      <c r="FE34" s="365">
        <v>1.5118230583152221E-2</v>
      </c>
      <c r="FF34" s="364">
        <v>0</v>
      </c>
      <c r="FG34" s="364">
        <v>0</v>
      </c>
      <c r="FH34" s="364">
        <v>0</v>
      </c>
      <c r="FI34" s="365">
        <v>0</v>
      </c>
      <c r="FJ34" s="365">
        <v>0</v>
      </c>
      <c r="FK34" s="365">
        <v>0</v>
      </c>
      <c r="FL34" s="365">
        <v>0</v>
      </c>
      <c r="FM34" s="365">
        <v>0</v>
      </c>
      <c r="FN34" s="365">
        <v>0</v>
      </c>
      <c r="FO34" s="365">
        <v>0</v>
      </c>
      <c r="FP34" s="365">
        <v>0</v>
      </c>
      <c r="FQ34" s="365">
        <v>0</v>
      </c>
      <c r="FR34" s="365">
        <v>0</v>
      </c>
      <c r="FS34" s="365">
        <v>0</v>
      </c>
      <c r="FT34" s="365">
        <v>0</v>
      </c>
      <c r="FU34" s="436">
        <v>0</v>
      </c>
      <c r="FV34" s="436">
        <v>0</v>
      </c>
      <c r="FW34" s="436">
        <v>0</v>
      </c>
      <c r="FX34" s="436">
        <v>0</v>
      </c>
      <c r="FY34" s="365">
        <v>0</v>
      </c>
      <c r="FZ34" s="436">
        <v>0</v>
      </c>
      <c r="GA34" s="436">
        <v>0</v>
      </c>
      <c r="GB34" s="436">
        <v>0</v>
      </c>
      <c r="GC34" s="436">
        <v>0</v>
      </c>
      <c r="GD34" s="365">
        <v>0</v>
      </c>
    </row>
    <row r="35" spans="1:186" ht="15" x14ac:dyDescent="0.25">
      <c r="A35" s="357">
        <v>135</v>
      </c>
      <c r="B35" s="357">
        <v>68</v>
      </c>
      <c r="C35" s="357" t="s">
        <v>944</v>
      </c>
      <c r="D35" s="2">
        <v>99714</v>
      </c>
      <c r="E35" s="268" t="s">
        <v>19</v>
      </c>
      <c r="F35" s="358" t="s">
        <v>915</v>
      </c>
      <c r="G35" s="49">
        <v>53</v>
      </c>
      <c r="H35" s="49">
        <v>23</v>
      </c>
      <c r="I35" s="49">
        <v>20</v>
      </c>
      <c r="J35" s="49">
        <v>3</v>
      </c>
      <c r="K35" s="49">
        <v>0</v>
      </c>
      <c r="L35" s="49">
        <v>3</v>
      </c>
      <c r="M35" s="49">
        <v>3</v>
      </c>
      <c r="N35" s="49">
        <v>1</v>
      </c>
      <c r="O35" s="49">
        <v>0</v>
      </c>
      <c r="P35" s="49">
        <v>0</v>
      </c>
      <c r="Q35" s="49">
        <v>4</v>
      </c>
      <c r="R35" s="49">
        <v>0</v>
      </c>
      <c r="S35" s="49">
        <v>2356</v>
      </c>
      <c r="T35" s="49">
        <v>2356</v>
      </c>
      <c r="U35" s="49">
        <v>6230</v>
      </c>
      <c r="V35" s="49">
        <v>0</v>
      </c>
      <c r="W35" s="49">
        <v>0</v>
      </c>
      <c r="X35" s="49">
        <v>3324.5</v>
      </c>
      <c r="Y35" s="434">
        <v>7068</v>
      </c>
      <c r="Z35" s="434">
        <v>6230</v>
      </c>
      <c r="AA35" s="49">
        <v>0</v>
      </c>
      <c r="AB35" s="49">
        <v>23</v>
      </c>
      <c r="AC35" s="49">
        <v>0</v>
      </c>
      <c r="AD35" s="285">
        <v>1</v>
      </c>
      <c r="AE35" s="285">
        <v>0</v>
      </c>
      <c r="AF35" s="359">
        <v>24</v>
      </c>
      <c r="AG35" s="360">
        <v>0</v>
      </c>
      <c r="AH35" s="360">
        <v>20</v>
      </c>
      <c r="AI35" s="361">
        <v>20</v>
      </c>
      <c r="AJ35" s="360">
        <v>0</v>
      </c>
      <c r="AK35" s="360">
        <v>0</v>
      </c>
      <c r="AL35" s="360">
        <v>21.576990995495077</v>
      </c>
      <c r="AM35" s="360">
        <v>21.576990995495077</v>
      </c>
      <c r="AN35" s="360">
        <v>0</v>
      </c>
      <c r="AO35" s="360">
        <v>0</v>
      </c>
      <c r="AP35" s="360">
        <v>19.127783954510694</v>
      </c>
      <c r="AQ35" s="360">
        <v>19.127783954510694</v>
      </c>
      <c r="AR35" s="360">
        <v>0</v>
      </c>
      <c r="AS35" s="360">
        <v>0.96638421298841071</v>
      </c>
      <c r="AT35" s="360">
        <v>0</v>
      </c>
      <c r="AU35" s="360">
        <v>20.242023496507635</v>
      </c>
      <c r="AV35" s="360">
        <v>20.898850655352916</v>
      </c>
      <c r="AW35" s="360">
        <v>21.576990995495077</v>
      </c>
      <c r="AX35" s="360">
        <v>22.277136101761077</v>
      </c>
      <c r="AY35" s="360">
        <v>23</v>
      </c>
      <c r="AZ35" s="360">
        <v>18.29360595052184</v>
      </c>
      <c r="BA35" s="360">
        <v>18.706045610190653</v>
      </c>
      <c r="BB35" s="360">
        <v>19.127783954510694</v>
      </c>
      <c r="BC35" s="360">
        <v>19.559030627569811</v>
      </c>
      <c r="BD35" s="360">
        <v>20</v>
      </c>
      <c r="BE35" s="360">
        <v>0.93389844711322989</v>
      </c>
      <c r="BF35" s="360">
        <v>0.95000248200971427</v>
      </c>
      <c r="BG35" s="360">
        <v>0.96638421298841071</v>
      </c>
      <c r="BH35" s="360">
        <v>0.98304842860787411</v>
      </c>
      <c r="BI35" s="360">
        <v>1</v>
      </c>
      <c r="BJ35" s="362">
        <v>23.261286731762247</v>
      </c>
      <c r="BK35" s="362">
        <v>23.525541757272109</v>
      </c>
      <c r="BL35" s="362">
        <v>23.792798797215323</v>
      </c>
      <c r="BM35" s="363">
        <v>23.63637158409945</v>
      </c>
      <c r="BN35" s="363">
        <v>23.480972811278129</v>
      </c>
      <c r="BO35" s="363">
        <v>23.405990464790634</v>
      </c>
      <c r="BP35" s="363">
        <v>23.331247561205693</v>
      </c>
      <c r="BQ35" s="363">
        <v>23.25674333590462</v>
      </c>
      <c r="BR35" s="363">
        <v>23.182477026710394</v>
      </c>
      <c r="BS35" s="363">
        <v>23.108447873879882</v>
      </c>
      <c r="BT35" s="363">
        <v>23.27938031943814</v>
      </c>
      <c r="BU35" s="363">
        <v>23.451577146797543</v>
      </c>
      <c r="BV35" s="363">
        <v>23.625047708549605</v>
      </c>
      <c r="BW35" s="363">
        <v>23.799801426466662</v>
      </c>
      <c r="BX35" s="363">
        <v>23.975847792013568</v>
      </c>
      <c r="BY35" s="435">
        <v>24.07249004414372</v>
      </c>
      <c r="BZ35" s="435">
        <v>24.169132296273872</v>
      </c>
      <c r="CA35" s="435">
        <v>24.265774548404028</v>
      </c>
      <c r="CB35" s="435">
        <v>24.362416800534181</v>
      </c>
      <c r="CC35" s="363">
        <v>24.459059052664333</v>
      </c>
      <c r="CD35" s="435">
        <v>24.538277135198605</v>
      </c>
      <c r="CE35" s="435">
        <v>24.617495217732877</v>
      </c>
      <c r="CF35" s="435">
        <v>24.696713300267152</v>
      </c>
      <c r="CG35" s="435">
        <v>24.775931382801424</v>
      </c>
      <c r="CH35" s="363">
        <v>24.855149465335696</v>
      </c>
      <c r="CI35" s="362">
        <v>20.227205853706302</v>
      </c>
      <c r="CJ35" s="362">
        <v>20.456992832410528</v>
      </c>
      <c r="CK35" s="362">
        <v>20.689390258448107</v>
      </c>
      <c r="CL35" s="363">
        <v>20.55336659486909</v>
      </c>
      <c r="CM35" s="363">
        <v>20.418237227198372</v>
      </c>
      <c r="CN35" s="363">
        <v>20.353035186774463</v>
      </c>
      <c r="CO35" s="363">
        <v>20.288041357570169</v>
      </c>
      <c r="CP35" s="363">
        <v>20.223255074699669</v>
      </c>
      <c r="CQ35" s="363">
        <v>20.158675675400342</v>
      </c>
      <c r="CR35" s="363">
        <v>20.094302499025982</v>
      </c>
      <c r="CS35" s="363">
        <v>20.242939408207075</v>
      </c>
      <c r="CT35" s="363">
        <v>20.39267577982395</v>
      </c>
      <c r="CU35" s="363">
        <v>20.543519746564876</v>
      </c>
      <c r="CV35" s="363">
        <v>20.695479501275358</v>
      </c>
      <c r="CW35" s="363">
        <v>20.848563297403103</v>
      </c>
      <c r="CX35" s="435">
        <v>20.932600038385846</v>
      </c>
      <c r="CY35" s="435">
        <v>21.016636779368586</v>
      </c>
      <c r="CZ35" s="435">
        <v>21.100673520351329</v>
      </c>
      <c r="DA35" s="435">
        <v>21.184710261334068</v>
      </c>
      <c r="DB35" s="363">
        <v>21.268747002316811</v>
      </c>
      <c r="DC35" s="435">
        <v>21.33763229147705</v>
      </c>
      <c r="DD35" s="435">
        <v>21.406517580637285</v>
      </c>
      <c r="DE35" s="435">
        <v>21.475402869797524</v>
      </c>
      <c r="DF35" s="435">
        <v>21.544288158957759</v>
      </c>
      <c r="DG35" s="363">
        <v>21.613173448117998</v>
      </c>
      <c r="DH35" s="362">
        <v>1.0113602926853151</v>
      </c>
      <c r="DI35" s="362">
        <v>1.0228496416205264</v>
      </c>
      <c r="DJ35" s="362">
        <v>1.0344695129224053</v>
      </c>
      <c r="DK35" s="363">
        <v>1.0276683297434543</v>
      </c>
      <c r="DL35" s="363">
        <v>1.0209118613599186</v>
      </c>
      <c r="DM35" s="363">
        <v>1.0176517593387231</v>
      </c>
      <c r="DN35" s="363">
        <v>1.0144020678785084</v>
      </c>
      <c r="DO35" s="363">
        <v>1.0111627537349834</v>
      </c>
      <c r="DP35" s="363">
        <v>1.0079337837700171</v>
      </c>
      <c r="DQ35" s="363">
        <v>1.0047151249512991</v>
      </c>
      <c r="DR35" s="363">
        <v>1.0121469704103538</v>
      </c>
      <c r="DS35" s="363">
        <v>1.0196337889911975</v>
      </c>
      <c r="DT35" s="363">
        <v>1.0271759873282436</v>
      </c>
      <c r="DU35" s="363">
        <v>1.0347739750637679</v>
      </c>
      <c r="DV35" s="363">
        <v>1.0424281648701552</v>
      </c>
      <c r="DW35" s="435">
        <v>1.0466300019192922</v>
      </c>
      <c r="DX35" s="435">
        <v>1.0508318389684292</v>
      </c>
      <c r="DY35" s="435">
        <v>1.0550336760175665</v>
      </c>
      <c r="DZ35" s="435">
        <v>1.0592355130667035</v>
      </c>
      <c r="EA35" s="363">
        <v>1.0634373501158405</v>
      </c>
      <c r="EB35" s="435">
        <v>1.0668816145738524</v>
      </c>
      <c r="EC35" s="435">
        <v>1.0703258790318642</v>
      </c>
      <c r="ED35" s="435">
        <v>1.0737701434898761</v>
      </c>
      <c r="EE35" s="435">
        <v>1.0772144079478878</v>
      </c>
      <c r="EF35" s="363">
        <v>1.0806586724058997</v>
      </c>
      <c r="EG35" s="364">
        <v>0</v>
      </c>
      <c r="EH35" s="364">
        <v>0</v>
      </c>
      <c r="EI35" s="364">
        <v>0</v>
      </c>
      <c r="EJ35" s="365">
        <v>0</v>
      </c>
      <c r="EK35" s="365">
        <v>0</v>
      </c>
      <c r="EL35" s="365">
        <v>0</v>
      </c>
      <c r="EM35" s="365">
        <v>0</v>
      </c>
      <c r="EN35" s="365">
        <v>0</v>
      </c>
      <c r="EO35" s="365">
        <v>0</v>
      </c>
      <c r="EP35" s="365">
        <v>0</v>
      </c>
      <c r="EQ35" s="365">
        <v>0</v>
      </c>
      <c r="ER35" s="365">
        <v>0</v>
      </c>
      <c r="ES35" s="365">
        <v>0</v>
      </c>
      <c r="ET35" s="365">
        <v>0</v>
      </c>
      <c r="EU35" s="365">
        <v>0</v>
      </c>
      <c r="EV35" s="436">
        <v>0</v>
      </c>
      <c r="EW35" s="436">
        <v>0</v>
      </c>
      <c r="EX35" s="436">
        <v>0</v>
      </c>
      <c r="EY35" s="436">
        <v>0</v>
      </c>
      <c r="EZ35" s="365">
        <v>0</v>
      </c>
      <c r="FA35" s="436">
        <v>0</v>
      </c>
      <c r="FB35" s="436">
        <v>0</v>
      </c>
      <c r="FC35" s="436">
        <v>0</v>
      </c>
      <c r="FD35" s="436">
        <v>0</v>
      </c>
      <c r="FE35" s="365">
        <v>0</v>
      </c>
      <c r="FF35" s="364">
        <v>0</v>
      </c>
      <c r="FG35" s="364">
        <v>0</v>
      </c>
      <c r="FH35" s="364">
        <v>0</v>
      </c>
      <c r="FI35" s="365">
        <v>0</v>
      </c>
      <c r="FJ35" s="365">
        <v>0</v>
      </c>
      <c r="FK35" s="365">
        <v>0</v>
      </c>
      <c r="FL35" s="365">
        <v>0</v>
      </c>
      <c r="FM35" s="365">
        <v>0</v>
      </c>
      <c r="FN35" s="365">
        <v>0</v>
      </c>
      <c r="FO35" s="365">
        <v>0</v>
      </c>
      <c r="FP35" s="365">
        <v>0</v>
      </c>
      <c r="FQ35" s="365">
        <v>0</v>
      </c>
      <c r="FR35" s="365">
        <v>0</v>
      </c>
      <c r="FS35" s="365">
        <v>0</v>
      </c>
      <c r="FT35" s="365">
        <v>0</v>
      </c>
      <c r="FU35" s="436">
        <v>0</v>
      </c>
      <c r="FV35" s="436">
        <v>0</v>
      </c>
      <c r="FW35" s="436">
        <v>0</v>
      </c>
      <c r="FX35" s="436">
        <v>0</v>
      </c>
      <c r="FY35" s="365">
        <v>0</v>
      </c>
      <c r="FZ35" s="436">
        <v>0</v>
      </c>
      <c r="GA35" s="436">
        <v>0</v>
      </c>
      <c r="GB35" s="436">
        <v>0</v>
      </c>
      <c r="GC35" s="436">
        <v>0</v>
      </c>
      <c r="GD35" s="365">
        <v>0</v>
      </c>
    </row>
    <row r="36" spans="1:186" ht="15" x14ac:dyDescent="0.25">
      <c r="A36" s="357">
        <v>158</v>
      </c>
      <c r="B36" s="357">
        <v>68</v>
      </c>
      <c r="C36" s="357" t="s">
        <v>945</v>
      </c>
      <c r="D36" s="2">
        <v>99714</v>
      </c>
      <c r="E36" s="268" t="s">
        <v>19</v>
      </c>
      <c r="F36" s="358" t="s">
        <v>915</v>
      </c>
      <c r="G36" s="49">
        <v>0</v>
      </c>
      <c r="H36" s="49">
        <v>12</v>
      </c>
      <c r="I36" s="49">
        <v>0</v>
      </c>
      <c r="J36" s="49">
        <v>12</v>
      </c>
      <c r="K36" s="49">
        <v>0</v>
      </c>
      <c r="L36" s="49">
        <v>3</v>
      </c>
      <c r="M36" s="49">
        <v>3</v>
      </c>
      <c r="N36" s="49">
        <v>0</v>
      </c>
      <c r="O36" s="49">
        <v>0</v>
      </c>
      <c r="P36" s="49">
        <v>0</v>
      </c>
      <c r="Q36" s="49">
        <v>3</v>
      </c>
      <c r="R36" s="49">
        <v>0</v>
      </c>
      <c r="S36" s="49">
        <v>565.33333333333337</v>
      </c>
      <c r="T36" s="49">
        <v>565.33333333333337</v>
      </c>
      <c r="U36" s="49">
        <v>0</v>
      </c>
      <c r="V36" s="49">
        <v>0</v>
      </c>
      <c r="W36" s="49">
        <v>0</v>
      </c>
      <c r="X36" s="49">
        <v>565.33333333333337</v>
      </c>
      <c r="Y36" s="434">
        <v>1696</v>
      </c>
      <c r="Z36" s="434">
        <v>0</v>
      </c>
      <c r="AA36" s="49">
        <v>0</v>
      </c>
      <c r="AB36" s="49">
        <v>12</v>
      </c>
      <c r="AC36" s="49">
        <v>0</v>
      </c>
      <c r="AD36" s="285">
        <v>0</v>
      </c>
      <c r="AE36" s="285">
        <v>0</v>
      </c>
      <c r="AF36" s="359">
        <v>12</v>
      </c>
      <c r="AG36" s="360">
        <v>0</v>
      </c>
      <c r="AH36" s="360">
        <v>0</v>
      </c>
      <c r="AI36" s="361">
        <v>0</v>
      </c>
      <c r="AJ36" s="360">
        <v>0</v>
      </c>
      <c r="AK36" s="360">
        <v>0</v>
      </c>
      <c r="AL36" s="360">
        <v>11.257560519388736</v>
      </c>
      <c r="AM36" s="360">
        <v>11.257560519388736</v>
      </c>
      <c r="AN36" s="360">
        <v>0</v>
      </c>
      <c r="AO36" s="360">
        <v>0</v>
      </c>
      <c r="AP36" s="360">
        <v>0</v>
      </c>
      <c r="AQ36" s="360">
        <v>0</v>
      </c>
      <c r="AR36" s="360">
        <v>0</v>
      </c>
      <c r="AS36" s="360">
        <v>0</v>
      </c>
      <c r="AT36" s="360">
        <v>0</v>
      </c>
      <c r="AU36" s="360">
        <v>10.561055737308331</v>
      </c>
      <c r="AV36" s="360">
        <v>10.903748168010218</v>
      </c>
      <c r="AW36" s="360">
        <v>11.257560519388736</v>
      </c>
      <c r="AX36" s="360">
        <v>11.622853618310128</v>
      </c>
      <c r="AY36" s="360">
        <v>12</v>
      </c>
      <c r="AZ36" s="360">
        <v>0</v>
      </c>
      <c r="BA36" s="360">
        <v>0</v>
      </c>
      <c r="BB36" s="360">
        <v>0</v>
      </c>
      <c r="BC36" s="360">
        <v>0</v>
      </c>
      <c r="BD36" s="360">
        <v>0</v>
      </c>
      <c r="BE36" s="360">
        <v>0</v>
      </c>
      <c r="BF36" s="360">
        <v>0</v>
      </c>
      <c r="BG36" s="360">
        <v>0</v>
      </c>
      <c r="BH36" s="360">
        <v>0</v>
      </c>
      <c r="BI36" s="360">
        <v>0</v>
      </c>
      <c r="BJ36" s="362">
        <v>12.098606624529648</v>
      </c>
      <c r="BK36" s="362">
        <v>12.19802352125939</v>
      </c>
      <c r="BL36" s="362">
        <v>12.298257348373113</v>
      </c>
      <c r="BM36" s="363">
        <v>12.217401702108708</v>
      </c>
      <c r="BN36" s="363">
        <v>12.137077646243466</v>
      </c>
      <c r="BO36" s="363">
        <v>12.098320028800156</v>
      </c>
      <c r="BP36" s="363">
        <v>12.059686176974378</v>
      </c>
      <c r="BQ36" s="363">
        <v>12.021175695542448</v>
      </c>
      <c r="BR36" s="363">
        <v>11.982788190542768</v>
      </c>
      <c r="BS36" s="363">
        <v>11.944523269271791</v>
      </c>
      <c r="BT36" s="363">
        <v>12.032876523656821</v>
      </c>
      <c r="BU36" s="363">
        <v>12.121883324222344</v>
      </c>
      <c r="BV36" s="363">
        <v>12.21154850522843</v>
      </c>
      <c r="BW36" s="363">
        <v>12.301876936694025</v>
      </c>
      <c r="BX36" s="363">
        <v>12.392873524661432</v>
      </c>
      <c r="BY36" s="435">
        <v>12.442826928527566</v>
      </c>
      <c r="BZ36" s="435">
        <v>12.492780332393702</v>
      </c>
      <c r="CA36" s="435">
        <v>12.542733736259835</v>
      </c>
      <c r="CB36" s="435">
        <v>12.592687140125971</v>
      </c>
      <c r="CC36" s="363">
        <v>12.642640543992105</v>
      </c>
      <c r="CD36" s="435">
        <v>12.683587570609468</v>
      </c>
      <c r="CE36" s="435">
        <v>12.724534597226832</v>
      </c>
      <c r="CF36" s="435">
        <v>12.765481623844195</v>
      </c>
      <c r="CG36" s="435">
        <v>12.806428650461559</v>
      </c>
      <c r="CH36" s="363">
        <v>12.847375677078922</v>
      </c>
      <c r="CI36" s="362">
        <v>0</v>
      </c>
      <c r="CJ36" s="362">
        <v>0</v>
      </c>
      <c r="CK36" s="362">
        <v>0</v>
      </c>
      <c r="CL36" s="363">
        <v>0</v>
      </c>
      <c r="CM36" s="363">
        <v>0</v>
      </c>
      <c r="CN36" s="363">
        <v>0</v>
      </c>
      <c r="CO36" s="363">
        <v>0</v>
      </c>
      <c r="CP36" s="363">
        <v>0</v>
      </c>
      <c r="CQ36" s="363">
        <v>0</v>
      </c>
      <c r="CR36" s="363">
        <v>0</v>
      </c>
      <c r="CS36" s="363">
        <v>0</v>
      </c>
      <c r="CT36" s="363">
        <v>0</v>
      </c>
      <c r="CU36" s="363">
        <v>0</v>
      </c>
      <c r="CV36" s="363">
        <v>0</v>
      </c>
      <c r="CW36" s="363">
        <v>0</v>
      </c>
      <c r="CX36" s="435">
        <v>0</v>
      </c>
      <c r="CY36" s="435">
        <v>0</v>
      </c>
      <c r="CZ36" s="435">
        <v>0</v>
      </c>
      <c r="DA36" s="435">
        <v>0</v>
      </c>
      <c r="DB36" s="363">
        <v>0</v>
      </c>
      <c r="DC36" s="435">
        <v>0</v>
      </c>
      <c r="DD36" s="435">
        <v>0</v>
      </c>
      <c r="DE36" s="435">
        <v>0</v>
      </c>
      <c r="DF36" s="435">
        <v>0</v>
      </c>
      <c r="DG36" s="363">
        <v>0</v>
      </c>
      <c r="DH36" s="362">
        <v>0</v>
      </c>
      <c r="DI36" s="362">
        <v>0</v>
      </c>
      <c r="DJ36" s="362">
        <v>0</v>
      </c>
      <c r="DK36" s="363">
        <v>0</v>
      </c>
      <c r="DL36" s="363">
        <v>0</v>
      </c>
      <c r="DM36" s="363">
        <v>0</v>
      </c>
      <c r="DN36" s="363">
        <v>0</v>
      </c>
      <c r="DO36" s="363">
        <v>0</v>
      </c>
      <c r="DP36" s="363">
        <v>0</v>
      </c>
      <c r="DQ36" s="363">
        <v>0</v>
      </c>
      <c r="DR36" s="363">
        <v>0</v>
      </c>
      <c r="DS36" s="363">
        <v>0</v>
      </c>
      <c r="DT36" s="363">
        <v>0</v>
      </c>
      <c r="DU36" s="363">
        <v>0</v>
      </c>
      <c r="DV36" s="363">
        <v>0</v>
      </c>
      <c r="DW36" s="435">
        <v>0</v>
      </c>
      <c r="DX36" s="435">
        <v>0</v>
      </c>
      <c r="DY36" s="435">
        <v>0</v>
      </c>
      <c r="DZ36" s="435">
        <v>0</v>
      </c>
      <c r="EA36" s="363">
        <v>0</v>
      </c>
      <c r="EB36" s="435">
        <v>0</v>
      </c>
      <c r="EC36" s="435">
        <v>0</v>
      </c>
      <c r="ED36" s="435">
        <v>0</v>
      </c>
      <c r="EE36" s="435">
        <v>0</v>
      </c>
      <c r="EF36" s="363">
        <v>0</v>
      </c>
      <c r="EG36" s="364">
        <v>0</v>
      </c>
      <c r="EH36" s="364">
        <v>0</v>
      </c>
      <c r="EI36" s="364">
        <v>0</v>
      </c>
      <c r="EJ36" s="365">
        <v>0</v>
      </c>
      <c r="EK36" s="365">
        <v>0</v>
      </c>
      <c r="EL36" s="365">
        <v>0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436">
        <v>0</v>
      </c>
      <c r="EW36" s="436">
        <v>0</v>
      </c>
      <c r="EX36" s="436">
        <v>0</v>
      </c>
      <c r="EY36" s="436">
        <v>0</v>
      </c>
      <c r="EZ36" s="365">
        <v>0</v>
      </c>
      <c r="FA36" s="436">
        <v>0</v>
      </c>
      <c r="FB36" s="436">
        <v>0</v>
      </c>
      <c r="FC36" s="436">
        <v>0</v>
      </c>
      <c r="FD36" s="436">
        <v>0</v>
      </c>
      <c r="FE36" s="365">
        <v>0</v>
      </c>
      <c r="FF36" s="364">
        <v>0</v>
      </c>
      <c r="FG36" s="364">
        <v>0</v>
      </c>
      <c r="FH36" s="364">
        <v>0</v>
      </c>
      <c r="FI36" s="365">
        <v>0</v>
      </c>
      <c r="FJ36" s="365">
        <v>0</v>
      </c>
      <c r="FK36" s="365">
        <v>0</v>
      </c>
      <c r="FL36" s="365">
        <v>0</v>
      </c>
      <c r="FM36" s="365">
        <v>0</v>
      </c>
      <c r="FN36" s="365">
        <v>0</v>
      </c>
      <c r="FO36" s="365">
        <v>0</v>
      </c>
      <c r="FP36" s="365">
        <v>0</v>
      </c>
      <c r="FQ36" s="365">
        <v>0</v>
      </c>
      <c r="FR36" s="365">
        <v>0</v>
      </c>
      <c r="FS36" s="365">
        <v>0</v>
      </c>
      <c r="FT36" s="365">
        <v>0</v>
      </c>
      <c r="FU36" s="436">
        <v>0</v>
      </c>
      <c r="FV36" s="436">
        <v>0</v>
      </c>
      <c r="FW36" s="436">
        <v>0</v>
      </c>
      <c r="FX36" s="436">
        <v>0</v>
      </c>
      <c r="FY36" s="365">
        <v>0</v>
      </c>
      <c r="FZ36" s="436">
        <v>0</v>
      </c>
      <c r="GA36" s="436">
        <v>0</v>
      </c>
      <c r="GB36" s="436">
        <v>0</v>
      </c>
      <c r="GC36" s="436">
        <v>0</v>
      </c>
      <c r="GD36" s="365">
        <v>0</v>
      </c>
    </row>
    <row r="37" spans="1:186" ht="15" x14ac:dyDescent="0.25">
      <c r="A37" s="357">
        <v>138</v>
      </c>
      <c r="B37" s="357">
        <v>69</v>
      </c>
      <c r="C37" s="357" t="s">
        <v>946</v>
      </c>
      <c r="D37" s="2">
        <v>99714</v>
      </c>
      <c r="E37" s="268" t="s">
        <v>19</v>
      </c>
      <c r="F37" s="358" t="s">
        <v>915</v>
      </c>
      <c r="G37" s="49">
        <v>106</v>
      </c>
      <c r="H37" s="49">
        <v>55</v>
      </c>
      <c r="I37" s="49">
        <v>34</v>
      </c>
      <c r="J37" s="49">
        <v>21</v>
      </c>
      <c r="K37" s="49">
        <v>0</v>
      </c>
      <c r="L37" s="49">
        <v>2</v>
      </c>
      <c r="M37" s="49">
        <v>2</v>
      </c>
      <c r="N37" s="49">
        <v>0</v>
      </c>
      <c r="O37" s="49">
        <v>0</v>
      </c>
      <c r="P37" s="49">
        <v>0</v>
      </c>
      <c r="Q37" s="49">
        <v>2</v>
      </c>
      <c r="R37" s="49">
        <v>0</v>
      </c>
      <c r="S37" s="49">
        <v>1003</v>
      </c>
      <c r="T37" s="49">
        <v>1003</v>
      </c>
      <c r="U37" s="49">
        <v>0</v>
      </c>
      <c r="V37" s="49">
        <v>0</v>
      </c>
      <c r="W37" s="49">
        <v>0</v>
      </c>
      <c r="X37" s="49">
        <v>1003</v>
      </c>
      <c r="Y37" s="434">
        <v>2006</v>
      </c>
      <c r="Z37" s="434">
        <v>0</v>
      </c>
      <c r="AA37" s="49">
        <v>0</v>
      </c>
      <c r="AB37" s="49">
        <v>55</v>
      </c>
      <c r="AC37" s="49">
        <v>0</v>
      </c>
      <c r="AD37" s="285">
        <v>0</v>
      </c>
      <c r="AE37" s="285">
        <v>0</v>
      </c>
      <c r="AF37" s="359">
        <v>55</v>
      </c>
      <c r="AG37" s="360">
        <v>0</v>
      </c>
      <c r="AH37" s="360">
        <v>34</v>
      </c>
      <c r="AI37" s="361">
        <v>34</v>
      </c>
      <c r="AJ37" s="360">
        <v>0</v>
      </c>
      <c r="AK37" s="360">
        <v>0</v>
      </c>
      <c r="AL37" s="360">
        <v>51.597152380531703</v>
      </c>
      <c r="AM37" s="360">
        <v>51.597152380531703</v>
      </c>
      <c r="AN37" s="360">
        <v>0</v>
      </c>
      <c r="AO37" s="360">
        <v>0</v>
      </c>
      <c r="AP37" s="360">
        <v>32.517232722668183</v>
      </c>
      <c r="AQ37" s="360">
        <v>32.517232722668183</v>
      </c>
      <c r="AR37" s="360">
        <v>0</v>
      </c>
      <c r="AS37" s="360">
        <v>0</v>
      </c>
      <c r="AT37" s="360">
        <v>0</v>
      </c>
      <c r="AU37" s="360">
        <v>48.404838795996518</v>
      </c>
      <c r="AV37" s="360">
        <v>49.975512436713494</v>
      </c>
      <c r="AW37" s="360">
        <v>51.597152380531703</v>
      </c>
      <c r="AX37" s="360">
        <v>53.271412417254751</v>
      </c>
      <c r="AY37" s="360">
        <v>55</v>
      </c>
      <c r="AZ37" s="360">
        <v>31.099130115887132</v>
      </c>
      <c r="BA37" s="360">
        <v>31.80027753732411</v>
      </c>
      <c r="BB37" s="360">
        <v>32.517232722668183</v>
      </c>
      <c r="BC37" s="360">
        <v>33.250352066868679</v>
      </c>
      <c r="BD37" s="360">
        <v>34</v>
      </c>
      <c r="BE37" s="360">
        <v>0</v>
      </c>
      <c r="BF37" s="360">
        <v>0</v>
      </c>
      <c r="BG37" s="360">
        <v>0</v>
      </c>
      <c r="BH37" s="360">
        <v>0</v>
      </c>
      <c r="BI37" s="360">
        <v>0</v>
      </c>
      <c r="BJ37" s="362">
        <v>55.624816097692332</v>
      </c>
      <c r="BK37" s="362">
        <v>56.256730289128953</v>
      </c>
      <c r="BL37" s="362">
        <v>56.895823210732289</v>
      </c>
      <c r="BM37" s="363">
        <v>56.521758135889989</v>
      </c>
      <c r="BN37" s="363">
        <v>56.150152374795525</v>
      </c>
      <c r="BO37" s="363">
        <v>55.970846763629773</v>
      </c>
      <c r="BP37" s="363">
        <v>55.792113733317962</v>
      </c>
      <c r="BQ37" s="363">
        <v>55.613951455424086</v>
      </c>
      <c r="BR37" s="363">
        <v>55.436358107350934</v>
      </c>
      <c r="BS37" s="363">
        <v>55.259331872321454</v>
      </c>
      <c r="BT37" s="363">
        <v>55.668083372569455</v>
      </c>
      <c r="BU37" s="363">
        <v>56.07985839451586</v>
      </c>
      <c r="BV37" s="363">
        <v>56.494679303053395</v>
      </c>
      <c r="BW37" s="363">
        <v>56.912568628507231</v>
      </c>
      <c r="BX37" s="363">
        <v>57.333549067858527</v>
      </c>
      <c r="BY37" s="435">
        <v>57.564650105561064</v>
      </c>
      <c r="BZ37" s="435">
        <v>57.795751143263608</v>
      </c>
      <c r="CA37" s="435">
        <v>58.026852180966145</v>
      </c>
      <c r="CB37" s="435">
        <v>58.257953218668689</v>
      </c>
      <c r="CC37" s="363">
        <v>58.489054256371226</v>
      </c>
      <c r="CD37" s="435">
        <v>58.678488801561876</v>
      </c>
      <c r="CE37" s="435">
        <v>58.867923346752534</v>
      </c>
      <c r="CF37" s="435">
        <v>59.057357891943184</v>
      </c>
      <c r="CG37" s="435">
        <v>59.246792437133841</v>
      </c>
      <c r="CH37" s="363">
        <v>59.436226982324492</v>
      </c>
      <c r="CI37" s="362">
        <v>34.386249951300712</v>
      </c>
      <c r="CJ37" s="362">
        <v>34.776887815097894</v>
      </c>
      <c r="CK37" s="362">
        <v>35.171963439361782</v>
      </c>
      <c r="CL37" s="363">
        <v>34.940723211277451</v>
      </c>
      <c r="CM37" s="363">
        <v>34.711003286237236</v>
      </c>
      <c r="CN37" s="363">
        <v>34.600159817516591</v>
      </c>
      <c r="CO37" s="363">
        <v>34.489670307869289</v>
      </c>
      <c r="CP37" s="363">
        <v>34.379533626989435</v>
      </c>
      <c r="CQ37" s="363">
        <v>34.269748648180581</v>
      </c>
      <c r="CR37" s="363">
        <v>34.160314248344172</v>
      </c>
      <c r="CS37" s="363">
        <v>34.412996993952028</v>
      </c>
      <c r="CT37" s="363">
        <v>34.667548825700713</v>
      </c>
      <c r="CU37" s="363">
        <v>34.923983569160285</v>
      </c>
      <c r="CV37" s="363">
        <v>35.182315152168108</v>
      </c>
      <c r="CW37" s="363">
        <v>35.442557605585279</v>
      </c>
      <c r="CX37" s="435">
        <v>35.585420065255938</v>
      </c>
      <c r="CY37" s="435">
        <v>35.728282524926598</v>
      </c>
      <c r="CZ37" s="435">
        <v>35.871144984597258</v>
      </c>
      <c r="DA37" s="435">
        <v>36.014007444267918</v>
      </c>
      <c r="DB37" s="363">
        <v>36.156869903938578</v>
      </c>
      <c r="DC37" s="435">
        <v>36.273974895510982</v>
      </c>
      <c r="DD37" s="435">
        <v>36.391079887083386</v>
      </c>
      <c r="DE37" s="435">
        <v>36.50818487865579</v>
      </c>
      <c r="DF37" s="435">
        <v>36.625289870228194</v>
      </c>
      <c r="DG37" s="363">
        <v>36.742394861800598</v>
      </c>
      <c r="DH37" s="362">
        <v>0</v>
      </c>
      <c r="DI37" s="362">
        <v>0</v>
      </c>
      <c r="DJ37" s="362">
        <v>0</v>
      </c>
      <c r="DK37" s="363">
        <v>0</v>
      </c>
      <c r="DL37" s="363">
        <v>0</v>
      </c>
      <c r="DM37" s="363">
        <v>0</v>
      </c>
      <c r="DN37" s="363">
        <v>0</v>
      </c>
      <c r="DO37" s="363">
        <v>0</v>
      </c>
      <c r="DP37" s="363">
        <v>0</v>
      </c>
      <c r="DQ37" s="363">
        <v>0</v>
      </c>
      <c r="DR37" s="363">
        <v>0</v>
      </c>
      <c r="DS37" s="363">
        <v>0</v>
      </c>
      <c r="DT37" s="363">
        <v>0</v>
      </c>
      <c r="DU37" s="363">
        <v>0</v>
      </c>
      <c r="DV37" s="363">
        <v>0</v>
      </c>
      <c r="DW37" s="435">
        <v>0</v>
      </c>
      <c r="DX37" s="435">
        <v>0</v>
      </c>
      <c r="DY37" s="435">
        <v>0</v>
      </c>
      <c r="DZ37" s="435">
        <v>0</v>
      </c>
      <c r="EA37" s="363">
        <v>0</v>
      </c>
      <c r="EB37" s="435">
        <v>0</v>
      </c>
      <c r="EC37" s="435">
        <v>0</v>
      </c>
      <c r="ED37" s="435">
        <v>0</v>
      </c>
      <c r="EE37" s="435">
        <v>0</v>
      </c>
      <c r="EF37" s="363">
        <v>0</v>
      </c>
      <c r="EG37" s="364">
        <v>0</v>
      </c>
      <c r="EH37" s="364">
        <v>0</v>
      </c>
      <c r="EI37" s="364">
        <v>0</v>
      </c>
      <c r="EJ37" s="365">
        <v>0</v>
      </c>
      <c r="EK37" s="365">
        <v>0</v>
      </c>
      <c r="EL37" s="365">
        <v>0</v>
      </c>
      <c r="EM37" s="365">
        <v>0</v>
      </c>
      <c r="EN37" s="365">
        <v>0</v>
      </c>
      <c r="EO37" s="365">
        <v>0</v>
      </c>
      <c r="EP37" s="365">
        <v>0</v>
      </c>
      <c r="EQ37" s="365">
        <v>0</v>
      </c>
      <c r="ER37" s="365">
        <v>0</v>
      </c>
      <c r="ES37" s="365">
        <v>0</v>
      </c>
      <c r="ET37" s="365">
        <v>0</v>
      </c>
      <c r="EU37" s="365">
        <v>0</v>
      </c>
      <c r="EV37" s="436">
        <v>0</v>
      </c>
      <c r="EW37" s="436">
        <v>0</v>
      </c>
      <c r="EX37" s="436">
        <v>0</v>
      </c>
      <c r="EY37" s="436">
        <v>0</v>
      </c>
      <c r="EZ37" s="365">
        <v>0</v>
      </c>
      <c r="FA37" s="436">
        <v>0</v>
      </c>
      <c r="FB37" s="436">
        <v>0</v>
      </c>
      <c r="FC37" s="436">
        <v>0</v>
      </c>
      <c r="FD37" s="436">
        <v>0</v>
      </c>
      <c r="FE37" s="365">
        <v>0</v>
      </c>
      <c r="FF37" s="364">
        <v>0</v>
      </c>
      <c r="FG37" s="364">
        <v>0</v>
      </c>
      <c r="FH37" s="364">
        <v>0</v>
      </c>
      <c r="FI37" s="365">
        <v>0</v>
      </c>
      <c r="FJ37" s="365">
        <v>0</v>
      </c>
      <c r="FK37" s="365">
        <v>0</v>
      </c>
      <c r="FL37" s="365">
        <v>0</v>
      </c>
      <c r="FM37" s="365">
        <v>0</v>
      </c>
      <c r="FN37" s="365">
        <v>0</v>
      </c>
      <c r="FO37" s="365">
        <v>0</v>
      </c>
      <c r="FP37" s="365">
        <v>0</v>
      </c>
      <c r="FQ37" s="365">
        <v>0</v>
      </c>
      <c r="FR37" s="365">
        <v>0</v>
      </c>
      <c r="FS37" s="365">
        <v>0</v>
      </c>
      <c r="FT37" s="365">
        <v>0</v>
      </c>
      <c r="FU37" s="436">
        <v>0</v>
      </c>
      <c r="FV37" s="436">
        <v>0</v>
      </c>
      <c r="FW37" s="436">
        <v>0</v>
      </c>
      <c r="FX37" s="436">
        <v>0</v>
      </c>
      <c r="FY37" s="365">
        <v>0</v>
      </c>
      <c r="FZ37" s="436">
        <v>0</v>
      </c>
      <c r="GA37" s="436">
        <v>0</v>
      </c>
      <c r="GB37" s="436">
        <v>0</v>
      </c>
      <c r="GC37" s="436">
        <v>0</v>
      </c>
      <c r="GD37" s="365">
        <v>0</v>
      </c>
    </row>
    <row r="38" spans="1:186" ht="15" x14ac:dyDescent="0.25">
      <c r="A38" s="357">
        <v>152</v>
      </c>
      <c r="B38" s="357">
        <v>69</v>
      </c>
      <c r="C38" s="357" t="s">
        <v>947</v>
      </c>
      <c r="D38" s="2">
        <v>99714</v>
      </c>
      <c r="E38" s="268" t="s">
        <v>19</v>
      </c>
      <c r="F38" s="358" t="s">
        <v>915</v>
      </c>
      <c r="G38" s="49">
        <v>2</v>
      </c>
      <c r="H38" s="49">
        <v>22</v>
      </c>
      <c r="I38" s="49">
        <v>1</v>
      </c>
      <c r="J38" s="49">
        <v>21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834.49503068156923</v>
      </c>
      <c r="T38" s="49">
        <v>834.49503068156923</v>
      </c>
      <c r="U38" s="49">
        <v>1408.3846153846155</v>
      </c>
      <c r="V38" s="49">
        <v>0</v>
      </c>
      <c r="W38" s="49">
        <v>0</v>
      </c>
      <c r="X38" s="49">
        <v>1365.173957061457</v>
      </c>
      <c r="Y38" s="434">
        <v>0</v>
      </c>
      <c r="Z38" s="434">
        <v>0</v>
      </c>
      <c r="AA38" s="49">
        <v>0.50407137907137911</v>
      </c>
      <c r="AB38" s="49">
        <v>21.467342342342342</v>
      </c>
      <c r="AC38" s="49">
        <v>2.8586278586278588E-2</v>
      </c>
      <c r="AD38" s="285">
        <v>0</v>
      </c>
      <c r="AE38" s="285">
        <v>0</v>
      </c>
      <c r="AF38" s="359">
        <v>22</v>
      </c>
      <c r="AG38" s="360">
        <v>2.2912335412335415E-2</v>
      </c>
      <c r="AH38" s="360">
        <v>0.97578828828828823</v>
      </c>
      <c r="AI38" s="361">
        <v>0.99870062370062362</v>
      </c>
      <c r="AJ38" s="360">
        <v>1.2993762993762994E-3</v>
      </c>
      <c r="AK38" s="360">
        <v>0.47288450466564924</v>
      </c>
      <c r="AL38" s="360">
        <v>20.139158800779605</v>
      </c>
      <c r="AM38" s="360">
        <v>20.612043305445255</v>
      </c>
      <c r="AN38" s="360">
        <v>2.6817646767428122E-2</v>
      </c>
      <c r="AO38" s="360">
        <v>2.1913110083021825E-2</v>
      </c>
      <c r="AP38" s="360">
        <v>0.93323337818600882</v>
      </c>
      <c r="AQ38" s="360">
        <v>0.95514648826903059</v>
      </c>
      <c r="AR38" s="360">
        <v>1.2427094565040733E-3</v>
      </c>
      <c r="AS38" s="360">
        <v>0</v>
      </c>
      <c r="AT38" s="360">
        <v>0</v>
      </c>
      <c r="AU38" s="360">
        <v>19.336777078275947</v>
      </c>
      <c r="AV38" s="360">
        <v>19.964230176121617</v>
      </c>
      <c r="AW38" s="360">
        <v>20.612043305445255</v>
      </c>
      <c r="AX38" s="360">
        <v>21.280877122610189</v>
      </c>
      <c r="AY38" s="360">
        <v>21.971413721413722</v>
      </c>
      <c r="AZ38" s="360">
        <v>0.91349178362598016</v>
      </c>
      <c r="BA38" s="360">
        <v>0.93408697089348591</v>
      </c>
      <c r="BB38" s="360">
        <v>0.95514648826903059</v>
      </c>
      <c r="BC38" s="360">
        <v>0.97668080433667848</v>
      </c>
      <c r="BD38" s="360">
        <v>0.99870062370062362</v>
      </c>
      <c r="BE38" s="360">
        <v>0</v>
      </c>
      <c r="BF38" s="360">
        <v>0</v>
      </c>
      <c r="BG38" s="360">
        <v>0</v>
      </c>
      <c r="BH38" s="360">
        <v>0</v>
      </c>
      <c r="BI38" s="360">
        <v>0</v>
      </c>
      <c r="BJ38" s="362">
        <v>22.221015411999129</v>
      </c>
      <c r="BK38" s="362">
        <v>22.47345265084434</v>
      </c>
      <c r="BL38" s="362">
        <v>22.728757650607506</v>
      </c>
      <c r="BM38" s="363">
        <v>22.579326041187656</v>
      </c>
      <c r="BN38" s="363">
        <v>22.430876879037339</v>
      </c>
      <c r="BO38" s="363">
        <v>22.359247828755635</v>
      </c>
      <c r="BP38" s="363">
        <v>22.287847513216313</v>
      </c>
      <c r="BQ38" s="363">
        <v>22.216675201995301</v>
      </c>
      <c r="BR38" s="363">
        <v>22.145730167001005</v>
      </c>
      <c r="BS38" s="363">
        <v>22.075011682466876</v>
      </c>
      <c r="BT38" s="363">
        <v>22.238299833761374</v>
      </c>
      <c r="BU38" s="363">
        <v>22.402795822258259</v>
      </c>
      <c r="BV38" s="363">
        <v>22.568508582290459</v>
      </c>
      <c r="BW38" s="363">
        <v>22.735447114277889</v>
      </c>
      <c r="BX38" s="363">
        <v>22.903620485216251</v>
      </c>
      <c r="BY38" s="435">
        <v>22.995940785412806</v>
      </c>
      <c r="BZ38" s="435">
        <v>23.088261085609361</v>
      </c>
      <c r="CA38" s="435">
        <v>23.180581385805919</v>
      </c>
      <c r="CB38" s="435">
        <v>23.272901686002474</v>
      </c>
      <c r="CC38" s="363">
        <v>23.365221986199028</v>
      </c>
      <c r="CD38" s="435">
        <v>23.440897345571969</v>
      </c>
      <c r="CE38" s="435">
        <v>23.516572704944906</v>
      </c>
      <c r="CF38" s="435">
        <v>23.592248064317847</v>
      </c>
      <c r="CG38" s="435">
        <v>23.667923423690784</v>
      </c>
      <c r="CH38" s="363">
        <v>23.743598783063725</v>
      </c>
      <c r="CI38" s="362">
        <v>1.0100461550908695</v>
      </c>
      <c r="CJ38" s="362">
        <v>1.0215205750383791</v>
      </c>
      <c r="CK38" s="362">
        <v>1.0331253477548865</v>
      </c>
      <c r="CL38" s="363">
        <v>1.0263330018721659</v>
      </c>
      <c r="CM38" s="363">
        <v>1.0195853126835153</v>
      </c>
      <c r="CN38" s="363">
        <v>1.0163294467616197</v>
      </c>
      <c r="CO38" s="363">
        <v>1.0130839778734688</v>
      </c>
      <c r="CP38" s="363">
        <v>1.009848872817968</v>
      </c>
      <c r="CQ38" s="363">
        <v>1.0066240985000456</v>
      </c>
      <c r="CR38" s="363">
        <v>1.0034096219303124</v>
      </c>
      <c r="CS38" s="363">
        <v>1.010831810625517</v>
      </c>
      <c r="CT38" s="363">
        <v>1.018308901011739</v>
      </c>
      <c r="CU38" s="363">
        <v>1.0258412991950208</v>
      </c>
      <c r="CV38" s="363">
        <v>1.0334294142853586</v>
      </c>
      <c r="CW38" s="363">
        <v>1.0410736584189204</v>
      </c>
      <c r="CX38" s="435">
        <v>1.045270035700582</v>
      </c>
      <c r="CY38" s="435">
        <v>1.0494664129822435</v>
      </c>
      <c r="CZ38" s="435">
        <v>1.0536627902639053</v>
      </c>
      <c r="DA38" s="435">
        <v>1.0578591675455669</v>
      </c>
      <c r="DB38" s="363">
        <v>1.0620555448272284</v>
      </c>
      <c r="DC38" s="435">
        <v>1.0654953338896347</v>
      </c>
      <c r="DD38" s="435">
        <v>1.068935122952041</v>
      </c>
      <c r="DE38" s="435">
        <v>1.0723749120144475</v>
      </c>
      <c r="DF38" s="435">
        <v>1.0758147010768537</v>
      </c>
      <c r="DG38" s="363">
        <v>1.07925449013926</v>
      </c>
      <c r="DH38" s="362">
        <v>0</v>
      </c>
      <c r="DI38" s="362">
        <v>0</v>
      </c>
      <c r="DJ38" s="362">
        <v>0</v>
      </c>
      <c r="DK38" s="363">
        <v>0</v>
      </c>
      <c r="DL38" s="363">
        <v>0</v>
      </c>
      <c r="DM38" s="363">
        <v>0</v>
      </c>
      <c r="DN38" s="363">
        <v>0</v>
      </c>
      <c r="DO38" s="363">
        <v>0</v>
      </c>
      <c r="DP38" s="363">
        <v>0</v>
      </c>
      <c r="DQ38" s="363">
        <v>0</v>
      </c>
      <c r="DR38" s="363">
        <v>0</v>
      </c>
      <c r="DS38" s="363">
        <v>0</v>
      </c>
      <c r="DT38" s="363">
        <v>0</v>
      </c>
      <c r="DU38" s="363">
        <v>0</v>
      </c>
      <c r="DV38" s="363">
        <v>0</v>
      </c>
      <c r="DW38" s="435">
        <v>0</v>
      </c>
      <c r="DX38" s="435">
        <v>0</v>
      </c>
      <c r="DY38" s="435">
        <v>0</v>
      </c>
      <c r="DZ38" s="435">
        <v>0</v>
      </c>
      <c r="EA38" s="363">
        <v>0</v>
      </c>
      <c r="EB38" s="435">
        <v>0</v>
      </c>
      <c r="EC38" s="435">
        <v>0</v>
      </c>
      <c r="ED38" s="435">
        <v>0</v>
      </c>
      <c r="EE38" s="435">
        <v>0</v>
      </c>
      <c r="EF38" s="363">
        <v>0</v>
      </c>
      <c r="EG38" s="364">
        <v>2.8911027077802669E-2</v>
      </c>
      <c r="EH38" s="364">
        <v>2.923946480723958E-2</v>
      </c>
      <c r="EI38" s="364">
        <v>2.9571633685411797E-2</v>
      </c>
      <c r="EJ38" s="365">
        <v>2.9377213168341992E-2</v>
      </c>
      <c r="EK38" s="365">
        <v>2.9184070880870858E-2</v>
      </c>
      <c r="EL38" s="365">
        <v>2.9090876696273273E-2</v>
      </c>
      <c r="EM38" s="365">
        <v>2.8997980110872124E-2</v>
      </c>
      <c r="EN38" s="365">
        <v>2.8905380174336848E-2</v>
      </c>
      <c r="EO38" s="365">
        <v>2.8813075939371591E-2</v>
      </c>
      <c r="EP38" s="365">
        <v>2.8721066461705538E-2</v>
      </c>
      <c r="EQ38" s="365">
        <v>2.8933515266408246E-2</v>
      </c>
      <c r="ER38" s="365">
        <v>2.914753554808517E-2</v>
      </c>
      <c r="ES38" s="365">
        <v>2.936313893090094E-2</v>
      </c>
      <c r="ET38" s="365">
        <v>2.9580337125003762E-2</v>
      </c>
      <c r="EU38" s="365">
        <v>2.9799141927161401E-2</v>
      </c>
      <c r="EV38" s="436">
        <v>2.9919256811622181E-2</v>
      </c>
      <c r="EW38" s="436">
        <v>3.0039371696082961E-2</v>
      </c>
      <c r="EX38" s="436">
        <v>3.0159486580543737E-2</v>
      </c>
      <c r="EY38" s="436">
        <v>3.0279601465004517E-2</v>
      </c>
      <c r="EZ38" s="365">
        <v>3.0399716349465297E-2</v>
      </c>
      <c r="FA38" s="436">
        <v>3.0498175052786843E-2</v>
      </c>
      <c r="FB38" s="436">
        <v>3.0596633756108389E-2</v>
      </c>
      <c r="FC38" s="436">
        <v>3.0695092459429932E-2</v>
      </c>
      <c r="FD38" s="436">
        <v>3.0793551162751478E-2</v>
      </c>
      <c r="FE38" s="365">
        <v>3.0892009866073024E-2</v>
      </c>
      <c r="FF38" s="364">
        <v>0</v>
      </c>
      <c r="FG38" s="364">
        <v>0</v>
      </c>
      <c r="FH38" s="364">
        <v>0</v>
      </c>
      <c r="FI38" s="365">
        <v>0</v>
      </c>
      <c r="FJ38" s="365">
        <v>0</v>
      </c>
      <c r="FK38" s="365">
        <v>0</v>
      </c>
      <c r="FL38" s="365">
        <v>0</v>
      </c>
      <c r="FM38" s="365">
        <v>0</v>
      </c>
      <c r="FN38" s="365">
        <v>0</v>
      </c>
      <c r="FO38" s="365">
        <v>0</v>
      </c>
      <c r="FP38" s="365">
        <v>0</v>
      </c>
      <c r="FQ38" s="365">
        <v>0</v>
      </c>
      <c r="FR38" s="365">
        <v>0</v>
      </c>
      <c r="FS38" s="365">
        <v>0</v>
      </c>
      <c r="FT38" s="365">
        <v>0</v>
      </c>
      <c r="FU38" s="436">
        <v>0</v>
      </c>
      <c r="FV38" s="436">
        <v>0</v>
      </c>
      <c r="FW38" s="436">
        <v>0</v>
      </c>
      <c r="FX38" s="436">
        <v>0</v>
      </c>
      <c r="FY38" s="365">
        <v>0</v>
      </c>
      <c r="FZ38" s="436">
        <v>0</v>
      </c>
      <c r="GA38" s="436">
        <v>0</v>
      </c>
      <c r="GB38" s="436">
        <v>0</v>
      </c>
      <c r="GC38" s="436">
        <v>0</v>
      </c>
      <c r="GD38" s="365">
        <v>0</v>
      </c>
    </row>
    <row r="39" spans="1:186" ht="15" x14ac:dyDescent="0.25">
      <c r="A39" s="357">
        <v>134</v>
      </c>
      <c r="B39" s="357">
        <v>70</v>
      </c>
      <c r="C39" s="357" t="s">
        <v>948</v>
      </c>
      <c r="D39" s="2">
        <v>99714</v>
      </c>
      <c r="E39" s="268" t="s">
        <v>19</v>
      </c>
      <c r="F39" s="358" t="s">
        <v>915</v>
      </c>
      <c r="G39" s="49">
        <v>127</v>
      </c>
      <c r="H39" s="49">
        <v>50</v>
      </c>
      <c r="I39" s="49">
        <v>45</v>
      </c>
      <c r="J39" s="49">
        <v>5</v>
      </c>
      <c r="K39" s="49">
        <v>0</v>
      </c>
      <c r="L39" s="49">
        <v>32</v>
      </c>
      <c r="M39" s="49">
        <v>32</v>
      </c>
      <c r="N39" s="49">
        <v>1</v>
      </c>
      <c r="O39" s="49">
        <v>0</v>
      </c>
      <c r="P39" s="49">
        <v>0</v>
      </c>
      <c r="Q39" s="49">
        <v>33</v>
      </c>
      <c r="R39" s="49">
        <v>0</v>
      </c>
      <c r="S39" s="49">
        <v>1735.09375</v>
      </c>
      <c r="T39" s="49">
        <v>1735.09375</v>
      </c>
      <c r="U39" s="49">
        <v>1452</v>
      </c>
      <c r="V39" s="49">
        <v>0</v>
      </c>
      <c r="W39" s="49">
        <v>0</v>
      </c>
      <c r="X39" s="49">
        <v>1726.5151515151515</v>
      </c>
      <c r="Y39" s="434">
        <v>55523</v>
      </c>
      <c r="Z39" s="434">
        <v>1452</v>
      </c>
      <c r="AA39" s="49">
        <v>0</v>
      </c>
      <c r="AB39" s="49">
        <v>50</v>
      </c>
      <c r="AC39" s="49">
        <v>0</v>
      </c>
      <c r="AD39" s="285">
        <v>1</v>
      </c>
      <c r="AE39" s="285">
        <v>0</v>
      </c>
      <c r="AF39" s="359">
        <v>51</v>
      </c>
      <c r="AG39" s="360">
        <v>0</v>
      </c>
      <c r="AH39" s="360">
        <v>45</v>
      </c>
      <c r="AI39" s="361">
        <v>45</v>
      </c>
      <c r="AJ39" s="360">
        <v>0</v>
      </c>
      <c r="AK39" s="360">
        <v>0</v>
      </c>
      <c r="AL39" s="360">
        <v>46.906502164119736</v>
      </c>
      <c r="AM39" s="360">
        <v>46.906502164119736</v>
      </c>
      <c r="AN39" s="360">
        <v>0</v>
      </c>
      <c r="AO39" s="360">
        <v>0</v>
      </c>
      <c r="AP39" s="360">
        <v>43.037513897649063</v>
      </c>
      <c r="AQ39" s="360">
        <v>43.037513897649063</v>
      </c>
      <c r="AR39" s="360">
        <v>0</v>
      </c>
      <c r="AS39" s="360">
        <v>0.96638421298841071</v>
      </c>
      <c r="AT39" s="360">
        <v>0</v>
      </c>
      <c r="AU39" s="360">
        <v>44.004398905451382</v>
      </c>
      <c r="AV39" s="360">
        <v>45.4322840333759</v>
      </c>
      <c r="AW39" s="360">
        <v>46.906502164119736</v>
      </c>
      <c r="AX39" s="360">
        <v>48.428556742958861</v>
      </c>
      <c r="AY39" s="360">
        <v>50</v>
      </c>
      <c r="AZ39" s="360">
        <v>41.160613388674143</v>
      </c>
      <c r="BA39" s="360">
        <v>42.088602622928967</v>
      </c>
      <c r="BB39" s="360">
        <v>43.037513897649063</v>
      </c>
      <c r="BC39" s="360">
        <v>44.007818912032072</v>
      </c>
      <c r="BD39" s="360">
        <v>45</v>
      </c>
      <c r="BE39" s="360">
        <v>0.93389844711322989</v>
      </c>
      <c r="BF39" s="360">
        <v>0.95000248200971427</v>
      </c>
      <c r="BG39" s="360">
        <v>0.96638421298841071</v>
      </c>
      <c r="BH39" s="360">
        <v>0.98304842860787411</v>
      </c>
      <c r="BI39" s="360">
        <v>1</v>
      </c>
      <c r="BJ39" s="362">
        <v>50.568014634265758</v>
      </c>
      <c r="BK39" s="362">
        <v>51.142482081026316</v>
      </c>
      <c r="BL39" s="362">
        <v>51.723475646120264</v>
      </c>
      <c r="BM39" s="363">
        <v>51.383416487172717</v>
      </c>
      <c r="BN39" s="363">
        <v>51.045593067995931</v>
      </c>
      <c r="BO39" s="363">
        <v>50.882587966936157</v>
      </c>
      <c r="BP39" s="363">
        <v>50.72010339392542</v>
      </c>
      <c r="BQ39" s="363">
        <v>50.55813768674917</v>
      </c>
      <c r="BR39" s="363">
        <v>50.396689188500851</v>
      </c>
      <c r="BS39" s="363">
        <v>50.235756247564957</v>
      </c>
      <c r="BT39" s="363">
        <v>50.607348520517689</v>
      </c>
      <c r="BU39" s="363">
        <v>50.981689449559873</v>
      </c>
      <c r="BV39" s="363">
        <v>51.358799366412178</v>
      </c>
      <c r="BW39" s="363">
        <v>51.738698753188395</v>
      </c>
      <c r="BX39" s="363">
        <v>52.121408243507751</v>
      </c>
      <c r="BY39" s="435">
        <v>52.331500095964607</v>
      </c>
      <c r="BZ39" s="435">
        <v>52.541591948421463</v>
      </c>
      <c r="CA39" s="435">
        <v>52.751683800878311</v>
      </c>
      <c r="CB39" s="435">
        <v>52.961775653335167</v>
      </c>
      <c r="CC39" s="363">
        <v>53.171867505792022</v>
      </c>
      <c r="CD39" s="435">
        <v>53.344080728692617</v>
      </c>
      <c r="CE39" s="435">
        <v>53.516293951593212</v>
      </c>
      <c r="CF39" s="435">
        <v>53.6885071744938</v>
      </c>
      <c r="CG39" s="435">
        <v>53.860720397394395</v>
      </c>
      <c r="CH39" s="363">
        <v>54.03293362029499</v>
      </c>
      <c r="CI39" s="362">
        <v>45.511213170839184</v>
      </c>
      <c r="CJ39" s="362">
        <v>46.028233872923686</v>
      </c>
      <c r="CK39" s="362">
        <v>46.551128081508239</v>
      </c>
      <c r="CL39" s="363">
        <v>46.245074838455444</v>
      </c>
      <c r="CM39" s="363">
        <v>45.941033761196337</v>
      </c>
      <c r="CN39" s="363">
        <v>45.794329170242541</v>
      </c>
      <c r="CO39" s="363">
        <v>45.648093054532879</v>
      </c>
      <c r="CP39" s="363">
        <v>45.502323918074254</v>
      </c>
      <c r="CQ39" s="363">
        <v>45.357020269650768</v>
      </c>
      <c r="CR39" s="363">
        <v>45.212180622808461</v>
      </c>
      <c r="CS39" s="363">
        <v>45.546613668465923</v>
      </c>
      <c r="CT39" s="363">
        <v>45.883520504603887</v>
      </c>
      <c r="CU39" s="363">
        <v>46.222919429770968</v>
      </c>
      <c r="CV39" s="363">
        <v>46.564828877869552</v>
      </c>
      <c r="CW39" s="363">
        <v>46.909267419156983</v>
      </c>
      <c r="CX39" s="435">
        <v>47.09835008636815</v>
      </c>
      <c r="CY39" s="435">
        <v>47.287432753579317</v>
      </c>
      <c r="CZ39" s="435">
        <v>47.476515420790491</v>
      </c>
      <c r="DA39" s="435">
        <v>47.665598088001659</v>
      </c>
      <c r="DB39" s="363">
        <v>47.854680755212826</v>
      </c>
      <c r="DC39" s="435">
        <v>48.009672655823358</v>
      </c>
      <c r="DD39" s="435">
        <v>48.164664556433891</v>
      </c>
      <c r="DE39" s="435">
        <v>48.319656457044431</v>
      </c>
      <c r="DF39" s="435">
        <v>48.474648357654964</v>
      </c>
      <c r="DG39" s="363">
        <v>48.629640258265496</v>
      </c>
      <c r="DH39" s="362">
        <v>1.0113602926853151</v>
      </c>
      <c r="DI39" s="362">
        <v>1.0228496416205264</v>
      </c>
      <c r="DJ39" s="362">
        <v>1.0344695129224053</v>
      </c>
      <c r="DK39" s="363">
        <v>1.0276683297434543</v>
      </c>
      <c r="DL39" s="363">
        <v>1.0209118613599186</v>
      </c>
      <c r="DM39" s="363">
        <v>1.0176517593387231</v>
      </c>
      <c r="DN39" s="363">
        <v>1.0144020678785084</v>
      </c>
      <c r="DO39" s="363">
        <v>1.0111627537349834</v>
      </c>
      <c r="DP39" s="363">
        <v>1.0079337837700171</v>
      </c>
      <c r="DQ39" s="363">
        <v>1.0047151249512991</v>
      </c>
      <c r="DR39" s="363">
        <v>1.0121469704103538</v>
      </c>
      <c r="DS39" s="363">
        <v>1.0196337889911975</v>
      </c>
      <c r="DT39" s="363">
        <v>1.0271759873282436</v>
      </c>
      <c r="DU39" s="363">
        <v>1.0347739750637679</v>
      </c>
      <c r="DV39" s="363">
        <v>1.0424281648701552</v>
      </c>
      <c r="DW39" s="435">
        <v>1.0466300019192922</v>
      </c>
      <c r="DX39" s="435">
        <v>1.0508318389684292</v>
      </c>
      <c r="DY39" s="435">
        <v>1.0550336760175665</v>
      </c>
      <c r="DZ39" s="435">
        <v>1.0592355130667035</v>
      </c>
      <c r="EA39" s="363">
        <v>1.0634373501158405</v>
      </c>
      <c r="EB39" s="435">
        <v>1.0668816145738524</v>
      </c>
      <c r="EC39" s="435">
        <v>1.0703258790318642</v>
      </c>
      <c r="ED39" s="435">
        <v>1.0737701434898761</v>
      </c>
      <c r="EE39" s="435">
        <v>1.0772144079478878</v>
      </c>
      <c r="EF39" s="363">
        <v>1.0806586724058997</v>
      </c>
      <c r="EG39" s="364">
        <v>0</v>
      </c>
      <c r="EH39" s="364">
        <v>0</v>
      </c>
      <c r="EI39" s="364">
        <v>0</v>
      </c>
      <c r="EJ39" s="365">
        <v>0</v>
      </c>
      <c r="EK39" s="365">
        <v>0</v>
      </c>
      <c r="EL39" s="365">
        <v>0</v>
      </c>
      <c r="EM39" s="365">
        <v>0</v>
      </c>
      <c r="EN39" s="365">
        <v>0</v>
      </c>
      <c r="EO39" s="365">
        <v>0</v>
      </c>
      <c r="EP39" s="365">
        <v>0</v>
      </c>
      <c r="EQ39" s="365">
        <v>0</v>
      </c>
      <c r="ER39" s="365">
        <v>0</v>
      </c>
      <c r="ES39" s="365">
        <v>0</v>
      </c>
      <c r="ET39" s="365">
        <v>0</v>
      </c>
      <c r="EU39" s="365">
        <v>0</v>
      </c>
      <c r="EV39" s="436">
        <v>0</v>
      </c>
      <c r="EW39" s="436">
        <v>0</v>
      </c>
      <c r="EX39" s="436">
        <v>0</v>
      </c>
      <c r="EY39" s="436">
        <v>0</v>
      </c>
      <c r="EZ39" s="365">
        <v>0</v>
      </c>
      <c r="FA39" s="436">
        <v>0</v>
      </c>
      <c r="FB39" s="436">
        <v>0</v>
      </c>
      <c r="FC39" s="436">
        <v>0</v>
      </c>
      <c r="FD39" s="436">
        <v>0</v>
      </c>
      <c r="FE39" s="365">
        <v>0</v>
      </c>
      <c r="FF39" s="364">
        <v>0</v>
      </c>
      <c r="FG39" s="364">
        <v>0</v>
      </c>
      <c r="FH39" s="364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0</v>
      </c>
      <c r="FO39" s="365">
        <v>0</v>
      </c>
      <c r="FP39" s="365">
        <v>0</v>
      </c>
      <c r="FQ39" s="365">
        <v>0</v>
      </c>
      <c r="FR39" s="365">
        <v>0</v>
      </c>
      <c r="FS39" s="365">
        <v>0</v>
      </c>
      <c r="FT39" s="365">
        <v>0</v>
      </c>
      <c r="FU39" s="436">
        <v>0</v>
      </c>
      <c r="FV39" s="436">
        <v>0</v>
      </c>
      <c r="FW39" s="436">
        <v>0</v>
      </c>
      <c r="FX39" s="436">
        <v>0</v>
      </c>
      <c r="FY39" s="365">
        <v>0</v>
      </c>
      <c r="FZ39" s="436">
        <v>0</v>
      </c>
      <c r="GA39" s="436">
        <v>0</v>
      </c>
      <c r="GB39" s="436">
        <v>0</v>
      </c>
      <c r="GC39" s="436">
        <v>0</v>
      </c>
      <c r="GD39" s="365">
        <v>0</v>
      </c>
    </row>
    <row r="40" spans="1:186" ht="15" x14ac:dyDescent="0.25">
      <c r="A40" s="357">
        <v>133</v>
      </c>
      <c r="B40" s="357">
        <v>71</v>
      </c>
      <c r="C40" s="357" t="s">
        <v>949</v>
      </c>
      <c r="D40" s="2">
        <v>99714</v>
      </c>
      <c r="E40" s="268" t="s">
        <v>19</v>
      </c>
      <c r="F40" s="358" t="s">
        <v>915</v>
      </c>
      <c r="G40" s="49">
        <v>6</v>
      </c>
      <c r="H40" s="49">
        <v>9</v>
      </c>
      <c r="I40" s="49">
        <v>4</v>
      </c>
      <c r="J40" s="49">
        <v>5</v>
      </c>
      <c r="K40" s="49">
        <v>0</v>
      </c>
      <c r="L40" s="49">
        <v>28</v>
      </c>
      <c r="M40" s="49">
        <v>28</v>
      </c>
      <c r="N40" s="49">
        <v>2</v>
      </c>
      <c r="O40" s="49">
        <v>0</v>
      </c>
      <c r="P40" s="49">
        <v>0</v>
      </c>
      <c r="Q40" s="49">
        <v>30</v>
      </c>
      <c r="R40" s="49">
        <v>0</v>
      </c>
      <c r="S40" s="49">
        <v>1967.2142857142858</v>
      </c>
      <c r="T40" s="49">
        <v>1967.2142857142858</v>
      </c>
      <c r="U40" s="49">
        <v>1040</v>
      </c>
      <c r="V40" s="49">
        <v>0</v>
      </c>
      <c r="W40" s="49">
        <v>0</v>
      </c>
      <c r="X40" s="49">
        <v>1905.4</v>
      </c>
      <c r="Y40" s="434">
        <v>55082</v>
      </c>
      <c r="Z40" s="434">
        <v>2080</v>
      </c>
      <c r="AA40" s="49">
        <v>0</v>
      </c>
      <c r="AB40" s="49">
        <v>9</v>
      </c>
      <c r="AC40" s="49">
        <v>0</v>
      </c>
      <c r="AD40" s="285">
        <v>2</v>
      </c>
      <c r="AE40" s="285">
        <v>0</v>
      </c>
      <c r="AF40" s="359">
        <v>11</v>
      </c>
      <c r="AG40" s="360">
        <v>0</v>
      </c>
      <c r="AH40" s="360">
        <v>4</v>
      </c>
      <c r="AI40" s="361">
        <v>4</v>
      </c>
      <c r="AJ40" s="360">
        <v>0</v>
      </c>
      <c r="AK40" s="360">
        <v>0</v>
      </c>
      <c r="AL40" s="360">
        <v>8.4431703895415513</v>
      </c>
      <c r="AM40" s="360">
        <v>8.4431703895415513</v>
      </c>
      <c r="AN40" s="360">
        <v>0</v>
      </c>
      <c r="AO40" s="360">
        <v>0</v>
      </c>
      <c r="AP40" s="360">
        <v>3.8255567909021391</v>
      </c>
      <c r="AQ40" s="360">
        <v>3.8255567909021391</v>
      </c>
      <c r="AR40" s="360">
        <v>0</v>
      </c>
      <c r="AS40" s="360">
        <v>1.9327684259768214</v>
      </c>
      <c r="AT40" s="360">
        <v>0</v>
      </c>
      <c r="AU40" s="360">
        <v>7.9207918029812481</v>
      </c>
      <c r="AV40" s="360">
        <v>8.1778111260076631</v>
      </c>
      <c r="AW40" s="360">
        <v>8.4431703895415513</v>
      </c>
      <c r="AX40" s="360">
        <v>8.7171402137325948</v>
      </c>
      <c r="AY40" s="360">
        <v>9</v>
      </c>
      <c r="AZ40" s="360">
        <v>3.6587211901043681</v>
      </c>
      <c r="BA40" s="360">
        <v>3.7412091220381307</v>
      </c>
      <c r="BB40" s="360">
        <v>3.8255567909021391</v>
      </c>
      <c r="BC40" s="360">
        <v>3.9118061255139622</v>
      </c>
      <c r="BD40" s="360">
        <v>4</v>
      </c>
      <c r="BE40" s="360">
        <v>1.8677968942264598</v>
      </c>
      <c r="BF40" s="360">
        <v>1.9000049640194285</v>
      </c>
      <c r="BG40" s="360">
        <v>1.9327684259768214</v>
      </c>
      <c r="BH40" s="360">
        <v>1.9660968572157482</v>
      </c>
      <c r="BI40" s="360">
        <v>2</v>
      </c>
      <c r="BJ40" s="362">
        <v>9.1022426341678369</v>
      </c>
      <c r="BK40" s="362">
        <v>9.2056467745847375</v>
      </c>
      <c r="BL40" s="362">
        <v>9.310225616301647</v>
      </c>
      <c r="BM40" s="363">
        <v>9.2490149676910889</v>
      </c>
      <c r="BN40" s="363">
        <v>9.1882067522392674</v>
      </c>
      <c r="BO40" s="363">
        <v>9.1588658340485072</v>
      </c>
      <c r="BP40" s="363">
        <v>9.1296186109065758</v>
      </c>
      <c r="BQ40" s="363">
        <v>9.10046478361485</v>
      </c>
      <c r="BR40" s="363">
        <v>9.0714040539301539</v>
      </c>
      <c r="BS40" s="363">
        <v>9.0424361245616911</v>
      </c>
      <c r="BT40" s="363">
        <v>9.1093227336931832</v>
      </c>
      <c r="BU40" s="363">
        <v>9.1767041009207766</v>
      </c>
      <c r="BV40" s="363">
        <v>9.2445838859541922</v>
      </c>
      <c r="BW40" s="363">
        <v>9.3129657755739093</v>
      </c>
      <c r="BX40" s="363">
        <v>9.3818534838313958</v>
      </c>
      <c r="BY40" s="435">
        <v>9.4196700172736296</v>
      </c>
      <c r="BZ40" s="435">
        <v>9.4574865507158634</v>
      </c>
      <c r="CA40" s="435">
        <v>9.4953030841580954</v>
      </c>
      <c r="CB40" s="435">
        <v>9.5331196176003292</v>
      </c>
      <c r="CC40" s="363">
        <v>9.570936151042563</v>
      </c>
      <c r="CD40" s="435">
        <v>9.6019345311646696</v>
      </c>
      <c r="CE40" s="435">
        <v>9.6329329112867761</v>
      </c>
      <c r="CF40" s="435">
        <v>9.6639312914088844</v>
      </c>
      <c r="CG40" s="435">
        <v>9.6949296715309909</v>
      </c>
      <c r="CH40" s="363">
        <v>9.7259280516530975</v>
      </c>
      <c r="CI40" s="362">
        <v>4.0454411707412605</v>
      </c>
      <c r="CJ40" s="362">
        <v>4.0913985664821055</v>
      </c>
      <c r="CK40" s="362">
        <v>4.1378780516896212</v>
      </c>
      <c r="CL40" s="363">
        <v>4.1106733189738174</v>
      </c>
      <c r="CM40" s="363">
        <v>4.0836474454396745</v>
      </c>
      <c r="CN40" s="363">
        <v>4.0706070373548924</v>
      </c>
      <c r="CO40" s="363">
        <v>4.0576082715140336</v>
      </c>
      <c r="CP40" s="363">
        <v>4.0446510149399337</v>
      </c>
      <c r="CQ40" s="363">
        <v>4.0317351350800683</v>
      </c>
      <c r="CR40" s="363">
        <v>4.0188604998051964</v>
      </c>
      <c r="CS40" s="363">
        <v>4.0485878816414154</v>
      </c>
      <c r="CT40" s="363">
        <v>4.07853515596479</v>
      </c>
      <c r="CU40" s="363">
        <v>4.1087039493129742</v>
      </c>
      <c r="CV40" s="363">
        <v>4.1390959002550716</v>
      </c>
      <c r="CW40" s="363">
        <v>4.1697126594806209</v>
      </c>
      <c r="CX40" s="435">
        <v>4.1865200076771689</v>
      </c>
      <c r="CY40" s="435">
        <v>4.203327355873717</v>
      </c>
      <c r="CZ40" s="435">
        <v>4.2201347040702659</v>
      </c>
      <c r="DA40" s="435">
        <v>4.236942052266814</v>
      </c>
      <c r="DB40" s="363">
        <v>4.253749400463362</v>
      </c>
      <c r="DC40" s="435">
        <v>4.2675264582954098</v>
      </c>
      <c r="DD40" s="435">
        <v>4.2813035161274566</v>
      </c>
      <c r="DE40" s="435">
        <v>4.2950805739595044</v>
      </c>
      <c r="DF40" s="435">
        <v>4.3088576317915512</v>
      </c>
      <c r="DG40" s="363">
        <v>4.322634689623599</v>
      </c>
      <c r="DH40" s="362">
        <v>2.0227205853706303</v>
      </c>
      <c r="DI40" s="362">
        <v>2.0456992832410528</v>
      </c>
      <c r="DJ40" s="362">
        <v>2.0689390258448106</v>
      </c>
      <c r="DK40" s="363">
        <v>2.0553366594869087</v>
      </c>
      <c r="DL40" s="363">
        <v>2.0418237227198373</v>
      </c>
      <c r="DM40" s="363">
        <v>2.0353035186774462</v>
      </c>
      <c r="DN40" s="363">
        <v>2.0288041357570168</v>
      </c>
      <c r="DO40" s="363">
        <v>2.0223255074699669</v>
      </c>
      <c r="DP40" s="363">
        <v>2.0158675675400342</v>
      </c>
      <c r="DQ40" s="363">
        <v>2.0094302499025982</v>
      </c>
      <c r="DR40" s="363">
        <v>2.0242939408207077</v>
      </c>
      <c r="DS40" s="363">
        <v>2.039267577982395</v>
      </c>
      <c r="DT40" s="363">
        <v>2.0543519746564871</v>
      </c>
      <c r="DU40" s="363">
        <v>2.0695479501275358</v>
      </c>
      <c r="DV40" s="363">
        <v>2.0848563297403104</v>
      </c>
      <c r="DW40" s="435">
        <v>2.0932600038385845</v>
      </c>
      <c r="DX40" s="435">
        <v>2.1016636779368585</v>
      </c>
      <c r="DY40" s="435">
        <v>2.110067352035133</v>
      </c>
      <c r="DZ40" s="435">
        <v>2.118471026133407</v>
      </c>
      <c r="EA40" s="363">
        <v>2.126874700231681</v>
      </c>
      <c r="EB40" s="435">
        <v>2.1337632291477049</v>
      </c>
      <c r="EC40" s="435">
        <v>2.1406517580637283</v>
      </c>
      <c r="ED40" s="435">
        <v>2.1475402869797522</v>
      </c>
      <c r="EE40" s="435">
        <v>2.1544288158957756</v>
      </c>
      <c r="EF40" s="363">
        <v>2.1613173448117995</v>
      </c>
      <c r="EG40" s="364">
        <v>0</v>
      </c>
      <c r="EH40" s="364">
        <v>0</v>
      </c>
      <c r="EI40" s="364">
        <v>0</v>
      </c>
      <c r="EJ40" s="365">
        <v>0</v>
      </c>
      <c r="EK40" s="365">
        <v>0</v>
      </c>
      <c r="EL40" s="365">
        <v>0</v>
      </c>
      <c r="EM40" s="365">
        <v>0</v>
      </c>
      <c r="EN40" s="365">
        <v>0</v>
      </c>
      <c r="EO40" s="365">
        <v>0</v>
      </c>
      <c r="EP40" s="365">
        <v>0</v>
      </c>
      <c r="EQ40" s="365">
        <v>0</v>
      </c>
      <c r="ER40" s="365">
        <v>0</v>
      </c>
      <c r="ES40" s="365">
        <v>0</v>
      </c>
      <c r="ET40" s="365">
        <v>0</v>
      </c>
      <c r="EU40" s="365">
        <v>0</v>
      </c>
      <c r="EV40" s="436">
        <v>0</v>
      </c>
      <c r="EW40" s="436">
        <v>0</v>
      </c>
      <c r="EX40" s="436">
        <v>0</v>
      </c>
      <c r="EY40" s="436">
        <v>0</v>
      </c>
      <c r="EZ40" s="365">
        <v>0</v>
      </c>
      <c r="FA40" s="436">
        <v>0</v>
      </c>
      <c r="FB40" s="436">
        <v>0</v>
      </c>
      <c r="FC40" s="436">
        <v>0</v>
      </c>
      <c r="FD40" s="436">
        <v>0</v>
      </c>
      <c r="FE40" s="365">
        <v>0</v>
      </c>
      <c r="FF40" s="364">
        <v>0</v>
      </c>
      <c r="FG40" s="364">
        <v>0</v>
      </c>
      <c r="FH40" s="364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5">
        <v>0</v>
      </c>
      <c r="FP40" s="365">
        <v>0</v>
      </c>
      <c r="FQ40" s="365">
        <v>0</v>
      </c>
      <c r="FR40" s="365">
        <v>0</v>
      </c>
      <c r="FS40" s="365">
        <v>0</v>
      </c>
      <c r="FT40" s="365">
        <v>0</v>
      </c>
      <c r="FU40" s="436">
        <v>0</v>
      </c>
      <c r="FV40" s="436">
        <v>0</v>
      </c>
      <c r="FW40" s="436">
        <v>0</v>
      </c>
      <c r="FX40" s="436">
        <v>0</v>
      </c>
      <c r="FY40" s="365">
        <v>0</v>
      </c>
      <c r="FZ40" s="436">
        <v>0</v>
      </c>
      <c r="GA40" s="436">
        <v>0</v>
      </c>
      <c r="GB40" s="436">
        <v>0</v>
      </c>
      <c r="GC40" s="436">
        <v>0</v>
      </c>
      <c r="GD40" s="365">
        <v>0</v>
      </c>
    </row>
    <row r="41" spans="1:186" ht="15" x14ac:dyDescent="0.25">
      <c r="A41" s="357">
        <v>133</v>
      </c>
      <c r="B41" s="357">
        <v>72</v>
      </c>
      <c r="C41" s="357" t="s">
        <v>950</v>
      </c>
      <c r="D41" s="2">
        <v>99714</v>
      </c>
      <c r="E41" s="268" t="s">
        <v>19</v>
      </c>
      <c r="F41" s="358" t="s">
        <v>915</v>
      </c>
      <c r="G41" s="49">
        <v>140</v>
      </c>
      <c r="H41" s="49">
        <v>57</v>
      </c>
      <c r="I41" s="49">
        <v>49</v>
      </c>
      <c r="J41" s="49">
        <v>8</v>
      </c>
      <c r="K41" s="49">
        <v>0</v>
      </c>
      <c r="L41" s="49">
        <v>52</v>
      </c>
      <c r="M41" s="49">
        <v>52</v>
      </c>
      <c r="N41" s="49">
        <v>2</v>
      </c>
      <c r="O41" s="49">
        <v>0</v>
      </c>
      <c r="P41" s="49">
        <v>0</v>
      </c>
      <c r="Q41" s="49">
        <v>54</v>
      </c>
      <c r="R41" s="49">
        <v>0</v>
      </c>
      <c r="S41" s="49">
        <v>1493.0769230769231</v>
      </c>
      <c r="T41" s="49">
        <v>1493.0769230769231</v>
      </c>
      <c r="U41" s="49">
        <v>4706</v>
      </c>
      <c r="V41" s="49">
        <v>0</v>
      </c>
      <c r="W41" s="49">
        <v>0</v>
      </c>
      <c r="X41" s="49">
        <v>1612.0740740740741</v>
      </c>
      <c r="Y41" s="434">
        <v>77640</v>
      </c>
      <c r="Z41" s="434">
        <v>9412</v>
      </c>
      <c r="AA41" s="49">
        <v>0</v>
      </c>
      <c r="AB41" s="49">
        <v>57</v>
      </c>
      <c r="AC41" s="49">
        <v>0</v>
      </c>
      <c r="AD41" s="285">
        <v>2</v>
      </c>
      <c r="AE41" s="285">
        <v>0</v>
      </c>
      <c r="AF41" s="359">
        <v>59</v>
      </c>
      <c r="AG41" s="360">
        <v>0</v>
      </c>
      <c r="AH41" s="360">
        <v>49</v>
      </c>
      <c r="AI41" s="361">
        <v>49</v>
      </c>
      <c r="AJ41" s="360">
        <v>0</v>
      </c>
      <c r="AK41" s="360">
        <v>0</v>
      </c>
      <c r="AL41" s="360">
        <v>53.473412467096495</v>
      </c>
      <c r="AM41" s="360">
        <v>53.473412467096495</v>
      </c>
      <c r="AN41" s="360">
        <v>0</v>
      </c>
      <c r="AO41" s="360">
        <v>0</v>
      </c>
      <c r="AP41" s="360">
        <v>46.863070688551204</v>
      </c>
      <c r="AQ41" s="360">
        <v>46.863070688551204</v>
      </c>
      <c r="AR41" s="360">
        <v>0</v>
      </c>
      <c r="AS41" s="360">
        <v>1.9327684259768214</v>
      </c>
      <c r="AT41" s="360">
        <v>0</v>
      </c>
      <c r="AU41" s="360">
        <v>50.165014752214574</v>
      </c>
      <c r="AV41" s="360">
        <v>51.792803798048531</v>
      </c>
      <c r="AW41" s="360">
        <v>53.473412467096495</v>
      </c>
      <c r="AX41" s="360">
        <v>55.208554686973102</v>
      </c>
      <c r="AY41" s="360">
        <v>57</v>
      </c>
      <c r="AZ41" s="360">
        <v>44.819334578778509</v>
      </c>
      <c r="BA41" s="360">
        <v>45.829811744967103</v>
      </c>
      <c r="BB41" s="360">
        <v>46.863070688551204</v>
      </c>
      <c r="BC41" s="360">
        <v>47.919625037546034</v>
      </c>
      <c r="BD41" s="360">
        <v>49</v>
      </c>
      <c r="BE41" s="360">
        <v>1.8677968942264598</v>
      </c>
      <c r="BF41" s="360">
        <v>1.9000049640194285</v>
      </c>
      <c r="BG41" s="360">
        <v>1.9327684259768214</v>
      </c>
      <c r="BH41" s="360">
        <v>1.9660968572157482</v>
      </c>
      <c r="BI41" s="360">
        <v>2</v>
      </c>
      <c r="BJ41" s="362">
        <v>57.64753668306296</v>
      </c>
      <c r="BK41" s="362">
        <v>58.302429572370002</v>
      </c>
      <c r="BL41" s="362">
        <v>58.964762236577101</v>
      </c>
      <c r="BM41" s="363">
        <v>58.577094795376901</v>
      </c>
      <c r="BN41" s="363">
        <v>58.191976097515358</v>
      </c>
      <c r="BO41" s="363">
        <v>58.006150282307217</v>
      </c>
      <c r="BP41" s="363">
        <v>57.820917869074982</v>
      </c>
      <c r="BQ41" s="363">
        <v>57.636276962894051</v>
      </c>
      <c r="BR41" s="363">
        <v>57.452225674890975</v>
      </c>
      <c r="BS41" s="363">
        <v>57.268762122224054</v>
      </c>
      <c r="BT41" s="363">
        <v>57.692377313390168</v>
      </c>
      <c r="BU41" s="363">
        <v>58.119125972498253</v>
      </c>
      <c r="BV41" s="363">
        <v>58.549031277709886</v>
      </c>
      <c r="BW41" s="363">
        <v>58.982116578634766</v>
      </c>
      <c r="BX41" s="363">
        <v>59.418405397598839</v>
      </c>
      <c r="BY41" s="435">
        <v>59.657910109399651</v>
      </c>
      <c r="BZ41" s="435">
        <v>59.897414821200464</v>
      </c>
      <c r="CA41" s="435">
        <v>60.136919533001283</v>
      </c>
      <c r="CB41" s="435">
        <v>60.376424244802095</v>
      </c>
      <c r="CC41" s="363">
        <v>60.615928956602907</v>
      </c>
      <c r="CD41" s="435">
        <v>60.812252030709587</v>
      </c>
      <c r="CE41" s="435">
        <v>61.008575104816259</v>
      </c>
      <c r="CF41" s="435">
        <v>61.204898178922939</v>
      </c>
      <c r="CG41" s="435">
        <v>61.401221253029611</v>
      </c>
      <c r="CH41" s="363">
        <v>61.597544327136291</v>
      </c>
      <c r="CI41" s="362">
        <v>49.55665434158044</v>
      </c>
      <c r="CJ41" s="362">
        <v>50.119632439405791</v>
      </c>
      <c r="CK41" s="362">
        <v>50.689006133197857</v>
      </c>
      <c r="CL41" s="363">
        <v>50.355748157429261</v>
      </c>
      <c r="CM41" s="363">
        <v>50.024681206636011</v>
      </c>
      <c r="CN41" s="363">
        <v>49.864936207597431</v>
      </c>
      <c r="CO41" s="363">
        <v>49.705701326046913</v>
      </c>
      <c r="CP41" s="363">
        <v>49.546974933014184</v>
      </c>
      <c r="CQ41" s="363">
        <v>49.388755404730837</v>
      </c>
      <c r="CR41" s="363">
        <v>49.231041122613654</v>
      </c>
      <c r="CS41" s="363">
        <v>49.595201550107333</v>
      </c>
      <c r="CT41" s="363">
        <v>49.962055660568673</v>
      </c>
      <c r="CU41" s="363">
        <v>50.331623379083936</v>
      </c>
      <c r="CV41" s="363">
        <v>50.703924778124623</v>
      </c>
      <c r="CW41" s="363">
        <v>51.078980078637599</v>
      </c>
      <c r="CX41" s="435">
        <v>51.284870094045317</v>
      </c>
      <c r="CY41" s="435">
        <v>51.490760109453035</v>
      </c>
      <c r="CZ41" s="435">
        <v>51.696650124860746</v>
      </c>
      <c r="DA41" s="435">
        <v>51.902540140268464</v>
      </c>
      <c r="DB41" s="363">
        <v>52.108430155676182</v>
      </c>
      <c r="DC41" s="435">
        <v>52.277199114118766</v>
      </c>
      <c r="DD41" s="435">
        <v>52.445968072561342</v>
      </c>
      <c r="DE41" s="435">
        <v>52.614737031003926</v>
      </c>
      <c r="DF41" s="435">
        <v>52.783505989446503</v>
      </c>
      <c r="DG41" s="363">
        <v>52.952274947889087</v>
      </c>
      <c r="DH41" s="362">
        <v>2.0227205853706303</v>
      </c>
      <c r="DI41" s="362">
        <v>2.0456992832410528</v>
      </c>
      <c r="DJ41" s="362">
        <v>2.0689390258448106</v>
      </c>
      <c r="DK41" s="363">
        <v>2.0553366594869087</v>
      </c>
      <c r="DL41" s="363">
        <v>2.0418237227198373</v>
      </c>
      <c r="DM41" s="363">
        <v>2.0353035186774462</v>
      </c>
      <c r="DN41" s="363">
        <v>2.0288041357570168</v>
      </c>
      <c r="DO41" s="363">
        <v>2.0223255074699669</v>
      </c>
      <c r="DP41" s="363">
        <v>2.0158675675400342</v>
      </c>
      <c r="DQ41" s="363">
        <v>2.0094302499025982</v>
      </c>
      <c r="DR41" s="363">
        <v>2.0242939408207077</v>
      </c>
      <c r="DS41" s="363">
        <v>2.039267577982395</v>
      </c>
      <c r="DT41" s="363">
        <v>2.0543519746564871</v>
      </c>
      <c r="DU41" s="363">
        <v>2.0695479501275358</v>
      </c>
      <c r="DV41" s="363">
        <v>2.0848563297403104</v>
      </c>
      <c r="DW41" s="435">
        <v>2.0932600038385845</v>
      </c>
      <c r="DX41" s="435">
        <v>2.1016636779368585</v>
      </c>
      <c r="DY41" s="435">
        <v>2.110067352035133</v>
      </c>
      <c r="DZ41" s="435">
        <v>2.118471026133407</v>
      </c>
      <c r="EA41" s="363">
        <v>2.126874700231681</v>
      </c>
      <c r="EB41" s="435">
        <v>2.1337632291477049</v>
      </c>
      <c r="EC41" s="435">
        <v>2.1406517580637283</v>
      </c>
      <c r="ED41" s="435">
        <v>2.1475402869797522</v>
      </c>
      <c r="EE41" s="435">
        <v>2.1544288158957756</v>
      </c>
      <c r="EF41" s="363">
        <v>2.1613173448117995</v>
      </c>
      <c r="EG41" s="364">
        <v>0</v>
      </c>
      <c r="EH41" s="364">
        <v>0</v>
      </c>
      <c r="EI41" s="364">
        <v>0</v>
      </c>
      <c r="EJ41" s="365">
        <v>0</v>
      </c>
      <c r="EK41" s="365">
        <v>0</v>
      </c>
      <c r="EL41" s="365">
        <v>0</v>
      </c>
      <c r="EM41" s="365">
        <v>0</v>
      </c>
      <c r="EN41" s="365">
        <v>0</v>
      </c>
      <c r="EO41" s="365">
        <v>0</v>
      </c>
      <c r="EP41" s="365">
        <v>0</v>
      </c>
      <c r="EQ41" s="365">
        <v>0</v>
      </c>
      <c r="ER41" s="365">
        <v>0</v>
      </c>
      <c r="ES41" s="365">
        <v>0</v>
      </c>
      <c r="ET41" s="365">
        <v>0</v>
      </c>
      <c r="EU41" s="365">
        <v>0</v>
      </c>
      <c r="EV41" s="436">
        <v>0</v>
      </c>
      <c r="EW41" s="436">
        <v>0</v>
      </c>
      <c r="EX41" s="436">
        <v>0</v>
      </c>
      <c r="EY41" s="436">
        <v>0</v>
      </c>
      <c r="EZ41" s="365">
        <v>0</v>
      </c>
      <c r="FA41" s="436">
        <v>0</v>
      </c>
      <c r="FB41" s="436">
        <v>0</v>
      </c>
      <c r="FC41" s="436">
        <v>0</v>
      </c>
      <c r="FD41" s="436">
        <v>0</v>
      </c>
      <c r="FE41" s="365">
        <v>0</v>
      </c>
      <c r="FF41" s="364">
        <v>0</v>
      </c>
      <c r="FG41" s="364">
        <v>0</v>
      </c>
      <c r="FH41" s="364">
        <v>0</v>
      </c>
      <c r="FI41" s="365">
        <v>0</v>
      </c>
      <c r="FJ41" s="365">
        <v>0</v>
      </c>
      <c r="FK41" s="365">
        <v>0</v>
      </c>
      <c r="FL41" s="365">
        <v>0</v>
      </c>
      <c r="FM41" s="365">
        <v>0</v>
      </c>
      <c r="FN41" s="365">
        <v>0</v>
      </c>
      <c r="FO41" s="365">
        <v>0</v>
      </c>
      <c r="FP41" s="365">
        <v>0</v>
      </c>
      <c r="FQ41" s="365">
        <v>0</v>
      </c>
      <c r="FR41" s="365">
        <v>0</v>
      </c>
      <c r="FS41" s="365">
        <v>0</v>
      </c>
      <c r="FT41" s="365">
        <v>0</v>
      </c>
      <c r="FU41" s="436">
        <v>0</v>
      </c>
      <c r="FV41" s="436">
        <v>0</v>
      </c>
      <c r="FW41" s="436">
        <v>0</v>
      </c>
      <c r="FX41" s="436">
        <v>0</v>
      </c>
      <c r="FY41" s="365">
        <v>0</v>
      </c>
      <c r="FZ41" s="436">
        <v>0</v>
      </c>
      <c r="GA41" s="436">
        <v>0</v>
      </c>
      <c r="GB41" s="436">
        <v>0</v>
      </c>
      <c r="GC41" s="436">
        <v>0</v>
      </c>
      <c r="GD41" s="365">
        <v>0</v>
      </c>
    </row>
    <row r="42" spans="1:186" ht="15" x14ac:dyDescent="0.25">
      <c r="A42" s="357">
        <v>137</v>
      </c>
      <c r="B42" s="357">
        <v>72</v>
      </c>
      <c r="C42" s="357" t="s">
        <v>951</v>
      </c>
      <c r="D42" s="2">
        <v>99714</v>
      </c>
      <c r="E42" s="268" t="s">
        <v>19</v>
      </c>
      <c r="F42" s="358" t="s">
        <v>915</v>
      </c>
      <c r="G42" s="49">
        <v>140</v>
      </c>
      <c r="H42" s="49">
        <v>73</v>
      </c>
      <c r="I42" s="49">
        <v>58</v>
      </c>
      <c r="J42" s="49">
        <v>15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834.49503068156923</v>
      </c>
      <c r="T42" s="49">
        <v>834.49503068156923</v>
      </c>
      <c r="U42" s="49">
        <v>1408.3846153846155</v>
      </c>
      <c r="V42" s="49">
        <v>0</v>
      </c>
      <c r="W42" s="49">
        <v>0</v>
      </c>
      <c r="X42" s="49">
        <v>1365.173957061457</v>
      </c>
      <c r="Y42" s="434">
        <v>0</v>
      </c>
      <c r="Z42" s="434">
        <v>0</v>
      </c>
      <c r="AA42" s="49">
        <v>1.6726004851004852</v>
      </c>
      <c r="AB42" s="49">
        <v>71.232545045045043</v>
      </c>
      <c r="AC42" s="49">
        <v>9.4854469854469853E-2</v>
      </c>
      <c r="AD42" s="285">
        <v>0</v>
      </c>
      <c r="AE42" s="285">
        <v>0</v>
      </c>
      <c r="AF42" s="359">
        <v>73</v>
      </c>
      <c r="AG42" s="360">
        <v>1.3289154539154542</v>
      </c>
      <c r="AH42" s="360">
        <v>56.59572072072072</v>
      </c>
      <c r="AI42" s="361">
        <v>57.924636174636177</v>
      </c>
      <c r="AJ42" s="360">
        <v>7.5363825363825354E-2</v>
      </c>
      <c r="AK42" s="360">
        <v>1.5691167654814724</v>
      </c>
      <c r="AL42" s="360">
        <v>66.825390566223234</v>
      </c>
      <c r="AM42" s="360">
        <v>68.394507331704702</v>
      </c>
      <c r="AN42" s="360">
        <v>8.89858279101024E-2</v>
      </c>
      <c r="AO42" s="360">
        <v>1.270960384815266</v>
      </c>
      <c r="AP42" s="360">
        <v>54.127535934788511</v>
      </c>
      <c r="AQ42" s="360">
        <v>55.39849631960378</v>
      </c>
      <c r="AR42" s="360">
        <v>7.2077148477236244E-2</v>
      </c>
      <c r="AS42" s="360">
        <v>0</v>
      </c>
      <c r="AT42" s="360">
        <v>0</v>
      </c>
      <c r="AU42" s="360">
        <v>64.162942123370186</v>
      </c>
      <c r="AV42" s="360">
        <v>66.244945584403553</v>
      </c>
      <c r="AW42" s="360">
        <v>68.394507331704716</v>
      </c>
      <c r="AX42" s="360">
        <v>70.613819543206532</v>
      </c>
      <c r="AY42" s="360">
        <v>72.905145530145532</v>
      </c>
      <c r="AZ42" s="360">
        <v>52.982523450306857</v>
      </c>
      <c r="BA42" s="360">
        <v>54.177044311822186</v>
      </c>
      <c r="BB42" s="360">
        <v>55.39849631960378</v>
      </c>
      <c r="BC42" s="360">
        <v>56.647486651527359</v>
      </c>
      <c r="BD42" s="360">
        <v>57.924636174636177</v>
      </c>
      <c r="BE42" s="360">
        <v>0</v>
      </c>
      <c r="BF42" s="360">
        <v>0</v>
      </c>
      <c r="BG42" s="360">
        <v>0</v>
      </c>
      <c r="BH42" s="360">
        <v>0</v>
      </c>
      <c r="BI42" s="360">
        <v>0</v>
      </c>
      <c r="BJ42" s="362">
        <v>73.733369321633475</v>
      </c>
      <c r="BK42" s="362">
        <v>74.571001977801672</v>
      </c>
      <c r="BL42" s="362">
        <v>75.418150386106717</v>
      </c>
      <c r="BM42" s="363">
        <v>74.922309136668119</v>
      </c>
      <c r="BN42" s="363">
        <v>74.42972782589662</v>
      </c>
      <c r="BO42" s="363">
        <v>74.192049613598243</v>
      </c>
      <c r="BP42" s="363">
        <v>73.955130384763223</v>
      </c>
      <c r="BQ42" s="363">
        <v>73.718967715711671</v>
      </c>
      <c r="BR42" s="363">
        <v>73.483559190503328</v>
      </c>
      <c r="BS42" s="363">
        <v>73.248902400912812</v>
      </c>
      <c r="BT42" s="363">
        <v>73.790722175662737</v>
      </c>
      <c r="BU42" s="363">
        <v>74.336549773856945</v>
      </c>
      <c r="BV42" s="363">
        <v>74.886414841236515</v>
      </c>
      <c r="BW42" s="363">
        <v>75.44034724283118</v>
      </c>
      <c r="BX42" s="363">
        <v>75.998377064581192</v>
      </c>
      <c r="BY42" s="435">
        <v>76.304712606142488</v>
      </c>
      <c r="BZ42" s="435">
        <v>76.611048147703784</v>
      </c>
      <c r="CA42" s="435">
        <v>76.91738368926508</v>
      </c>
      <c r="CB42" s="435">
        <v>77.223719230826376</v>
      </c>
      <c r="CC42" s="363">
        <v>77.530054772387672</v>
      </c>
      <c r="CD42" s="435">
        <v>77.781159373943339</v>
      </c>
      <c r="CE42" s="435">
        <v>78.032263975499006</v>
      </c>
      <c r="CF42" s="435">
        <v>78.283368577054659</v>
      </c>
      <c r="CG42" s="435">
        <v>78.534473178610327</v>
      </c>
      <c r="CH42" s="363">
        <v>78.785577780165994</v>
      </c>
      <c r="CI42" s="362">
        <v>58.58267699527044</v>
      </c>
      <c r="CJ42" s="362">
        <v>59.248193352225989</v>
      </c>
      <c r="CK42" s="362">
        <v>59.921270169783426</v>
      </c>
      <c r="CL42" s="363">
        <v>59.527314108585635</v>
      </c>
      <c r="CM42" s="363">
        <v>59.135948135643901</v>
      </c>
      <c r="CN42" s="363">
        <v>58.947107912173955</v>
      </c>
      <c r="CO42" s="363">
        <v>58.758870716661193</v>
      </c>
      <c r="CP42" s="363">
        <v>58.571234623442152</v>
      </c>
      <c r="CQ42" s="363">
        <v>58.384197713002649</v>
      </c>
      <c r="CR42" s="363">
        <v>58.197758071958134</v>
      </c>
      <c r="CS42" s="363">
        <v>58.62824501627999</v>
      </c>
      <c r="CT42" s="363">
        <v>59.061916258680867</v>
      </c>
      <c r="CU42" s="363">
        <v>59.498795353311216</v>
      </c>
      <c r="CV42" s="363">
        <v>59.938906028550804</v>
      </c>
      <c r="CW42" s="363">
        <v>60.382272188297392</v>
      </c>
      <c r="CX42" s="435">
        <v>60.625662070633766</v>
      </c>
      <c r="CY42" s="435">
        <v>60.869051952970139</v>
      </c>
      <c r="CZ42" s="435">
        <v>61.112441835306505</v>
      </c>
      <c r="DA42" s="435">
        <v>61.355831717642879</v>
      </c>
      <c r="DB42" s="363">
        <v>61.599221599979252</v>
      </c>
      <c r="DC42" s="435">
        <v>61.798729365598824</v>
      </c>
      <c r="DD42" s="435">
        <v>61.998237131218389</v>
      </c>
      <c r="DE42" s="435">
        <v>62.19774489683796</v>
      </c>
      <c r="DF42" s="435">
        <v>62.397252662457525</v>
      </c>
      <c r="DG42" s="363">
        <v>62.596760428077097</v>
      </c>
      <c r="DH42" s="362">
        <v>0</v>
      </c>
      <c r="DI42" s="362">
        <v>0</v>
      </c>
      <c r="DJ42" s="362">
        <v>0</v>
      </c>
      <c r="DK42" s="363">
        <v>0</v>
      </c>
      <c r="DL42" s="363">
        <v>0</v>
      </c>
      <c r="DM42" s="363">
        <v>0</v>
      </c>
      <c r="DN42" s="363">
        <v>0</v>
      </c>
      <c r="DO42" s="363">
        <v>0</v>
      </c>
      <c r="DP42" s="363">
        <v>0</v>
      </c>
      <c r="DQ42" s="363">
        <v>0</v>
      </c>
      <c r="DR42" s="363">
        <v>0</v>
      </c>
      <c r="DS42" s="363">
        <v>0</v>
      </c>
      <c r="DT42" s="363">
        <v>0</v>
      </c>
      <c r="DU42" s="363">
        <v>0</v>
      </c>
      <c r="DV42" s="363">
        <v>0</v>
      </c>
      <c r="DW42" s="435">
        <v>0</v>
      </c>
      <c r="DX42" s="435">
        <v>0</v>
      </c>
      <c r="DY42" s="435">
        <v>0</v>
      </c>
      <c r="DZ42" s="435">
        <v>0</v>
      </c>
      <c r="EA42" s="363">
        <v>0</v>
      </c>
      <c r="EB42" s="435">
        <v>0</v>
      </c>
      <c r="EC42" s="435">
        <v>0</v>
      </c>
      <c r="ED42" s="435">
        <v>0</v>
      </c>
      <c r="EE42" s="435">
        <v>0</v>
      </c>
      <c r="EF42" s="363">
        <v>0</v>
      </c>
      <c r="EG42" s="364">
        <v>9.593204439452703E-2</v>
      </c>
      <c r="EH42" s="364">
        <v>9.7021860496749518E-2</v>
      </c>
      <c r="EI42" s="364">
        <v>9.8124057228866399E-2</v>
      </c>
      <c r="EJ42" s="365">
        <v>9.7478934604043874E-2</v>
      </c>
      <c r="EK42" s="365">
        <v>9.6838053377435104E-2</v>
      </c>
      <c r="EL42" s="365">
        <v>9.6528818128543123E-2</v>
      </c>
      <c r="EM42" s="365">
        <v>9.6220570367893846E-2</v>
      </c>
      <c r="EN42" s="365">
        <v>9.5913306942117707E-2</v>
      </c>
      <c r="EO42" s="365">
        <v>9.5607024707914809E-2</v>
      </c>
      <c r="EP42" s="365">
        <v>9.5301720532022904E-2</v>
      </c>
      <c r="EQ42" s="365">
        <v>9.6006664293081884E-2</v>
      </c>
      <c r="ER42" s="365">
        <v>9.67168225004644E-2</v>
      </c>
      <c r="ES42" s="365">
        <v>9.7432233725262191E-2</v>
      </c>
      <c r="ET42" s="365">
        <v>9.8152936823876102E-2</v>
      </c>
      <c r="EU42" s="365">
        <v>9.8878970940126445E-2</v>
      </c>
      <c r="EV42" s="436">
        <v>9.9277533965837217E-2</v>
      </c>
      <c r="EW42" s="436">
        <v>9.9676096991547988E-2</v>
      </c>
      <c r="EX42" s="436">
        <v>0.10007466001725875</v>
      </c>
      <c r="EY42" s="436">
        <v>0.10047322304296952</v>
      </c>
      <c r="EZ42" s="365">
        <v>0.10087178606868029</v>
      </c>
      <c r="FA42" s="436">
        <v>0.10119848994788359</v>
      </c>
      <c r="FB42" s="436">
        <v>0.1015251938270869</v>
      </c>
      <c r="FC42" s="436">
        <v>0.10185189770629022</v>
      </c>
      <c r="FD42" s="436">
        <v>0.10217860158549352</v>
      </c>
      <c r="FE42" s="365">
        <v>0.10250530546469683</v>
      </c>
      <c r="FF42" s="364">
        <v>0</v>
      </c>
      <c r="FG42" s="364">
        <v>0</v>
      </c>
      <c r="FH42" s="364">
        <v>0</v>
      </c>
      <c r="FI42" s="365">
        <v>0</v>
      </c>
      <c r="FJ42" s="365">
        <v>0</v>
      </c>
      <c r="FK42" s="365">
        <v>0</v>
      </c>
      <c r="FL42" s="365">
        <v>0</v>
      </c>
      <c r="FM42" s="365">
        <v>0</v>
      </c>
      <c r="FN42" s="365">
        <v>0</v>
      </c>
      <c r="FO42" s="365">
        <v>0</v>
      </c>
      <c r="FP42" s="365">
        <v>0</v>
      </c>
      <c r="FQ42" s="365">
        <v>0</v>
      </c>
      <c r="FR42" s="365">
        <v>0</v>
      </c>
      <c r="FS42" s="365">
        <v>0</v>
      </c>
      <c r="FT42" s="365">
        <v>0</v>
      </c>
      <c r="FU42" s="436">
        <v>0</v>
      </c>
      <c r="FV42" s="436">
        <v>0</v>
      </c>
      <c r="FW42" s="436">
        <v>0</v>
      </c>
      <c r="FX42" s="436">
        <v>0</v>
      </c>
      <c r="FY42" s="365">
        <v>0</v>
      </c>
      <c r="FZ42" s="436">
        <v>0</v>
      </c>
      <c r="GA42" s="436">
        <v>0</v>
      </c>
      <c r="GB42" s="436">
        <v>0</v>
      </c>
      <c r="GC42" s="436">
        <v>0</v>
      </c>
      <c r="GD42" s="365">
        <v>0</v>
      </c>
    </row>
    <row r="43" spans="1:186" ht="15" x14ac:dyDescent="0.25">
      <c r="A43" s="357">
        <v>132</v>
      </c>
      <c r="B43" s="357">
        <v>73</v>
      </c>
      <c r="C43" s="357" t="s">
        <v>952</v>
      </c>
      <c r="D43" s="2">
        <v>99714</v>
      </c>
      <c r="E43" s="268" t="s">
        <v>19</v>
      </c>
      <c r="F43" s="358" t="s">
        <v>915</v>
      </c>
      <c r="G43" s="49">
        <v>46</v>
      </c>
      <c r="H43" s="49">
        <v>34</v>
      </c>
      <c r="I43" s="49">
        <v>21</v>
      </c>
      <c r="J43" s="49">
        <v>13</v>
      </c>
      <c r="K43" s="49">
        <v>0</v>
      </c>
      <c r="L43" s="49">
        <v>4</v>
      </c>
      <c r="M43" s="49">
        <v>4</v>
      </c>
      <c r="N43" s="49">
        <v>0</v>
      </c>
      <c r="O43" s="49">
        <v>0</v>
      </c>
      <c r="P43" s="49">
        <v>0</v>
      </c>
      <c r="Q43" s="49">
        <v>4</v>
      </c>
      <c r="R43" s="49">
        <v>0</v>
      </c>
      <c r="S43" s="49">
        <v>1644</v>
      </c>
      <c r="T43" s="49">
        <v>1644</v>
      </c>
      <c r="U43" s="49">
        <v>0</v>
      </c>
      <c r="V43" s="49">
        <v>0</v>
      </c>
      <c r="W43" s="49">
        <v>0</v>
      </c>
      <c r="X43" s="49">
        <v>1644</v>
      </c>
      <c r="Y43" s="434">
        <v>6576</v>
      </c>
      <c r="Z43" s="434">
        <v>0</v>
      </c>
      <c r="AA43" s="49">
        <v>0</v>
      </c>
      <c r="AB43" s="49">
        <v>34</v>
      </c>
      <c r="AC43" s="49">
        <v>0</v>
      </c>
      <c r="AD43" s="285">
        <v>0</v>
      </c>
      <c r="AE43" s="285">
        <v>0</v>
      </c>
      <c r="AF43" s="359">
        <v>34</v>
      </c>
      <c r="AG43" s="360">
        <v>0</v>
      </c>
      <c r="AH43" s="360">
        <v>21</v>
      </c>
      <c r="AI43" s="361">
        <v>21</v>
      </c>
      <c r="AJ43" s="360">
        <v>0</v>
      </c>
      <c r="AK43" s="360">
        <v>0</v>
      </c>
      <c r="AL43" s="360">
        <v>31.896421471601418</v>
      </c>
      <c r="AM43" s="360">
        <v>31.896421471601418</v>
      </c>
      <c r="AN43" s="360">
        <v>0</v>
      </c>
      <c r="AO43" s="360">
        <v>0</v>
      </c>
      <c r="AP43" s="360">
        <v>20.084173152236229</v>
      </c>
      <c r="AQ43" s="360">
        <v>20.084173152236229</v>
      </c>
      <c r="AR43" s="360">
        <v>0</v>
      </c>
      <c r="AS43" s="360">
        <v>0</v>
      </c>
      <c r="AT43" s="360">
        <v>0</v>
      </c>
      <c r="AU43" s="360">
        <v>29.92299125570694</v>
      </c>
      <c r="AV43" s="360">
        <v>30.893953142695615</v>
      </c>
      <c r="AW43" s="360">
        <v>31.896421471601418</v>
      </c>
      <c r="AX43" s="360">
        <v>32.931418585212029</v>
      </c>
      <c r="AY43" s="360">
        <v>34</v>
      </c>
      <c r="AZ43" s="360">
        <v>19.208286248047933</v>
      </c>
      <c r="BA43" s="360">
        <v>19.641347890700185</v>
      </c>
      <c r="BB43" s="360">
        <v>20.084173152236229</v>
      </c>
      <c r="BC43" s="360">
        <v>20.536982158948302</v>
      </c>
      <c r="BD43" s="360">
        <v>21</v>
      </c>
      <c r="BE43" s="360">
        <v>0</v>
      </c>
      <c r="BF43" s="360">
        <v>0</v>
      </c>
      <c r="BG43" s="360">
        <v>0</v>
      </c>
      <c r="BH43" s="360">
        <v>0</v>
      </c>
      <c r="BI43" s="360">
        <v>0</v>
      </c>
      <c r="BJ43" s="362">
        <v>34.386249951300712</v>
      </c>
      <c r="BK43" s="362">
        <v>34.776887815097894</v>
      </c>
      <c r="BL43" s="362">
        <v>35.171963439361782</v>
      </c>
      <c r="BM43" s="363">
        <v>34.940723211277451</v>
      </c>
      <c r="BN43" s="363">
        <v>34.711003286237236</v>
      </c>
      <c r="BO43" s="363">
        <v>34.600159817516591</v>
      </c>
      <c r="BP43" s="363">
        <v>34.489670307869289</v>
      </c>
      <c r="BQ43" s="363">
        <v>34.379533626989435</v>
      </c>
      <c r="BR43" s="363">
        <v>34.269748648180581</v>
      </c>
      <c r="BS43" s="363">
        <v>34.160314248344172</v>
      </c>
      <c r="BT43" s="363">
        <v>34.412996993952028</v>
      </c>
      <c r="BU43" s="363">
        <v>34.667548825700713</v>
      </c>
      <c r="BV43" s="363">
        <v>34.923983569160285</v>
      </c>
      <c r="BW43" s="363">
        <v>35.182315152168108</v>
      </c>
      <c r="BX43" s="363">
        <v>35.442557605585279</v>
      </c>
      <c r="BY43" s="435">
        <v>35.585420065255938</v>
      </c>
      <c r="BZ43" s="435">
        <v>35.728282524926598</v>
      </c>
      <c r="CA43" s="435">
        <v>35.871144984597258</v>
      </c>
      <c r="CB43" s="435">
        <v>36.014007444267918</v>
      </c>
      <c r="CC43" s="363">
        <v>36.156869903938578</v>
      </c>
      <c r="CD43" s="435">
        <v>36.273974895510982</v>
      </c>
      <c r="CE43" s="435">
        <v>36.391079887083386</v>
      </c>
      <c r="CF43" s="435">
        <v>36.50818487865579</v>
      </c>
      <c r="CG43" s="435">
        <v>36.625289870228194</v>
      </c>
      <c r="CH43" s="363">
        <v>36.742394861800598</v>
      </c>
      <c r="CI43" s="362">
        <v>21.238566146391619</v>
      </c>
      <c r="CJ43" s="362">
        <v>21.479842474031052</v>
      </c>
      <c r="CK43" s="362">
        <v>21.72385977137051</v>
      </c>
      <c r="CL43" s="363">
        <v>21.581034924612538</v>
      </c>
      <c r="CM43" s="363">
        <v>21.439149088558288</v>
      </c>
      <c r="CN43" s="363">
        <v>21.370686946113185</v>
      </c>
      <c r="CO43" s="363">
        <v>21.302443425448676</v>
      </c>
      <c r="CP43" s="363">
        <v>21.234417828434651</v>
      </c>
      <c r="CQ43" s="363">
        <v>21.166609459170356</v>
      </c>
      <c r="CR43" s="363">
        <v>21.099017623977282</v>
      </c>
      <c r="CS43" s="363">
        <v>21.255086378617428</v>
      </c>
      <c r="CT43" s="363">
        <v>21.412309568815147</v>
      </c>
      <c r="CU43" s="363">
        <v>21.570695733893114</v>
      </c>
      <c r="CV43" s="363">
        <v>21.730253476339122</v>
      </c>
      <c r="CW43" s="363">
        <v>21.890991462273256</v>
      </c>
      <c r="CX43" s="435">
        <v>21.979230040305133</v>
      </c>
      <c r="CY43" s="435">
        <v>22.067468618337013</v>
      </c>
      <c r="CZ43" s="435">
        <v>22.155707196368891</v>
      </c>
      <c r="DA43" s="435">
        <v>22.243945774400771</v>
      </c>
      <c r="DB43" s="363">
        <v>22.332184352432648</v>
      </c>
      <c r="DC43" s="435">
        <v>22.404513906050898</v>
      </c>
      <c r="DD43" s="435">
        <v>22.476843459669148</v>
      </c>
      <c r="DE43" s="435">
        <v>22.549173013287394</v>
      </c>
      <c r="DF43" s="435">
        <v>22.621502566905644</v>
      </c>
      <c r="DG43" s="363">
        <v>22.693832120523894</v>
      </c>
      <c r="DH43" s="362">
        <v>0</v>
      </c>
      <c r="DI43" s="362">
        <v>0</v>
      </c>
      <c r="DJ43" s="362">
        <v>0</v>
      </c>
      <c r="DK43" s="363">
        <v>0</v>
      </c>
      <c r="DL43" s="363">
        <v>0</v>
      </c>
      <c r="DM43" s="363">
        <v>0</v>
      </c>
      <c r="DN43" s="363">
        <v>0</v>
      </c>
      <c r="DO43" s="363">
        <v>0</v>
      </c>
      <c r="DP43" s="363">
        <v>0</v>
      </c>
      <c r="DQ43" s="363">
        <v>0</v>
      </c>
      <c r="DR43" s="363">
        <v>0</v>
      </c>
      <c r="DS43" s="363">
        <v>0</v>
      </c>
      <c r="DT43" s="363">
        <v>0</v>
      </c>
      <c r="DU43" s="363">
        <v>0</v>
      </c>
      <c r="DV43" s="363">
        <v>0</v>
      </c>
      <c r="DW43" s="435">
        <v>0</v>
      </c>
      <c r="DX43" s="435">
        <v>0</v>
      </c>
      <c r="DY43" s="435">
        <v>0</v>
      </c>
      <c r="DZ43" s="435">
        <v>0</v>
      </c>
      <c r="EA43" s="363">
        <v>0</v>
      </c>
      <c r="EB43" s="435">
        <v>0</v>
      </c>
      <c r="EC43" s="435">
        <v>0</v>
      </c>
      <c r="ED43" s="435">
        <v>0</v>
      </c>
      <c r="EE43" s="435">
        <v>0</v>
      </c>
      <c r="EF43" s="363">
        <v>0</v>
      </c>
      <c r="EG43" s="364">
        <v>0</v>
      </c>
      <c r="EH43" s="364">
        <v>0</v>
      </c>
      <c r="EI43" s="364">
        <v>0</v>
      </c>
      <c r="EJ43" s="365">
        <v>0</v>
      </c>
      <c r="EK43" s="365">
        <v>0</v>
      </c>
      <c r="EL43" s="365">
        <v>0</v>
      </c>
      <c r="EM43" s="365">
        <v>0</v>
      </c>
      <c r="EN43" s="365">
        <v>0</v>
      </c>
      <c r="EO43" s="365">
        <v>0</v>
      </c>
      <c r="EP43" s="365">
        <v>0</v>
      </c>
      <c r="EQ43" s="365">
        <v>0</v>
      </c>
      <c r="ER43" s="365">
        <v>0</v>
      </c>
      <c r="ES43" s="365">
        <v>0</v>
      </c>
      <c r="ET43" s="365">
        <v>0</v>
      </c>
      <c r="EU43" s="365">
        <v>0</v>
      </c>
      <c r="EV43" s="436">
        <v>0</v>
      </c>
      <c r="EW43" s="436">
        <v>0</v>
      </c>
      <c r="EX43" s="436">
        <v>0</v>
      </c>
      <c r="EY43" s="436">
        <v>0</v>
      </c>
      <c r="EZ43" s="365">
        <v>0</v>
      </c>
      <c r="FA43" s="436">
        <v>0</v>
      </c>
      <c r="FB43" s="436">
        <v>0</v>
      </c>
      <c r="FC43" s="436">
        <v>0</v>
      </c>
      <c r="FD43" s="436">
        <v>0</v>
      </c>
      <c r="FE43" s="365">
        <v>0</v>
      </c>
      <c r="FF43" s="364">
        <v>0</v>
      </c>
      <c r="FG43" s="364">
        <v>0</v>
      </c>
      <c r="FH43" s="364">
        <v>0</v>
      </c>
      <c r="FI43" s="365">
        <v>0</v>
      </c>
      <c r="FJ43" s="365">
        <v>0</v>
      </c>
      <c r="FK43" s="365">
        <v>0</v>
      </c>
      <c r="FL43" s="365">
        <v>0</v>
      </c>
      <c r="FM43" s="365">
        <v>0</v>
      </c>
      <c r="FN43" s="365">
        <v>0</v>
      </c>
      <c r="FO43" s="365">
        <v>0</v>
      </c>
      <c r="FP43" s="365">
        <v>0</v>
      </c>
      <c r="FQ43" s="365">
        <v>0</v>
      </c>
      <c r="FR43" s="365">
        <v>0</v>
      </c>
      <c r="FS43" s="365">
        <v>0</v>
      </c>
      <c r="FT43" s="365">
        <v>0</v>
      </c>
      <c r="FU43" s="436">
        <v>0</v>
      </c>
      <c r="FV43" s="436">
        <v>0</v>
      </c>
      <c r="FW43" s="436">
        <v>0</v>
      </c>
      <c r="FX43" s="436">
        <v>0</v>
      </c>
      <c r="FY43" s="365">
        <v>0</v>
      </c>
      <c r="FZ43" s="436">
        <v>0</v>
      </c>
      <c r="GA43" s="436">
        <v>0</v>
      </c>
      <c r="GB43" s="436">
        <v>0</v>
      </c>
      <c r="GC43" s="436">
        <v>0</v>
      </c>
      <c r="GD43" s="365">
        <v>0</v>
      </c>
    </row>
    <row r="44" spans="1:186" ht="15" x14ac:dyDescent="0.25">
      <c r="A44" s="357">
        <v>133</v>
      </c>
      <c r="B44" s="357">
        <v>73</v>
      </c>
      <c r="C44" s="357" t="s">
        <v>953</v>
      </c>
      <c r="D44" s="2">
        <v>99714</v>
      </c>
      <c r="E44" s="268" t="s">
        <v>19</v>
      </c>
      <c r="F44" s="358" t="s">
        <v>915</v>
      </c>
      <c r="G44" s="49">
        <v>41</v>
      </c>
      <c r="H44" s="49">
        <v>20</v>
      </c>
      <c r="I44" s="49">
        <v>19</v>
      </c>
      <c r="J44" s="49">
        <v>1</v>
      </c>
      <c r="K44" s="49">
        <v>0</v>
      </c>
      <c r="L44" s="49">
        <v>13</v>
      </c>
      <c r="M44" s="49">
        <v>13</v>
      </c>
      <c r="N44" s="49">
        <v>0</v>
      </c>
      <c r="O44" s="49">
        <v>0</v>
      </c>
      <c r="P44" s="49">
        <v>0</v>
      </c>
      <c r="Q44" s="49">
        <v>13</v>
      </c>
      <c r="R44" s="49">
        <v>0</v>
      </c>
      <c r="S44" s="49">
        <v>1930.3076923076924</v>
      </c>
      <c r="T44" s="49">
        <v>1930.3076923076924</v>
      </c>
      <c r="U44" s="49">
        <v>0</v>
      </c>
      <c r="V44" s="49">
        <v>0</v>
      </c>
      <c r="W44" s="49">
        <v>0</v>
      </c>
      <c r="X44" s="49">
        <v>1930.3076923076924</v>
      </c>
      <c r="Y44" s="434">
        <v>25094</v>
      </c>
      <c r="Z44" s="434">
        <v>0</v>
      </c>
      <c r="AA44" s="49">
        <v>0</v>
      </c>
      <c r="AB44" s="49">
        <v>20</v>
      </c>
      <c r="AC44" s="49">
        <v>0</v>
      </c>
      <c r="AD44" s="285">
        <v>0</v>
      </c>
      <c r="AE44" s="285">
        <v>0</v>
      </c>
      <c r="AF44" s="359">
        <v>20</v>
      </c>
      <c r="AG44" s="360">
        <v>0</v>
      </c>
      <c r="AH44" s="360">
        <v>19</v>
      </c>
      <c r="AI44" s="361">
        <v>19</v>
      </c>
      <c r="AJ44" s="360">
        <v>0</v>
      </c>
      <c r="AK44" s="360">
        <v>0</v>
      </c>
      <c r="AL44" s="360">
        <v>18.762600865647894</v>
      </c>
      <c r="AM44" s="360">
        <v>18.762600865647894</v>
      </c>
      <c r="AN44" s="360">
        <v>0</v>
      </c>
      <c r="AO44" s="360">
        <v>0</v>
      </c>
      <c r="AP44" s="360">
        <v>18.171394756785162</v>
      </c>
      <c r="AQ44" s="360">
        <v>18.171394756785162</v>
      </c>
      <c r="AR44" s="360">
        <v>0</v>
      </c>
      <c r="AS44" s="360">
        <v>0</v>
      </c>
      <c r="AT44" s="360">
        <v>0</v>
      </c>
      <c r="AU44" s="360">
        <v>17.60175956218055</v>
      </c>
      <c r="AV44" s="360">
        <v>18.17291361335036</v>
      </c>
      <c r="AW44" s="360">
        <v>18.762600865647894</v>
      </c>
      <c r="AX44" s="360">
        <v>19.371422697183547</v>
      </c>
      <c r="AY44" s="360">
        <v>20</v>
      </c>
      <c r="AZ44" s="360">
        <v>17.378925652995751</v>
      </c>
      <c r="BA44" s="360">
        <v>17.770743329681121</v>
      </c>
      <c r="BB44" s="360">
        <v>18.171394756785162</v>
      </c>
      <c r="BC44" s="360">
        <v>18.581079096191321</v>
      </c>
      <c r="BD44" s="360">
        <v>19</v>
      </c>
      <c r="BE44" s="360">
        <v>0</v>
      </c>
      <c r="BF44" s="360">
        <v>0</v>
      </c>
      <c r="BG44" s="360">
        <v>0</v>
      </c>
      <c r="BH44" s="360">
        <v>0</v>
      </c>
      <c r="BI44" s="360">
        <v>0</v>
      </c>
      <c r="BJ44" s="362">
        <v>20.227205853706302</v>
      </c>
      <c r="BK44" s="362">
        <v>20.456992832410528</v>
      </c>
      <c r="BL44" s="362">
        <v>20.689390258448107</v>
      </c>
      <c r="BM44" s="363">
        <v>20.55336659486909</v>
      </c>
      <c r="BN44" s="363">
        <v>20.418237227198372</v>
      </c>
      <c r="BO44" s="363">
        <v>20.353035186774463</v>
      </c>
      <c r="BP44" s="363">
        <v>20.288041357570169</v>
      </c>
      <c r="BQ44" s="363">
        <v>20.223255074699669</v>
      </c>
      <c r="BR44" s="363">
        <v>20.158675675400342</v>
      </c>
      <c r="BS44" s="363">
        <v>20.094302499025982</v>
      </c>
      <c r="BT44" s="363">
        <v>20.242939408207075</v>
      </c>
      <c r="BU44" s="363">
        <v>20.39267577982395</v>
      </c>
      <c r="BV44" s="363">
        <v>20.543519746564876</v>
      </c>
      <c r="BW44" s="363">
        <v>20.695479501275358</v>
      </c>
      <c r="BX44" s="363">
        <v>20.848563297403103</v>
      </c>
      <c r="BY44" s="435">
        <v>20.932600038385846</v>
      </c>
      <c r="BZ44" s="435">
        <v>21.016636779368586</v>
      </c>
      <c r="CA44" s="435">
        <v>21.100673520351329</v>
      </c>
      <c r="CB44" s="435">
        <v>21.184710261334068</v>
      </c>
      <c r="CC44" s="363">
        <v>21.268747002316811</v>
      </c>
      <c r="CD44" s="435">
        <v>21.33763229147705</v>
      </c>
      <c r="CE44" s="435">
        <v>21.406517580637285</v>
      </c>
      <c r="CF44" s="435">
        <v>21.475402869797524</v>
      </c>
      <c r="CG44" s="435">
        <v>21.544288158957759</v>
      </c>
      <c r="CH44" s="363">
        <v>21.613173448117998</v>
      </c>
      <c r="CI44" s="362">
        <v>19.215845561020988</v>
      </c>
      <c r="CJ44" s="362">
        <v>19.434143190790003</v>
      </c>
      <c r="CK44" s="362">
        <v>19.6549207455257</v>
      </c>
      <c r="CL44" s="363">
        <v>19.525698265125634</v>
      </c>
      <c r="CM44" s="363">
        <v>19.397325365838455</v>
      </c>
      <c r="CN44" s="363">
        <v>19.33538342743574</v>
      </c>
      <c r="CO44" s="363">
        <v>19.273639289691658</v>
      </c>
      <c r="CP44" s="363">
        <v>19.212092320964686</v>
      </c>
      <c r="CQ44" s="363">
        <v>19.150741891630325</v>
      </c>
      <c r="CR44" s="363">
        <v>19.089587374074682</v>
      </c>
      <c r="CS44" s="363">
        <v>19.230792437796723</v>
      </c>
      <c r="CT44" s="363">
        <v>19.37304199083275</v>
      </c>
      <c r="CU44" s="363">
        <v>19.51634375923663</v>
      </c>
      <c r="CV44" s="363">
        <v>19.66070552621159</v>
      </c>
      <c r="CW44" s="363">
        <v>19.806135132532948</v>
      </c>
      <c r="CX44" s="435">
        <v>19.885970036466553</v>
      </c>
      <c r="CY44" s="435">
        <v>19.965804940400158</v>
      </c>
      <c r="CZ44" s="435">
        <v>20.04563984433376</v>
      </c>
      <c r="DA44" s="435">
        <v>20.125474748267365</v>
      </c>
      <c r="DB44" s="363">
        <v>20.20530965220097</v>
      </c>
      <c r="DC44" s="435">
        <v>20.270750676903194</v>
      </c>
      <c r="DD44" s="435">
        <v>20.336191701605422</v>
      </c>
      <c r="DE44" s="435">
        <v>20.401632726307646</v>
      </c>
      <c r="DF44" s="435">
        <v>20.467073751009874</v>
      </c>
      <c r="DG44" s="363">
        <v>20.532514775712098</v>
      </c>
      <c r="DH44" s="362">
        <v>0</v>
      </c>
      <c r="DI44" s="362">
        <v>0</v>
      </c>
      <c r="DJ44" s="362">
        <v>0</v>
      </c>
      <c r="DK44" s="363">
        <v>0</v>
      </c>
      <c r="DL44" s="363">
        <v>0</v>
      </c>
      <c r="DM44" s="363">
        <v>0</v>
      </c>
      <c r="DN44" s="363">
        <v>0</v>
      </c>
      <c r="DO44" s="363">
        <v>0</v>
      </c>
      <c r="DP44" s="363">
        <v>0</v>
      </c>
      <c r="DQ44" s="363">
        <v>0</v>
      </c>
      <c r="DR44" s="363">
        <v>0</v>
      </c>
      <c r="DS44" s="363">
        <v>0</v>
      </c>
      <c r="DT44" s="363">
        <v>0</v>
      </c>
      <c r="DU44" s="363">
        <v>0</v>
      </c>
      <c r="DV44" s="363">
        <v>0</v>
      </c>
      <c r="DW44" s="435">
        <v>0</v>
      </c>
      <c r="DX44" s="435">
        <v>0</v>
      </c>
      <c r="DY44" s="435">
        <v>0</v>
      </c>
      <c r="DZ44" s="435">
        <v>0</v>
      </c>
      <c r="EA44" s="363">
        <v>0</v>
      </c>
      <c r="EB44" s="435">
        <v>0</v>
      </c>
      <c r="EC44" s="435">
        <v>0</v>
      </c>
      <c r="ED44" s="435">
        <v>0</v>
      </c>
      <c r="EE44" s="435">
        <v>0</v>
      </c>
      <c r="EF44" s="363">
        <v>0</v>
      </c>
      <c r="EG44" s="364">
        <v>0</v>
      </c>
      <c r="EH44" s="364">
        <v>0</v>
      </c>
      <c r="EI44" s="364">
        <v>0</v>
      </c>
      <c r="EJ44" s="365">
        <v>0</v>
      </c>
      <c r="EK44" s="365">
        <v>0</v>
      </c>
      <c r="EL44" s="365">
        <v>0</v>
      </c>
      <c r="EM44" s="365">
        <v>0</v>
      </c>
      <c r="EN44" s="365">
        <v>0</v>
      </c>
      <c r="EO44" s="365">
        <v>0</v>
      </c>
      <c r="EP44" s="365">
        <v>0</v>
      </c>
      <c r="EQ44" s="365">
        <v>0</v>
      </c>
      <c r="ER44" s="365">
        <v>0</v>
      </c>
      <c r="ES44" s="365">
        <v>0</v>
      </c>
      <c r="ET44" s="365">
        <v>0</v>
      </c>
      <c r="EU44" s="365">
        <v>0</v>
      </c>
      <c r="EV44" s="436">
        <v>0</v>
      </c>
      <c r="EW44" s="436">
        <v>0</v>
      </c>
      <c r="EX44" s="436">
        <v>0</v>
      </c>
      <c r="EY44" s="436">
        <v>0</v>
      </c>
      <c r="EZ44" s="365">
        <v>0</v>
      </c>
      <c r="FA44" s="436">
        <v>0</v>
      </c>
      <c r="FB44" s="436">
        <v>0</v>
      </c>
      <c r="FC44" s="436">
        <v>0</v>
      </c>
      <c r="FD44" s="436">
        <v>0</v>
      </c>
      <c r="FE44" s="365">
        <v>0</v>
      </c>
      <c r="FF44" s="364">
        <v>0</v>
      </c>
      <c r="FG44" s="364">
        <v>0</v>
      </c>
      <c r="FH44" s="364">
        <v>0</v>
      </c>
      <c r="FI44" s="365">
        <v>0</v>
      </c>
      <c r="FJ44" s="365">
        <v>0</v>
      </c>
      <c r="FK44" s="365">
        <v>0</v>
      </c>
      <c r="FL44" s="365">
        <v>0</v>
      </c>
      <c r="FM44" s="365">
        <v>0</v>
      </c>
      <c r="FN44" s="365">
        <v>0</v>
      </c>
      <c r="FO44" s="365">
        <v>0</v>
      </c>
      <c r="FP44" s="365">
        <v>0</v>
      </c>
      <c r="FQ44" s="365">
        <v>0</v>
      </c>
      <c r="FR44" s="365">
        <v>0</v>
      </c>
      <c r="FS44" s="365">
        <v>0</v>
      </c>
      <c r="FT44" s="365">
        <v>0</v>
      </c>
      <c r="FU44" s="436">
        <v>0</v>
      </c>
      <c r="FV44" s="436">
        <v>0</v>
      </c>
      <c r="FW44" s="436">
        <v>0</v>
      </c>
      <c r="FX44" s="436">
        <v>0</v>
      </c>
      <c r="FY44" s="365">
        <v>0</v>
      </c>
      <c r="FZ44" s="436">
        <v>0</v>
      </c>
      <c r="GA44" s="436">
        <v>0</v>
      </c>
      <c r="GB44" s="436">
        <v>0</v>
      </c>
      <c r="GC44" s="436">
        <v>0</v>
      </c>
      <c r="GD44" s="365">
        <v>0</v>
      </c>
    </row>
    <row r="45" spans="1:186" ht="15" x14ac:dyDescent="0.25">
      <c r="A45" s="357">
        <v>131</v>
      </c>
      <c r="B45" s="357">
        <v>74</v>
      </c>
      <c r="C45" s="357" t="s">
        <v>954</v>
      </c>
      <c r="D45" s="2">
        <v>99714</v>
      </c>
      <c r="E45" s="268" t="s">
        <v>19</v>
      </c>
      <c r="F45" s="358" t="s">
        <v>915</v>
      </c>
      <c r="G45" s="49">
        <v>2</v>
      </c>
      <c r="H45" s="49">
        <v>2</v>
      </c>
      <c r="I45" s="49">
        <v>1</v>
      </c>
      <c r="J45" s="49">
        <v>1</v>
      </c>
      <c r="K45" s="49">
        <v>0</v>
      </c>
      <c r="L45" s="49">
        <v>8</v>
      </c>
      <c r="M45" s="49">
        <v>8</v>
      </c>
      <c r="N45" s="49">
        <v>0</v>
      </c>
      <c r="O45" s="49">
        <v>0</v>
      </c>
      <c r="P45" s="49">
        <v>0</v>
      </c>
      <c r="Q45" s="49">
        <v>8</v>
      </c>
      <c r="R45" s="49">
        <v>0</v>
      </c>
      <c r="S45" s="49">
        <v>1723</v>
      </c>
      <c r="T45" s="49">
        <v>1723</v>
      </c>
      <c r="U45" s="49">
        <v>0</v>
      </c>
      <c r="V45" s="49">
        <v>0</v>
      </c>
      <c r="W45" s="49">
        <v>0</v>
      </c>
      <c r="X45" s="49">
        <v>1723</v>
      </c>
      <c r="Y45" s="434">
        <v>13784</v>
      </c>
      <c r="Z45" s="434">
        <v>0</v>
      </c>
      <c r="AA45" s="49">
        <v>0</v>
      </c>
      <c r="AB45" s="49">
        <v>2</v>
      </c>
      <c r="AC45" s="49">
        <v>0</v>
      </c>
      <c r="AD45" s="285">
        <v>0</v>
      </c>
      <c r="AE45" s="285">
        <v>0</v>
      </c>
      <c r="AF45" s="359">
        <v>2</v>
      </c>
      <c r="AG45" s="360">
        <v>0</v>
      </c>
      <c r="AH45" s="360">
        <v>1</v>
      </c>
      <c r="AI45" s="361">
        <v>1</v>
      </c>
      <c r="AJ45" s="360">
        <v>0</v>
      </c>
      <c r="AK45" s="360">
        <v>0</v>
      </c>
      <c r="AL45" s="360">
        <v>1.8762600865647894</v>
      </c>
      <c r="AM45" s="360">
        <v>1.8762600865647894</v>
      </c>
      <c r="AN45" s="360">
        <v>0</v>
      </c>
      <c r="AO45" s="360">
        <v>0</v>
      </c>
      <c r="AP45" s="360">
        <v>0.95638919772553477</v>
      </c>
      <c r="AQ45" s="360">
        <v>0.95638919772553477</v>
      </c>
      <c r="AR45" s="360">
        <v>0</v>
      </c>
      <c r="AS45" s="360">
        <v>0</v>
      </c>
      <c r="AT45" s="360">
        <v>0</v>
      </c>
      <c r="AU45" s="360">
        <v>1.7601759562180552</v>
      </c>
      <c r="AV45" s="360">
        <v>1.8172913613350361</v>
      </c>
      <c r="AW45" s="360">
        <v>1.8762600865647894</v>
      </c>
      <c r="AX45" s="360">
        <v>1.9371422697183545</v>
      </c>
      <c r="AY45" s="360">
        <v>2</v>
      </c>
      <c r="AZ45" s="360">
        <v>0.91468029752609203</v>
      </c>
      <c r="BA45" s="360">
        <v>0.93530228050953268</v>
      </c>
      <c r="BB45" s="360">
        <v>0.95638919772553477</v>
      </c>
      <c r="BC45" s="360">
        <v>0.97795153137849056</v>
      </c>
      <c r="BD45" s="360">
        <v>1</v>
      </c>
      <c r="BE45" s="360">
        <v>0</v>
      </c>
      <c r="BF45" s="360">
        <v>0</v>
      </c>
      <c r="BG45" s="360">
        <v>0</v>
      </c>
      <c r="BH45" s="360">
        <v>0</v>
      </c>
      <c r="BI45" s="360">
        <v>0</v>
      </c>
      <c r="BJ45" s="362">
        <v>2.0227205853706303</v>
      </c>
      <c r="BK45" s="362">
        <v>2.0456992832410528</v>
      </c>
      <c r="BL45" s="362">
        <v>2.0689390258448106</v>
      </c>
      <c r="BM45" s="363">
        <v>2.0553366594869087</v>
      </c>
      <c r="BN45" s="363">
        <v>2.0418237227198373</v>
      </c>
      <c r="BO45" s="363">
        <v>2.0353035186774462</v>
      </c>
      <c r="BP45" s="363">
        <v>2.0288041357570168</v>
      </c>
      <c r="BQ45" s="363">
        <v>2.0223255074699669</v>
      </c>
      <c r="BR45" s="363">
        <v>2.0158675675400342</v>
      </c>
      <c r="BS45" s="363">
        <v>2.0094302499025982</v>
      </c>
      <c r="BT45" s="363">
        <v>2.0242939408207077</v>
      </c>
      <c r="BU45" s="363">
        <v>2.039267577982395</v>
      </c>
      <c r="BV45" s="363">
        <v>2.0543519746564871</v>
      </c>
      <c r="BW45" s="363">
        <v>2.0695479501275358</v>
      </c>
      <c r="BX45" s="363">
        <v>2.0848563297403104</v>
      </c>
      <c r="BY45" s="435">
        <v>2.0932600038385845</v>
      </c>
      <c r="BZ45" s="435">
        <v>2.1016636779368585</v>
      </c>
      <c r="CA45" s="435">
        <v>2.110067352035133</v>
      </c>
      <c r="CB45" s="435">
        <v>2.118471026133407</v>
      </c>
      <c r="CC45" s="363">
        <v>2.126874700231681</v>
      </c>
      <c r="CD45" s="435">
        <v>2.1337632291477049</v>
      </c>
      <c r="CE45" s="435">
        <v>2.1406517580637283</v>
      </c>
      <c r="CF45" s="435">
        <v>2.1475402869797522</v>
      </c>
      <c r="CG45" s="435">
        <v>2.1544288158957756</v>
      </c>
      <c r="CH45" s="363">
        <v>2.1613173448117995</v>
      </c>
      <c r="CI45" s="362">
        <v>1.0113602926853151</v>
      </c>
      <c r="CJ45" s="362">
        <v>1.0228496416205264</v>
      </c>
      <c r="CK45" s="362">
        <v>1.0344695129224053</v>
      </c>
      <c r="CL45" s="363">
        <v>1.0276683297434543</v>
      </c>
      <c r="CM45" s="363">
        <v>1.0209118613599186</v>
      </c>
      <c r="CN45" s="363">
        <v>1.0176517593387231</v>
      </c>
      <c r="CO45" s="363">
        <v>1.0144020678785084</v>
      </c>
      <c r="CP45" s="363">
        <v>1.0111627537349834</v>
      </c>
      <c r="CQ45" s="363">
        <v>1.0079337837700171</v>
      </c>
      <c r="CR45" s="363">
        <v>1.0047151249512991</v>
      </c>
      <c r="CS45" s="363">
        <v>1.0121469704103538</v>
      </c>
      <c r="CT45" s="363">
        <v>1.0196337889911975</v>
      </c>
      <c r="CU45" s="363">
        <v>1.0271759873282436</v>
      </c>
      <c r="CV45" s="363">
        <v>1.0347739750637679</v>
      </c>
      <c r="CW45" s="363">
        <v>1.0424281648701552</v>
      </c>
      <c r="CX45" s="435">
        <v>1.0466300019192922</v>
      </c>
      <c r="CY45" s="435">
        <v>1.0508318389684292</v>
      </c>
      <c r="CZ45" s="435">
        <v>1.0550336760175665</v>
      </c>
      <c r="DA45" s="435">
        <v>1.0592355130667035</v>
      </c>
      <c r="DB45" s="363">
        <v>1.0634373501158405</v>
      </c>
      <c r="DC45" s="435">
        <v>1.0668816145738524</v>
      </c>
      <c r="DD45" s="435">
        <v>1.0703258790318642</v>
      </c>
      <c r="DE45" s="435">
        <v>1.0737701434898761</v>
      </c>
      <c r="DF45" s="435">
        <v>1.0772144079478878</v>
      </c>
      <c r="DG45" s="363">
        <v>1.0806586724058997</v>
      </c>
      <c r="DH45" s="362">
        <v>0</v>
      </c>
      <c r="DI45" s="362">
        <v>0</v>
      </c>
      <c r="DJ45" s="362">
        <v>0</v>
      </c>
      <c r="DK45" s="363">
        <v>0</v>
      </c>
      <c r="DL45" s="363">
        <v>0</v>
      </c>
      <c r="DM45" s="363">
        <v>0</v>
      </c>
      <c r="DN45" s="363">
        <v>0</v>
      </c>
      <c r="DO45" s="363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363">
        <v>0</v>
      </c>
      <c r="DV45" s="363">
        <v>0</v>
      </c>
      <c r="DW45" s="435">
        <v>0</v>
      </c>
      <c r="DX45" s="435">
        <v>0</v>
      </c>
      <c r="DY45" s="435">
        <v>0</v>
      </c>
      <c r="DZ45" s="435">
        <v>0</v>
      </c>
      <c r="EA45" s="363">
        <v>0</v>
      </c>
      <c r="EB45" s="435">
        <v>0</v>
      </c>
      <c r="EC45" s="435">
        <v>0</v>
      </c>
      <c r="ED45" s="435">
        <v>0</v>
      </c>
      <c r="EE45" s="435">
        <v>0</v>
      </c>
      <c r="EF45" s="363">
        <v>0</v>
      </c>
      <c r="EG45" s="364">
        <v>0</v>
      </c>
      <c r="EH45" s="364">
        <v>0</v>
      </c>
      <c r="EI45" s="364">
        <v>0</v>
      </c>
      <c r="EJ45" s="365">
        <v>0</v>
      </c>
      <c r="EK45" s="365">
        <v>0</v>
      </c>
      <c r="EL45" s="365">
        <v>0</v>
      </c>
      <c r="EM45" s="365">
        <v>0</v>
      </c>
      <c r="EN45" s="365">
        <v>0</v>
      </c>
      <c r="EO45" s="365">
        <v>0</v>
      </c>
      <c r="EP45" s="365">
        <v>0</v>
      </c>
      <c r="EQ45" s="365">
        <v>0</v>
      </c>
      <c r="ER45" s="365">
        <v>0</v>
      </c>
      <c r="ES45" s="365">
        <v>0</v>
      </c>
      <c r="ET45" s="365">
        <v>0</v>
      </c>
      <c r="EU45" s="365">
        <v>0</v>
      </c>
      <c r="EV45" s="436">
        <v>0</v>
      </c>
      <c r="EW45" s="436">
        <v>0</v>
      </c>
      <c r="EX45" s="436">
        <v>0</v>
      </c>
      <c r="EY45" s="436">
        <v>0</v>
      </c>
      <c r="EZ45" s="365">
        <v>0</v>
      </c>
      <c r="FA45" s="436">
        <v>0</v>
      </c>
      <c r="FB45" s="436">
        <v>0</v>
      </c>
      <c r="FC45" s="436">
        <v>0</v>
      </c>
      <c r="FD45" s="436">
        <v>0</v>
      </c>
      <c r="FE45" s="365">
        <v>0</v>
      </c>
      <c r="FF45" s="364">
        <v>0</v>
      </c>
      <c r="FG45" s="364">
        <v>0</v>
      </c>
      <c r="FH45" s="364">
        <v>0</v>
      </c>
      <c r="FI45" s="365">
        <v>0</v>
      </c>
      <c r="FJ45" s="365">
        <v>0</v>
      </c>
      <c r="FK45" s="365">
        <v>0</v>
      </c>
      <c r="FL45" s="365">
        <v>0</v>
      </c>
      <c r="FM45" s="365">
        <v>0</v>
      </c>
      <c r="FN45" s="365">
        <v>0</v>
      </c>
      <c r="FO45" s="365">
        <v>0</v>
      </c>
      <c r="FP45" s="365">
        <v>0</v>
      </c>
      <c r="FQ45" s="365">
        <v>0</v>
      </c>
      <c r="FR45" s="365">
        <v>0</v>
      </c>
      <c r="FS45" s="365">
        <v>0</v>
      </c>
      <c r="FT45" s="365">
        <v>0</v>
      </c>
      <c r="FU45" s="436">
        <v>0</v>
      </c>
      <c r="FV45" s="436">
        <v>0</v>
      </c>
      <c r="FW45" s="436">
        <v>0</v>
      </c>
      <c r="FX45" s="436">
        <v>0</v>
      </c>
      <c r="FY45" s="365">
        <v>0</v>
      </c>
      <c r="FZ45" s="436">
        <v>0</v>
      </c>
      <c r="GA45" s="436">
        <v>0</v>
      </c>
      <c r="GB45" s="436">
        <v>0</v>
      </c>
      <c r="GC45" s="436">
        <v>0</v>
      </c>
      <c r="GD45" s="365">
        <v>0</v>
      </c>
    </row>
    <row r="46" spans="1:186" ht="15" x14ac:dyDescent="0.25">
      <c r="A46" s="357">
        <v>132</v>
      </c>
      <c r="B46" s="357">
        <v>74</v>
      </c>
      <c r="C46" s="357" t="s">
        <v>955</v>
      </c>
      <c r="D46" s="2">
        <v>99714</v>
      </c>
      <c r="E46" s="268" t="s">
        <v>19</v>
      </c>
      <c r="F46" s="358" t="s">
        <v>915</v>
      </c>
      <c r="G46" s="49">
        <v>60</v>
      </c>
      <c r="H46" s="49">
        <v>23</v>
      </c>
      <c r="I46" s="49">
        <v>19</v>
      </c>
      <c r="J46" s="49">
        <v>4</v>
      </c>
      <c r="K46" s="49">
        <v>0</v>
      </c>
      <c r="L46" s="49">
        <v>32</v>
      </c>
      <c r="M46" s="49">
        <v>32</v>
      </c>
      <c r="N46" s="49">
        <v>0</v>
      </c>
      <c r="O46" s="49">
        <v>0</v>
      </c>
      <c r="P46" s="49">
        <v>0</v>
      </c>
      <c r="Q46" s="49">
        <v>32</v>
      </c>
      <c r="R46" s="49">
        <v>0</v>
      </c>
      <c r="S46" s="49">
        <v>1443.71875</v>
      </c>
      <c r="T46" s="49">
        <v>1443.71875</v>
      </c>
      <c r="U46" s="49">
        <v>0</v>
      </c>
      <c r="V46" s="49">
        <v>0</v>
      </c>
      <c r="W46" s="49">
        <v>0</v>
      </c>
      <c r="X46" s="49">
        <v>1443.71875</v>
      </c>
      <c r="Y46" s="434">
        <v>46199</v>
      </c>
      <c r="Z46" s="434">
        <v>0</v>
      </c>
      <c r="AA46" s="49">
        <v>0</v>
      </c>
      <c r="AB46" s="49">
        <v>23</v>
      </c>
      <c r="AC46" s="49">
        <v>0</v>
      </c>
      <c r="AD46" s="285">
        <v>0</v>
      </c>
      <c r="AE46" s="285">
        <v>0</v>
      </c>
      <c r="AF46" s="359">
        <v>23</v>
      </c>
      <c r="AG46" s="360">
        <v>0</v>
      </c>
      <c r="AH46" s="360">
        <v>19</v>
      </c>
      <c r="AI46" s="361">
        <v>19</v>
      </c>
      <c r="AJ46" s="360">
        <v>0</v>
      </c>
      <c r="AK46" s="360">
        <v>0</v>
      </c>
      <c r="AL46" s="360">
        <v>21.576990995495077</v>
      </c>
      <c r="AM46" s="360">
        <v>21.576990995495077</v>
      </c>
      <c r="AN46" s="360">
        <v>0</v>
      </c>
      <c r="AO46" s="360">
        <v>0</v>
      </c>
      <c r="AP46" s="360">
        <v>18.171394756785162</v>
      </c>
      <c r="AQ46" s="360">
        <v>18.171394756785162</v>
      </c>
      <c r="AR46" s="360">
        <v>0</v>
      </c>
      <c r="AS46" s="360">
        <v>0</v>
      </c>
      <c r="AT46" s="360">
        <v>0</v>
      </c>
      <c r="AU46" s="360">
        <v>20.242023496507635</v>
      </c>
      <c r="AV46" s="360">
        <v>20.898850655352916</v>
      </c>
      <c r="AW46" s="360">
        <v>21.576990995495077</v>
      </c>
      <c r="AX46" s="360">
        <v>22.277136101761077</v>
      </c>
      <c r="AY46" s="360">
        <v>23</v>
      </c>
      <c r="AZ46" s="360">
        <v>17.378925652995751</v>
      </c>
      <c r="BA46" s="360">
        <v>17.770743329681121</v>
      </c>
      <c r="BB46" s="360">
        <v>18.171394756785162</v>
      </c>
      <c r="BC46" s="360">
        <v>18.581079096191321</v>
      </c>
      <c r="BD46" s="360">
        <v>19</v>
      </c>
      <c r="BE46" s="360">
        <v>0</v>
      </c>
      <c r="BF46" s="360">
        <v>0</v>
      </c>
      <c r="BG46" s="360">
        <v>0</v>
      </c>
      <c r="BH46" s="360">
        <v>0</v>
      </c>
      <c r="BI46" s="360">
        <v>0</v>
      </c>
      <c r="BJ46" s="362">
        <v>23.261286731762247</v>
      </c>
      <c r="BK46" s="362">
        <v>23.525541757272109</v>
      </c>
      <c r="BL46" s="362">
        <v>23.792798797215323</v>
      </c>
      <c r="BM46" s="363">
        <v>23.63637158409945</v>
      </c>
      <c r="BN46" s="363">
        <v>23.480972811278129</v>
      </c>
      <c r="BO46" s="363">
        <v>23.405990464790634</v>
      </c>
      <c r="BP46" s="363">
        <v>23.331247561205693</v>
      </c>
      <c r="BQ46" s="363">
        <v>23.25674333590462</v>
      </c>
      <c r="BR46" s="363">
        <v>23.182477026710394</v>
      </c>
      <c r="BS46" s="363">
        <v>23.108447873879882</v>
      </c>
      <c r="BT46" s="363">
        <v>23.27938031943814</v>
      </c>
      <c r="BU46" s="363">
        <v>23.451577146797543</v>
      </c>
      <c r="BV46" s="363">
        <v>23.625047708549605</v>
      </c>
      <c r="BW46" s="363">
        <v>23.799801426466662</v>
      </c>
      <c r="BX46" s="363">
        <v>23.975847792013568</v>
      </c>
      <c r="BY46" s="435">
        <v>24.07249004414372</v>
      </c>
      <c r="BZ46" s="435">
        <v>24.169132296273872</v>
      </c>
      <c r="CA46" s="435">
        <v>24.265774548404028</v>
      </c>
      <c r="CB46" s="435">
        <v>24.362416800534181</v>
      </c>
      <c r="CC46" s="363">
        <v>24.459059052664333</v>
      </c>
      <c r="CD46" s="435">
        <v>24.538277135198605</v>
      </c>
      <c r="CE46" s="435">
        <v>24.617495217732877</v>
      </c>
      <c r="CF46" s="435">
        <v>24.696713300267152</v>
      </c>
      <c r="CG46" s="435">
        <v>24.775931382801424</v>
      </c>
      <c r="CH46" s="363">
        <v>24.855149465335696</v>
      </c>
      <c r="CI46" s="362">
        <v>19.215845561020988</v>
      </c>
      <c r="CJ46" s="362">
        <v>19.434143190790003</v>
      </c>
      <c r="CK46" s="362">
        <v>19.6549207455257</v>
      </c>
      <c r="CL46" s="363">
        <v>19.525698265125634</v>
      </c>
      <c r="CM46" s="363">
        <v>19.397325365838455</v>
      </c>
      <c r="CN46" s="363">
        <v>19.33538342743574</v>
      </c>
      <c r="CO46" s="363">
        <v>19.273639289691658</v>
      </c>
      <c r="CP46" s="363">
        <v>19.212092320964686</v>
      </c>
      <c r="CQ46" s="363">
        <v>19.150741891630325</v>
      </c>
      <c r="CR46" s="363">
        <v>19.089587374074682</v>
      </c>
      <c r="CS46" s="363">
        <v>19.230792437796723</v>
      </c>
      <c r="CT46" s="363">
        <v>19.37304199083275</v>
      </c>
      <c r="CU46" s="363">
        <v>19.51634375923663</v>
      </c>
      <c r="CV46" s="363">
        <v>19.66070552621159</v>
      </c>
      <c r="CW46" s="363">
        <v>19.806135132532948</v>
      </c>
      <c r="CX46" s="435">
        <v>19.885970036466553</v>
      </c>
      <c r="CY46" s="435">
        <v>19.965804940400158</v>
      </c>
      <c r="CZ46" s="435">
        <v>20.04563984433376</v>
      </c>
      <c r="DA46" s="435">
        <v>20.125474748267365</v>
      </c>
      <c r="DB46" s="363">
        <v>20.20530965220097</v>
      </c>
      <c r="DC46" s="435">
        <v>20.270750676903194</v>
      </c>
      <c r="DD46" s="435">
        <v>20.336191701605422</v>
      </c>
      <c r="DE46" s="435">
        <v>20.401632726307646</v>
      </c>
      <c r="DF46" s="435">
        <v>20.467073751009874</v>
      </c>
      <c r="DG46" s="363">
        <v>20.532514775712098</v>
      </c>
      <c r="DH46" s="362">
        <v>0</v>
      </c>
      <c r="DI46" s="362">
        <v>0</v>
      </c>
      <c r="DJ46" s="362">
        <v>0</v>
      </c>
      <c r="DK46" s="363">
        <v>0</v>
      </c>
      <c r="DL46" s="363">
        <v>0</v>
      </c>
      <c r="DM46" s="363">
        <v>0</v>
      </c>
      <c r="DN46" s="363">
        <v>0</v>
      </c>
      <c r="DO46" s="363">
        <v>0</v>
      </c>
      <c r="DP46" s="363">
        <v>0</v>
      </c>
      <c r="DQ46" s="363">
        <v>0</v>
      </c>
      <c r="DR46" s="363">
        <v>0</v>
      </c>
      <c r="DS46" s="363">
        <v>0</v>
      </c>
      <c r="DT46" s="363">
        <v>0</v>
      </c>
      <c r="DU46" s="363">
        <v>0</v>
      </c>
      <c r="DV46" s="363">
        <v>0</v>
      </c>
      <c r="DW46" s="435">
        <v>0</v>
      </c>
      <c r="DX46" s="435">
        <v>0</v>
      </c>
      <c r="DY46" s="435">
        <v>0</v>
      </c>
      <c r="DZ46" s="435">
        <v>0</v>
      </c>
      <c r="EA46" s="363">
        <v>0</v>
      </c>
      <c r="EB46" s="435">
        <v>0</v>
      </c>
      <c r="EC46" s="435">
        <v>0</v>
      </c>
      <c r="ED46" s="435">
        <v>0</v>
      </c>
      <c r="EE46" s="435">
        <v>0</v>
      </c>
      <c r="EF46" s="363">
        <v>0</v>
      </c>
      <c r="EG46" s="364">
        <v>0</v>
      </c>
      <c r="EH46" s="364">
        <v>0</v>
      </c>
      <c r="EI46" s="364">
        <v>0</v>
      </c>
      <c r="EJ46" s="365">
        <v>0</v>
      </c>
      <c r="EK46" s="365">
        <v>0</v>
      </c>
      <c r="EL46" s="365">
        <v>0</v>
      </c>
      <c r="EM46" s="365">
        <v>0</v>
      </c>
      <c r="EN46" s="365">
        <v>0</v>
      </c>
      <c r="EO46" s="365">
        <v>0</v>
      </c>
      <c r="EP46" s="365">
        <v>0</v>
      </c>
      <c r="EQ46" s="365">
        <v>0</v>
      </c>
      <c r="ER46" s="365">
        <v>0</v>
      </c>
      <c r="ES46" s="365">
        <v>0</v>
      </c>
      <c r="ET46" s="365">
        <v>0</v>
      </c>
      <c r="EU46" s="365">
        <v>0</v>
      </c>
      <c r="EV46" s="436">
        <v>0</v>
      </c>
      <c r="EW46" s="436">
        <v>0</v>
      </c>
      <c r="EX46" s="436">
        <v>0</v>
      </c>
      <c r="EY46" s="436">
        <v>0</v>
      </c>
      <c r="EZ46" s="365">
        <v>0</v>
      </c>
      <c r="FA46" s="436">
        <v>0</v>
      </c>
      <c r="FB46" s="436">
        <v>0</v>
      </c>
      <c r="FC46" s="436">
        <v>0</v>
      </c>
      <c r="FD46" s="436">
        <v>0</v>
      </c>
      <c r="FE46" s="365">
        <v>0</v>
      </c>
      <c r="FF46" s="364">
        <v>0</v>
      </c>
      <c r="FG46" s="364">
        <v>0</v>
      </c>
      <c r="FH46" s="364">
        <v>0</v>
      </c>
      <c r="FI46" s="365">
        <v>0</v>
      </c>
      <c r="FJ46" s="365">
        <v>0</v>
      </c>
      <c r="FK46" s="365">
        <v>0</v>
      </c>
      <c r="FL46" s="365">
        <v>0</v>
      </c>
      <c r="FM46" s="365">
        <v>0</v>
      </c>
      <c r="FN46" s="365">
        <v>0</v>
      </c>
      <c r="FO46" s="365">
        <v>0</v>
      </c>
      <c r="FP46" s="365">
        <v>0</v>
      </c>
      <c r="FQ46" s="365">
        <v>0</v>
      </c>
      <c r="FR46" s="365">
        <v>0</v>
      </c>
      <c r="FS46" s="365">
        <v>0</v>
      </c>
      <c r="FT46" s="365">
        <v>0</v>
      </c>
      <c r="FU46" s="436">
        <v>0</v>
      </c>
      <c r="FV46" s="436">
        <v>0</v>
      </c>
      <c r="FW46" s="436">
        <v>0</v>
      </c>
      <c r="FX46" s="436">
        <v>0</v>
      </c>
      <c r="FY46" s="365">
        <v>0</v>
      </c>
      <c r="FZ46" s="436">
        <v>0</v>
      </c>
      <c r="GA46" s="436">
        <v>0</v>
      </c>
      <c r="GB46" s="436">
        <v>0</v>
      </c>
      <c r="GC46" s="436">
        <v>0</v>
      </c>
      <c r="GD46" s="365">
        <v>0</v>
      </c>
    </row>
    <row r="47" spans="1:186" ht="15" x14ac:dyDescent="0.25">
      <c r="A47" s="357">
        <v>133</v>
      </c>
      <c r="B47" s="357">
        <v>74</v>
      </c>
      <c r="C47" s="357" t="s">
        <v>956</v>
      </c>
      <c r="D47" s="2">
        <v>99714</v>
      </c>
      <c r="E47" s="268" t="s">
        <v>19</v>
      </c>
      <c r="F47" s="358" t="s">
        <v>915</v>
      </c>
      <c r="G47" s="49">
        <v>9</v>
      </c>
      <c r="H47" s="49">
        <v>4</v>
      </c>
      <c r="I47" s="49">
        <v>4</v>
      </c>
      <c r="J47" s="49">
        <v>0</v>
      </c>
      <c r="K47" s="49">
        <v>0</v>
      </c>
      <c r="L47" s="49">
        <v>3</v>
      </c>
      <c r="M47" s="49">
        <v>3</v>
      </c>
      <c r="N47" s="49">
        <v>0</v>
      </c>
      <c r="O47" s="49">
        <v>0</v>
      </c>
      <c r="P47" s="49">
        <v>0</v>
      </c>
      <c r="Q47" s="49">
        <v>3</v>
      </c>
      <c r="R47" s="49">
        <v>0</v>
      </c>
      <c r="S47" s="49">
        <v>1639.6666666666667</v>
      </c>
      <c r="T47" s="49">
        <v>1639.6666666666667</v>
      </c>
      <c r="U47" s="49">
        <v>0</v>
      </c>
      <c r="V47" s="49">
        <v>0</v>
      </c>
      <c r="W47" s="49">
        <v>0</v>
      </c>
      <c r="X47" s="49">
        <v>1639.6666666666667</v>
      </c>
      <c r="Y47" s="434">
        <v>4919</v>
      </c>
      <c r="Z47" s="434">
        <v>0</v>
      </c>
      <c r="AA47" s="49">
        <v>0</v>
      </c>
      <c r="AB47" s="49">
        <v>4</v>
      </c>
      <c r="AC47" s="49">
        <v>0</v>
      </c>
      <c r="AD47" s="285">
        <v>0</v>
      </c>
      <c r="AE47" s="285">
        <v>0</v>
      </c>
      <c r="AF47" s="359">
        <v>4</v>
      </c>
      <c r="AG47" s="360">
        <v>0</v>
      </c>
      <c r="AH47" s="360">
        <v>4</v>
      </c>
      <c r="AI47" s="361">
        <v>4</v>
      </c>
      <c r="AJ47" s="360">
        <v>0</v>
      </c>
      <c r="AK47" s="360">
        <v>0</v>
      </c>
      <c r="AL47" s="360">
        <v>3.7525201731295788</v>
      </c>
      <c r="AM47" s="360">
        <v>3.7525201731295788</v>
      </c>
      <c r="AN47" s="360">
        <v>0</v>
      </c>
      <c r="AO47" s="360">
        <v>0</v>
      </c>
      <c r="AP47" s="360">
        <v>3.8255567909021391</v>
      </c>
      <c r="AQ47" s="360">
        <v>3.8255567909021391</v>
      </c>
      <c r="AR47" s="360">
        <v>0</v>
      </c>
      <c r="AS47" s="360">
        <v>0</v>
      </c>
      <c r="AT47" s="360">
        <v>0</v>
      </c>
      <c r="AU47" s="360">
        <v>3.5203519124361105</v>
      </c>
      <c r="AV47" s="360">
        <v>3.6345827226700722</v>
      </c>
      <c r="AW47" s="360">
        <v>3.7525201731295788</v>
      </c>
      <c r="AX47" s="360">
        <v>3.8742845394367089</v>
      </c>
      <c r="AY47" s="360">
        <v>4</v>
      </c>
      <c r="AZ47" s="360">
        <v>3.6587211901043681</v>
      </c>
      <c r="BA47" s="360">
        <v>3.7412091220381307</v>
      </c>
      <c r="BB47" s="360">
        <v>3.8255567909021391</v>
      </c>
      <c r="BC47" s="360">
        <v>3.9118061255139622</v>
      </c>
      <c r="BD47" s="360">
        <v>4</v>
      </c>
      <c r="BE47" s="360">
        <v>0</v>
      </c>
      <c r="BF47" s="360">
        <v>0</v>
      </c>
      <c r="BG47" s="360">
        <v>0</v>
      </c>
      <c r="BH47" s="360">
        <v>0</v>
      </c>
      <c r="BI47" s="360">
        <v>0</v>
      </c>
      <c r="BJ47" s="362">
        <v>4.0454411707412605</v>
      </c>
      <c r="BK47" s="362">
        <v>4.0913985664821055</v>
      </c>
      <c r="BL47" s="362">
        <v>4.1378780516896212</v>
      </c>
      <c r="BM47" s="363">
        <v>4.1106733189738174</v>
      </c>
      <c r="BN47" s="363">
        <v>4.0836474454396745</v>
      </c>
      <c r="BO47" s="363">
        <v>4.0706070373548924</v>
      </c>
      <c r="BP47" s="363">
        <v>4.0576082715140336</v>
      </c>
      <c r="BQ47" s="363">
        <v>4.0446510149399337</v>
      </c>
      <c r="BR47" s="363">
        <v>4.0317351350800683</v>
      </c>
      <c r="BS47" s="363">
        <v>4.0188604998051964</v>
      </c>
      <c r="BT47" s="363">
        <v>4.0485878816414154</v>
      </c>
      <c r="BU47" s="363">
        <v>4.07853515596479</v>
      </c>
      <c r="BV47" s="363">
        <v>4.1087039493129742</v>
      </c>
      <c r="BW47" s="363">
        <v>4.1390959002550716</v>
      </c>
      <c r="BX47" s="363">
        <v>4.1697126594806209</v>
      </c>
      <c r="BY47" s="435">
        <v>4.1865200076771689</v>
      </c>
      <c r="BZ47" s="435">
        <v>4.203327355873717</v>
      </c>
      <c r="CA47" s="435">
        <v>4.2201347040702659</v>
      </c>
      <c r="CB47" s="435">
        <v>4.236942052266814</v>
      </c>
      <c r="CC47" s="363">
        <v>4.253749400463362</v>
      </c>
      <c r="CD47" s="435">
        <v>4.2675264582954098</v>
      </c>
      <c r="CE47" s="435">
        <v>4.2813035161274566</v>
      </c>
      <c r="CF47" s="435">
        <v>4.2950805739595044</v>
      </c>
      <c r="CG47" s="435">
        <v>4.3088576317915512</v>
      </c>
      <c r="CH47" s="363">
        <v>4.322634689623599</v>
      </c>
      <c r="CI47" s="362">
        <v>4.0454411707412605</v>
      </c>
      <c r="CJ47" s="362">
        <v>4.0913985664821055</v>
      </c>
      <c r="CK47" s="362">
        <v>4.1378780516896212</v>
      </c>
      <c r="CL47" s="363">
        <v>4.1106733189738174</v>
      </c>
      <c r="CM47" s="363">
        <v>4.0836474454396745</v>
      </c>
      <c r="CN47" s="363">
        <v>4.0706070373548924</v>
      </c>
      <c r="CO47" s="363">
        <v>4.0576082715140336</v>
      </c>
      <c r="CP47" s="363">
        <v>4.0446510149399337</v>
      </c>
      <c r="CQ47" s="363">
        <v>4.0317351350800683</v>
      </c>
      <c r="CR47" s="363">
        <v>4.0188604998051964</v>
      </c>
      <c r="CS47" s="363">
        <v>4.0485878816414154</v>
      </c>
      <c r="CT47" s="363">
        <v>4.07853515596479</v>
      </c>
      <c r="CU47" s="363">
        <v>4.1087039493129742</v>
      </c>
      <c r="CV47" s="363">
        <v>4.1390959002550716</v>
      </c>
      <c r="CW47" s="363">
        <v>4.1697126594806209</v>
      </c>
      <c r="CX47" s="435">
        <v>4.1865200076771689</v>
      </c>
      <c r="CY47" s="435">
        <v>4.203327355873717</v>
      </c>
      <c r="CZ47" s="435">
        <v>4.2201347040702659</v>
      </c>
      <c r="DA47" s="435">
        <v>4.236942052266814</v>
      </c>
      <c r="DB47" s="363">
        <v>4.253749400463362</v>
      </c>
      <c r="DC47" s="435">
        <v>4.2675264582954098</v>
      </c>
      <c r="DD47" s="435">
        <v>4.2813035161274566</v>
      </c>
      <c r="DE47" s="435">
        <v>4.2950805739595044</v>
      </c>
      <c r="DF47" s="435">
        <v>4.3088576317915512</v>
      </c>
      <c r="DG47" s="363">
        <v>4.322634689623599</v>
      </c>
      <c r="DH47" s="362">
        <v>0</v>
      </c>
      <c r="DI47" s="362">
        <v>0</v>
      </c>
      <c r="DJ47" s="362">
        <v>0</v>
      </c>
      <c r="DK47" s="363">
        <v>0</v>
      </c>
      <c r="DL47" s="363">
        <v>0</v>
      </c>
      <c r="DM47" s="363">
        <v>0</v>
      </c>
      <c r="DN47" s="363">
        <v>0</v>
      </c>
      <c r="DO47" s="363">
        <v>0</v>
      </c>
      <c r="DP47" s="363">
        <v>0</v>
      </c>
      <c r="DQ47" s="363">
        <v>0</v>
      </c>
      <c r="DR47" s="363">
        <v>0</v>
      </c>
      <c r="DS47" s="363">
        <v>0</v>
      </c>
      <c r="DT47" s="363">
        <v>0</v>
      </c>
      <c r="DU47" s="363">
        <v>0</v>
      </c>
      <c r="DV47" s="363">
        <v>0</v>
      </c>
      <c r="DW47" s="435">
        <v>0</v>
      </c>
      <c r="DX47" s="435">
        <v>0</v>
      </c>
      <c r="DY47" s="435">
        <v>0</v>
      </c>
      <c r="DZ47" s="435">
        <v>0</v>
      </c>
      <c r="EA47" s="363">
        <v>0</v>
      </c>
      <c r="EB47" s="435">
        <v>0</v>
      </c>
      <c r="EC47" s="435">
        <v>0</v>
      </c>
      <c r="ED47" s="435">
        <v>0</v>
      </c>
      <c r="EE47" s="435">
        <v>0</v>
      </c>
      <c r="EF47" s="363">
        <v>0</v>
      </c>
      <c r="EG47" s="364">
        <v>0</v>
      </c>
      <c r="EH47" s="364">
        <v>0</v>
      </c>
      <c r="EI47" s="364">
        <v>0</v>
      </c>
      <c r="EJ47" s="365">
        <v>0</v>
      </c>
      <c r="EK47" s="365">
        <v>0</v>
      </c>
      <c r="EL47" s="365">
        <v>0</v>
      </c>
      <c r="EM47" s="365">
        <v>0</v>
      </c>
      <c r="EN47" s="365">
        <v>0</v>
      </c>
      <c r="EO47" s="365">
        <v>0</v>
      </c>
      <c r="EP47" s="365">
        <v>0</v>
      </c>
      <c r="EQ47" s="365">
        <v>0</v>
      </c>
      <c r="ER47" s="365">
        <v>0</v>
      </c>
      <c r="ES47" s="365">
        <v>0</v>
      </c>
      <c r="ET47" s="365">
        <v>0</v>
      </c>
      <c r="EU47" s="365">
        <v>0</v>
      </c>
      <c r="EV47" s="436">
        <v>0</v>
      </c>
      <c r="EW47" s="436">
        <v>0</v>
      </c>
      <c r="EX47" s="436">
        <v>0</v>
      </c>
      <c r="EY47" s="436">
        <v>0</v>
      </c>
      <c r="EZ47" s="365">
        <v>0</v>
      </c>
      <c r="FA47" s="436">
        <v>0</v>
      </c>
      <c r="FB47" s="436">
        <v>0</v>
      </c>
      <c r="FC47" s="436">
        <v>0</v>
      </c>
      <c r="FD47" s="436">
        <v>0</v>
      </c>
      <c r="FE47" s="365">
        <v>0</v>
      </c>
      <c r="FF47" s="364">
        <v>0</v>
      </c>
      <c r="FG47" s="364">
        <v>0</v>
      </c>
      <c r="FH47" s="364">
        <v>0</v>
      </c>
      <c r="FI47" s="365">
        <v>0</v>
      </c>
      <c r="FJ47" s="365">
        <v>0</v>
      </c>
      <c r="FK47" s="365">
        <v>0</v>
      </c>
      <c r="FL47" s="365">
        <v>0</v>
      </c>
      <c r="FM47" s="365">
        <v>0</v>
      </c>
      <c r="FN47" s="365">
        <v>0</v>
      </c>
      <c r="FO47" s="365">
        <v>0</v>
      </c>
      <c r="FP47" s="365">
        <v>0</v>
      </c>
      <c r="FQ47" s="365">
        <v>0</v>
      </c>
      <c r="FR47" s="365">
        <v>0</v>
      </c>
      <c r="FS47" s="365">
        <v>0</v>
      </c>
      <c r="FT47" s="365">
        <v>0</v>
      </c>
      <c r="FU47" s="436">
        <v>0</v>
      </c>
      <c r="FV47" s="436">
        <v>0</v>
      </c>
      <c r="FW47" s="436">
        <v>0</v>
      </c>
      <c r="FX47" s="436">
        <v>0</v>
      </c>
      <c r="FY47" s="365">
        <v>0</v>
      </c>
      <c r="FZ47" s="436">
        <v>0</v>
      </c>
      <c r="GA47" s="436">
        <v>0</v>
      </c>
      <c r="GB47" s="436">
        <v>0</v>
      </c>
      <c r="GC47" s="436">
        <v>0</v>
      </c>
      <c r="GD47" s="365">
        <v>0</v>
      </c>
    </row>
    <row r="48" spans="1:186" ht="15" x14ac:dyDescent="0.25">
      <c r="A48" s="357">
        <v>131</v>
      </c>
      <c r="B48" s="357">
        <v>75</v>
      </c>
      <c r="C48" s="357" t="s">
        <v>957</v>
      </c>
      <c r="D48" s="2">
        <v>99714</v>
      </c>
      <c r="E48" s="268" t="s">
        <v>19</v>
      </c>
      <c r="F48" s="358" t="s">
        <v>915</v>
      </c>
      <c r="G48" s="49">
        <v>67</v>
      </c>
      <c r="H48" s="49">
        <v>31</v>
      </c>
      <c r="I48" s="49">
        <v>25</v>
      </c>
      <c r="J48" s="49">
        <v>6</v>
      </c>
      <c r="K48" s="49">
        <v>0</v>
      </c>
      <c r="L48" s="49">
        <v>24</v>
      </c>
      <c r="M48" s="49">
        <v>24</v>
      </c>
      <c r="N48" s="49">
        <v>0</v>
      </c>
      <c r="O48" s="49">
        <v>0</v>
      </c>
      <c r="P48" s="49">
        <v>0</v>
      </c>
      <c r="Q48" s="49">
        <v>24</v>
      </c>
      <c r="R48" s="49">
        <v>0</v>
      </c>
      <c r="S48" s="49">
        <v>1990</v>
      </c>
      <c r="T48" s="49">
        <v>1990</v>
      </c>
      <c r="U48" s="49">
        <v>0</v>
      </c>
      <c r="V48" s="49">
        <v>0</v>
      </c>
      <c r="W48" s="49">
        <v>0</v>
      </c>
      <c r="X48" s="49">
        <v>1990</v>
      </c>
      <c r="Y48" s="434">
        <v>47760</v>
      </c>
      <c r="Z48" s="434">
        <v>0</v>
      </c>
      <c r="AA48" s="49">
        <v>0</v>
      </c>
      <c r="AB48" s="49">
        <v>31</v>
      </c>
      <c r="AC48" s="49">
        <v>0</v>
      </c>
      <c r="AD48" s="285">
        <v>0</v>
      </c>
      <c r="AE48" s="285">
        <v>0</v>
      </c>
      <c r="AF48" s="359">
        <v>31</v>
      </c>
      <c r="AG48" s="360">
        <v>0</v>
      </c>
      <c r="AH48" s="360">
        <v>25</v>
      </c>
      <c r="AI48" s="361">
        <v>25</v>
      </c>
      <c r="AJ48" s="360">
        <v>0</v>
      </c>
      <c r="AK48" s="360">
        <v>0</v>
      </c>
      <c r="AL48" s="360">
        <v>29.082031341754234</v>
      </c>
      <c r="AM48" s="360">
        <v>29.082031341754234</v>
      </c>
      <c r="AN48" s="360">
        <v>0</v>
      </c>
      <c r="AO48" s="360">
        <v>0</v>
      </c>
      <c r="AP48" s="360">
        <v>23.90972994313837</v>
      </c>
      <c r="AQ48" s="360">
        <v>23.90972994313837</v>
      </c>
      <c r="AR48" s="360">
        <v>0</v>
      </c>
      <c r="AS48" s="360">
        <v>0</v>
      </c>
      <c r="AT48" s="360">
        <v>0</v>
      </c>
      <c r="AU48" s="360">
        <v>27.282727321379856</v>
      </c>
      <c r="AV48" s="360">
        <v>28.168016100693059</v>
      </c>
      <c r="AW48" s="360">
        <v>29.082031341754234</v>
      </c>
      <c r="AX48" s="360">
        <v>30.025705180634496</v>
      </c>
      <c r="AY48" s="360">
        <v>31</v>
      </c>
      <c r="AZ48" s="360">
        <v>22.867007438152303</v>
      </c>
      <c r="BA48" s="360">
        <v>23.382557012738317</v>
      </c>
      <c r="BB48" s="360">
        <v>23.90972994313837</v>
      </c>
      <c r="BC48" s="360">
        <v>24.448788284462264</v>
      </c>
      <c r="BD48" s="360">
        <v>25</v>
      </c>
      <c r="BE48" s="360">
        <v>0</v>
      </c>
      <c r="BF48" s="360">
        <v>0</v>
      </c>
      <c r="BG48" s="360">
        <v>0</v>
      </c>
      <c r="BH48" s="360">
        <v>0</v>
      </c>
      <c r="BI48" s="360">
        <v>0</v>
      </c>
      <c r="BJ48" s="362">
        <v>31.35216907324477</v>
      </c>
      <c r="BK48" s="362">
        <v>31.70833889023632</v>
      </c>
      <c r="BL48" s="362">
        <v>32.068554900594563</v>
      </c>
      <c r="BM48" s="363">
        <v>31.857718222047083</v>
      </c>
      <c r="BN48" s="363">
        <v>31.648267702157476</v>
      </c>
      <c r="BO48" s="363">
        <v>31.547204539500417</v>
      </c>
      <c r="BP48" s="363">
        <v>31.446464104233762</v>
      </c>
      <c r="BQ48" s="363">
        <v>31.346045365784484</v>
      </c>
      <c r="BR48" s="363">
        <v>31.245947296870529</v>
      </c>
      <c r="BS48" s="363">
        <v>31.146168873490272</v>
      </c>
      <c r="BT48" s="363">
        <v>31.376556082720967</v>
      </c>
      <c r="BU48" s="363">
        <v>31.60864745872712</v>
      </c>
      <c r="BV48" s="363">
        <v>31.842455607175552</v>
      </c>
      <c r="BW48" s="363">
        <v>32.077993226976801</v>
      </c>
      <c r="BX48" s="363">
        <v>32.315273110974807</v>
      </c>
      <c r="BY48" s="435">
        <v>32.445530059498054</v>
      </c>
      <c r="BZ48" s="435">
        <v>32.575787008021308</v>
      </c>
      <c r="CA48" s="435">
        <v>32.706043956544555</v>
      </c>
      <c r="CB48" s="435">
        <v>32.836300905067809</v>
      </c>
      <c r="CC48" s="363">
        <v>32.966557853591056</v>
      </c>
      <c r="CD48" s="435">
        <v>33.073330051789426</v>
      </c>
      <c r="CE48" s="435">
        <v>33.18010224998779</v>
      </c>
      <c r="CF48" s="435">
        <v>33.286874448186161</v>
      </c>
      <c r="CG48" s="435">
        <v>33.393646646384525</v>
      </c>
      <c r="CH48" s="363">
        <v>33.500418844582896</v>
      </c>
      <c r="CI48" s="362">
        <v>25.284007317132879</v>
      </c>
      <c r="CJ48" s="362">
        <v>25.571241040513158</v>
      </c>
      <c r="CK48" s="362">
        <v>25.861737823060132</v>
      </c>
      <c r="CL48" s="363">
        <v>25.691708243586358</v>
      </c>
      <c r="CM48" s="363">
        <v>25.522796533997965</v>
      </c>
      <c r="CN48" s="363">
        <v>25.441293983468078</v>
      </c>
      <c r="CO48" s="363">
        <v>25.36005169696271</v>
      </c>
      <c r="CP48" s="363">
        <v>25.279068843374585</v>
      </c>
      <c r="CQ48" s="363">
        <v>25.198344594250425</v>
      </c>
      <c r="CR48" s="363">
        <v>25.117878123782479</v>
      </c>
      <c r="CS48" s="363">
        <v>25.303674260258845</v>
      </c>
      <c r="CT48" s="363">
        <v>25.490844724779937</v>
      </c>
      <c r="CU48" s="363">
        <v>25.679399683206089</v>
      </c>
      <c r="CV48" s="363">
        <v>25.869349376594197</v>
      </c>
      <c r="CW48" s="363">
        <v>26.060704121753876</v>
      </c>
      <c r="CX48" s="435">
        <v>26.165750047982304</v>
      </c>
      <c r="CY48" s="435">
        <v>26.270795974210731</v>
      </c>
      <c r="CZ48" s="435">
        <v>26.375841900439156</v>
      </c>
      <c r="DA48" s="435">
        <v>26.480887826667583</v>
      </c>
      <c r="DB48" s="363">
        <v>26.585933752896011</v>
      </c>
      <c r="DC48" s="435">
        <v>26.672040364346309</v>
      </c>
      <c r="DD48" s="435">
        <v>26.758146975796606</v>
      </c>
      <c r="DE48" s="435">
        <v>26.8442535872469</v>
      </c>
      <c r="DF48" s="435">
        <v>26.930360198697198</v>
      </c>
      <c r="DG48" s="363">
        <v>27.016466810147495</v>
      </c>
      <c r="DH48" s="362">
        <v>0</v>
      </c>
      <c r="DI48" s="362">
        <v>0</v>
      </c>
      <c r="DJ48" s="362">
        <v>0</v>
      </c>
      <c r="DK48" s="363">
        <v>0</v>
      </c>
      <c r="DL48" s="363">
        <v>0</v>
      </c>
      <c r="DM48" s="363">
        <v>0</v>
      </c>
      <c r="DN48" s="363">
        <v>0</v>
      </c>
      <c r="DO48" s="363">
        <v>0</v>
      </c>
      <c r="DP48" s="363">
        <v>0</v>
      </c>
      <c r="DQ48" s="363">
        <v>0</v>
      </c>
      <c r="DR48" s="363">
        <v>0</v>
      </c>
      <c r="DS48" s="363">
        <v>0</v>
      </c>
      <c r="DT48" s="363">
        <v>0</v>
      </c>
      <c r="DU48" s="363">
        <v>0</v>
      </c>
      <c r="DV48" s="363">
        <v>0</v>
      </c>
      <c r="DW48" s="435">
        <v>0</v>
      </c>
      <c r="DX48" s="435">
        <v>0</v>
      </c>
      <c r="DY48" s="435">
        <v>0</v>
      </c>
      <c r="DZ48" s="435">
        <v>0</v>
      </c>
      <c r="EA48" s="363">
        <v>0</v>
      </c>
      <c r="EB48" s="435">
        <v>0</v>
      </c>
      <c r="EC48" s="435">
        <v>0</v>
      </c>
      <c r="ED48" s="435">
        <v>0</v>
      </c>
      <c r="EE48" s="435">
        <v>0</v>
      </c>
      <c r="EF48" s="363">
        <v>0</v>
      </c>
      <c r="EG48" s="364">
        <v>0</v>
      </c>
      <c r="EH48" s="364">
        <v>0</v>
      </c>
      <c r="EI48" s="364">
        <v>0</v>
      </c>
      <c r="EJ48" s="365">
        <v>0</v>
      </c>
      <c r="EK48" s="365">
        <v>0</v>
      </c>
      <c r="EL48" s="365">
        <v>0</v>
      </c>
      <c r="EM48" s="365">
        <v>0</v>
      </c>
      <c r="EN48" s="365">
        <v>0</v>
      </c>
      <c r="EO48" s="365">
        <v>0</v>
      </c>
      <c r="EP48" s="365">
        <v>0</v>
      </c>
      <c r="EQ48" s="365">
        <v>0</v>
      </c>
      <c r="ER48" s="365">
        <v>0</v>
      </c>
      <c r="ES48" s="365">
        <v>0</v>
      </c>
      <c r="ET48" s="365">
        <v>0</v>
      </c>
      <c r="EU48" s="365">
        <v>0</v>
      </c>
      <c r="EV48" s="436">
        <v>0</v>
      </c>
      <c r="EW48" s="436">
        <v>0</v>
      </c>
      <c r="EX48" s="436">
        <v>0</v>
      </c>
      <c r="EY48" s="436">
        <v>0</v>
      </c>
      <c r="EZ48" s="365">
        <v>0</v>
      </c>
      <c r="FA48" s="436">
        <v>0</v>
      </c>
      <c r="FB48" s="436">
        <v>0</v>
      </c>
      <c r="FC48" s="436">
        <v>0</v>
      </c>
      <c r="FD48" s="436">
        <v>0</v>
      </c>
      <c r="FE48" s="365">
        <v>0</v>
      </c>
      <c r="FF48" s="364">
        <v>0</v>
      </c>
      <c r="FG48" s="364">
        <v>0</v>
      </c>
      <c r="FH48" s="364">
        <v>0</v>
      </c>
      <c r="FI48" s="365">
        <v>0</v>
      </c>
      <c r="FJ48" s="365">
        <v>0</v>
      </c>
      <c r="FK48" s="365">
        <v>0</v>
      </c>
      <c r="FL48" s="365">
        <v>0</v>
      </c>
      <c r="FM48" s="365">
        <v>0</v>
      </c>
      <c r="FN48" s="365">
        <v>0</v>
      </c>
      <c r="FO48" s="365">
        <v>0</v>
      </c>
      <c r="FP48" s="365">
        <v>0</v>
      </c>
      <c r="FQ48" s="365">
        <v>0</v>
      </c>
      <c r="FR48" s="365">
        <v>0</v>
      </c>
      <c r="FS48" s="365">
        <v>0</v>
      </c>
      <c r="FT48" s="365">
        <v>0</v>
      </c>
      <c r="FU48" s="436">
        <v>0</v>
      </c>
      <c r="FV48" s="436">
        <v>0</v>
      </c>
      <c r="FW48" s="436">
        <v>0</v>
      </c>
      <c r="FX48" s="436">
        <v>0</v>
      </c>
      <c r="FY48" s="365">
        <v>0</v>
      </c>
      <c r="FZ48" s="436">
        <v>0</v>
      </c>
      <c r="GA48" s="436">
        <v>0</v>
      </c>
      <c r="GB48" s="436">
        <v>0</v>
      </c>
      <c r="GC48" s="436">
        <v>0</v>
      </c>
      <c r="GD48" s="365">
        <v>0</v>
      </c>
    </row>
    <row r="49" spans="1:186" ht="15" x14ac:dyDescent="0.25">
      <c r="A49" s="357">
        <v>130</v>
      </c>
      <c r="B49" s="357">
        <v>76</v>
      </c>
      <c r="C49" s="357" t="s">
        <v>958</v>
      </c>
      <c r="D49" s="2">
        <v>99714</v>
      </c>
      <c r="E49" s="268" t="s">
        <v>19</v>
      </c>
      <c r="F49" s="358" t="s">
        <v>915</v>
      </c>
      <c r="G49" s="49">
        <v>50</v>
      </c>
      <c r="H49" s="49">
        <v>20</v>
      </c>
      <c r="I49" s="49">
        <v>18</v>
      </c>
      <c r="J49" s="49">
        <v>2</v>
      </c>
      <c r="K49" s="49">
        <v>0</v>
      </c>
      <c r="L49" s="49">
        <v>3</v>
      </c>
      <c r="M49" s="49">
        <v>3</v>
      </c>
      <c r="N49" s="49">
        <v>0</v>
      </c>
      <c r="O49" s="49">
        <v>0</v>
      </c>
      <c r="P49" s="49">
        <v>0</v>
      </c>
      <c r="Q49" s="49">
        <v>3</v>
      </c>
      <c r="R49" s="49">
        <v>0</v>
      </c>
      <c r="S49" s="49">
        <v>2651.6666666666665</v>
      </c>
      <c r="T49" s="49">
        <v>2651.6666666666665</v>
      </c>
      <c r="U49" s="49">
        <v>0</v>
      </c>
      <c r="V49" s="49">
        <v>0</v>
      </c>
      <c r="W49" s="49">
        <v>0</v>
      </c>
      <c r="X49" s="49">
        <v>2651.6666666666665</v>
      </c>
      <c r="Y49" s="434">
        <v>7955</v>
      </c>
      <c r="Z49" s="434">
        <v>0</v>
      </c>
      <c r="AA49" s="49">
        <v>0</v>
      </c>
      <c r="AB49" s="49">
        <v>20</v>
      </c>
      <c r="AC49" s="49">
        <v>0</v>
      </c>
      <c r="AD49" s="285">
        <v>0</v>
      </c>
      <c r="AE49" s="285">
        <v>0</v>
      </c>
      <c r="AF49" s="359">
        <v>20</v>
      </c>
      <c r="AG49" s="360">
        <v>0</v>
      </c>
      <c r="AH49" s="360">
        <v>18</v>
      </c>
      <c r="AI49" s="361">
        <v>18</v>
      </c>
      <c r="AJ49" s="360">
        <v>0</v>
      </c>
      <c r="AK49" s="360">
        <v>0</v>
      </c>
      <c r="AL49" s="360">
        <v>18.762600865647894</v>
      </c>
      <c r="AM49" s="360">
        <v>18.762600865647894</v>
      </c>
      <c r="AN49" s="360">
        <v>0</v>
      </c>
      <c r="AO49" s="360">
        <v>0</v>
      </c>
      <c r="AP49" s="360">
        <v>17.215005559059627</v>
      </c>
      <c r="AQ49" s="360">
        <v>17.215005559059627</v>
      </c>
      <c r="AR49" s="360">
        <v>0</v>
      </c>
      <c r="AS49" s="360">
        <v>0</v>
      </c>
      <c r="AT49" s="360">
        <v>0</v>
      </c>
      <c r="AU49" s="360">
        <v>17.60175956218055</v>
      </c>
      <c r="AV49" s="360">
        <v>18.17291361335036</v>
      </c>
      <c r="AW49" s="360">
        <v>18.762600865647894</v>
      </c>
      <c r="AX49" s="360">
        <v>19.371422697183547</v>
      </c>
      <c r="AY49" s="360">
        <v>20</v>
      </c>
      <c r="AZ49" s="360">
        <v>16.464245355469657</v>
      </c>
      <c r="BA49" s="360">
        <v>16.835441049171589</v>
      </c>
      <c r="BB49" s="360">
        <v>17.215005559059627</v>
      </c>
      <c r="BC49" s="360">
        <v>17.60312756481283</v>
      </c>
      <c r="BD49" s="360">
        <v>18</v>
      </c>
      <c r="BE49" s="360">
        <v>0</v>
      </c>
      <c r="BF49" s="360">
        <v>0</v>
      </c>
      <c r="BG49" s="360">
        <v>0</v>
      </c>
      <c r="BH49" s="360">
        <v>0</v>
      </c>
      <c r="BI49" s="360">
        <v>0</v>
      </c>
      <c r="BJ49" s="362">
        <v>20.08030916595219</v>
      </c>
      <c r="BK49" s="362">
        <v>20.160940810011176</v>
      </c>
      <c r="BL49" s="362">
        <v>20.241896227074353</v>
      </c>
      <c r="BM49" s="363">
        <v>20.108814640415765</v>
      </c>
      <c r="BN49" s="363">
        <v>19.976608006800554</v>
      </c>
      <c r="BO49" s="363">
        <v>19.912816231423541</v>
      </c>
      <c r="BP49" s="363">
        <v>19.849228163833377</v>
      </c>
      <c r="BQ49" s="363">
        <v>19.785843153525153</v>
      </c>
      <c r="BR49" s="363">
        <v>19.72266055207125</v>
      </c>
      <c r="BS49" s="363">
        <v>19.659679713114684</v>
      </c>
      <c r="BT49" s="363">
        <v>19.805101731529568</v>
      </c>
      <c r="BU49" s="363">
        <v>19.951599431936653</v>
      </c>
      <c r="BV49" s="363">
        <v>20.099180771121031</v>
      </c>
      <c r="BW49" s="363">
        <v>20.247853764723889</v>
      </c>
      <c r="BX49" s="363">
        <v>20.397626487677826</v>
      </c>
      <c r="BY49" s="435">
        <v>20.479845584953523</v>
      </c>
      <c r="BZ49" s="435">
        <v>20.56206468222922</v>
      </c>
      <c r="CA49" s="435">
        <v>20.644283779504914</v>
      </c>
      <c r="CB49" s="435">
        <v>20.726502876780611</v>
      </c>
      <c r="CC49" s="363">
        <v>20.808721974056308</v>
      </c>
      <c r="CD49" s="435">
        <v>20.876117332611361</v>
      </c>
      <c r="CE49" s="435">
        <v>20.943512691166415</v>
      </c>
      <c r="CF49" s="435">
        <v>21.010908049721465</v>
      </c>
      <c r="CG49" s="435">
        <v>21.078303408276518</v>
      </c>
      <c r="CH49" s="363">
        <v>21.145698766831572</v>
      </c>
      <c r="CI49" s="362">
        <v>18.07227824935697</v>
      </c>
      <c r="CJ49" s="362">
        <v>18.144846729010059</v>
      </c>
      <c r="CK49" s="362">
        <v>18.217706604366917</v>
      </c>
      <c r="CL49" s="363">
        <v>18.097933176374191</v>
      </c>
      <c r="CM49" s="363">
        <v>17.978947206120498</v>
      </c>
      <c r="CN49" s="363">
        <v>17.921534608281188</v>
      </c>
      <c r="CO49" s="363">
        <v>17.864305347450038</v>
      </c>
      <c r="CP49" s="363">
        <v>17.80725883817264</v>
      </c>
      <c r="CQ49" s="363">
        <v>17.750394496864125</v>
      </c>
      <c r="CR49" s="363">
        <v>17.693711741803213</v>
      </c>
      <c r="CS49" s="363">
        <v>17.824591558376611</v>
      </c>
      <c r="CT49" s="363">
        <v>17.956439488742987</v>
      </c>
      <c r="CU49" s="363">
        <v>18.08926269400893</v>
      </c>
      <c r="CV49" s="363">
        <v>18.223068388251502</v>
      </c>
      <c r="CW49" s="363">
        <v>18.357863838910042</v>
      </c>
      <c r="CX49" s="435">
        <v>18.431861026458169</v>
      </c>
      <c r="CY49" s="435">
        <v>18.505858214006295</v>
      </c>
      <c r="CZ49" s="435">
        <v>18.579855401554422</v>
      </c>
      <c r="DA49" s="435">
        <v>18.653852589102549</v>
      </c>
      <c r="DB49" s="363">
        <v>18.727849776650675</v>
      </c>
      <c r="DC49" s="435">
        <v>18.788505599350223</v>
      </c>
      <c r="DD49" s="435">
        <v>18.849161422049772</v>
      </c>
      <c r="DE49" s="435">
        <v>18.90981724474932</v>
      </c>
      <c r="DF49" s="435">
        <v>18.970473067448868</v>
      </c>
      <c r="DG49" s="363">
        <v>19.031128890148416</v>
      </c>
      <c r="DH49" s="362">
        <v>0</v>
      </c>
      <c r="DI49" s="362">
        <v>0</v>
      </c>
      <c r="DJ49" s="362">
        <v>0</v>
      </c>
      <c r="DK49" s="363">
        <v>0</v>
      </c>
      <c r="DL49" s="363">
        <v>0</v>
      </c>
      <c r="DM49" s="363">
        <v>0</v>
      </c>
      <c r="DN49" s="363">
        <v>0</v>
      </c>
      <c r="DO49" s="363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363">
        <v>0</v>
      </c>
      <c r="DV49" s="363">
        <v>0</v>
      </c>
      <c r="DW49" s="435">
        <v>0</v>
      </c>
      <c r="DX49" s="435">
        <v>0</v>
      </c>
      <c r="DY49" s="435">
        <v>0</v>
      </c>
      <c r="DZ49" s="435">
        <v>0</v>
      </c>
      <c r="EA49" s="363">
        <v>0</v>
      </c>
      <c r="EB49" s="435">
        <v>0</v>
      </c>
      <c r="EC49" s="435">
        <v>0</v>
      </c>
      <c r="ED49" s="435">
        <v>0</v>
      </c>
      <c r="EE49" s="435">
        <v>0</v>
      </c>
      <c r="EF49" s="363">
        <v>0</v>
      </c>
      <c r="EG49" s="364">
        <v>0</v>
      </c>
      <c r="EH49" s="364">
        <v>0</v>
      </c>
      <c r="EI49" s="364">
        <v>0</v>
      </c>
      <c r="EJ49" s="365">
        <v>0</v>
      </c>
      <c r="EK49" s="365">
        <v>0</v>
      </c>
      <c r="EL49" s="365">
        <v>0</v>
      </c>
      <c r="EM49" s="365">
        <v>0</v>
      </c>
      <c r="EN49" s="365">
        <v>0</v>
      </c>
      <c r="EO49" s="365">
        <v>0</v>
      </c>
      <c r="EP49" s="365">
        <v>0</v>
      </c>
      <c r="EQ49" s="365">
        <v>0</v>
      </c>
      <c r="ER49" s="365">
        <v>0</v>
      </c>
      <c r="ES49" s="365">
        <v>0</v>
      </c>
      <c r="ET49" s="365">
        <v>0</v>
      </c>
      <c r="EU49" s="365">
        <v>0</v>
      </c>
      <c r="EV49" s="436">
        <v>0</v>
      </c>
      <c r="EW49" s="436">
        <v>0</v>
      </c>
      <c r="EX49" s="436">
        <v>0</v>
      </c>
      <c r="EY49" s="436">
        <v>0</v>
      </c>
      <c r="EZ49" s="365">
        <v>0</v>
      </c>
      <c r="FA49" s="436">
        <v>0</v>
      </c>
      <c r="FB49" s="436">
        <v>0</v>
      </c>
      <c r="FC49" s="436">
        <v>0</v>
      </c>
      <c r="FD49" s="436">
        <v>0</v>
      </c>
      <c r="FE49" s="365">
        <v>0</v>
      </c>
      <c r="FF49" s="364">
        <v>0</v>
      </c>
      <c r="FG49" s="364">
        <v>0</v>
      </c>
      <c r="FH49" s="364">
        <v>0</v>
      </c>
      <c r="FI49" s="365">
        <v>0</v>
      </c>
      <c r="FJ49" s="365">
        <v>0</v>
      </c>
      <c r="FK49" s="365">
        <v>0</v>
      </c>
      <c r="FL49" s="365">
        <v>0</v>
      </c>
      <c r="FM49" s="365">
        <v>0</v>
      </c>
      <c r="FN49" s="365">
        <v>0</v>
      </c>
      <c r="FO49" s="365">
        <v>0</v>
      </c>
      <c r="FP49" s="365">
        <v>0</v>
      </c>
      <c r="FQ49" s="365">
        <v>0</v>
      </c>
      <c r="FR49" s="365">
        <v>0</v>
      </c>
      <c r="FS49" s="365">
        <v>0</v>
      </c>
      <c r="FT49" s="365">
        <v>0</v>
      </c>
      <c r="FU49" s="436">
        <v>0</v>
      </c>
      <c r="FV49" s="436">
        <v>0</v>
      </c>
      <c r="FW49" s="436">
        <v>0</v>
      </c>
      <c r="FX49" s="436">
        <v>0</v>
      </c>
      <c r="FY49" s="365">
        <v>0</v>
      </c>
      <c r="FZ49" s="436">
        <v>0</v>
      </c>
      <c r="GA49" s="436">
        <v>0</v>
      </c>
      <c r="GB49" s="436">
        <v>0</v>
      </c>
      <c r="GC49" s="436">
        <v>0</v>
      </c>
      <c r="GD49" s="365">
        <v>0</v>
      </c>
    </row>
    <row r="50" spans="1:186" ht="15" x14ac:dyDescent="0.25">
      <c r="A50" s="357">
        <v>131</v>
      </c>
      <c r="B50" s="357">
        <v>76</v>
      </c>
      <c r="C50" s="357" t="s">
        <v>959</v>
      </c>
      <c r="D50" s="2">
        <v>99705</v>
      </c>
      <c r="E50" s="268" t="s">
        <v>19</v>
      </c>
      <c r="F50" s="358" t="s">
        <v>915</v>
      </c>
      <c r="G50" s="49">
        <v>6</v>
      </c>
      <c r="H50" s="49">
        <v>3</v>
      </c>
      <c r="I50" s="49">
        <v>3</v>
      </c>
      <c r="J50" s="49">
        <v>0</v>
      </c>
      <c r="K50" s="49">
        <v>0</v>
      </c>
      <c r="L50" s="49">
        <v>6</v>
      </c>
      <c r="M50" s="49">
        <v>6</v>
      </c>
      <c r="N50" s="49">
        <v>0</v>
      </c>
      <c r="O50" s="49">
        <v>0</v>
      </c>
      <c r="P50" s="49">
        <v>0</v>
      </c>
      <c r="Q50" s="49">
        <v>6</v>
      </c>
      <c r="R50" s="49">
        <v>0</v>
      </c>
      <c r="S50" s="49">
        <v>1360</v>
      </c>
      <c r="T50" s="49">
        <v>1360</v>
      </c>
      <c r="U50" s="49">
        <v>0</v>
      </c>
      <c r="V50" s="49">
        <v>0</v>
      </c>
      <c r="W50" s="49">
        <v>0</v>
      </c>
      <c r="X50" s="49">
        <v>1360</v>
      </c>
      <c r="Y50" s="434">
        <v>8160</v>
      </c>
      <c r="Z50" s="434">
        <v>0</v>
      </c>
      <c r="AA50" s="49">
        <v>0</v>
      </c>
      <c r="AB50" s="49">
        <v>3</v>
      </c>
      <c r="AC50" s="49">
        <v>0</v>
      </c>
      <c r="AD50" s="285">
        <v>0</v>
      </c>
      <c r="AE50" s="285">
        <v>0</v>
      </c>
      <c r="AF50" s="359">
        <v>3</v>
      </c>
      <c r="AG50" s="360">
        <v>0</v>
      </c>
      <c r="AH50" s="360">
        <v>3</v>
      </c>
      <c r="AI50" s="361">
        <v>3</v>
      </c>
      <c r="AJ50" s="360">
        <v>0</v>
      </c>
      <c r="AK50" s="360">
        <v>0</v>
      </c>
      <c r="AL50" s="360">
        <v>2.7844551006625817</v>
      </c>
      <c r="AM50" s="360">
        <v>2.7844551006625817</v>
      </c>
      <c r="AN50" s="360">
        <v>0</v>
      </c>
      <c r="AO50" s="360">
        <v>0</v>
      </c>
      <c r="AP50" s="360">
        <v>2.798736847705618</v>
      </c>
      <c r="AQ50" s="360">
        <v>2.798736847705618</v>
      </c>
      <c r="AR50" s="360">
        <v>0</v>
      </c>
      <c r="AS50" s="360">
        <v>0</v>
      </c>
      <c r="AT50" s="360">
        <v>0</v>
      </c>
      <c r="AU50" s="360">
        <v>2.5843967358686224</v>
      </c>
      <c r="AV50" s="360">
        <v>2.6825615879836038</v>
      </c>
      <c r="AW50" s="360">
        <v>2.7844551006625817</v>
      </c>
      <c r="AX50" s="360">
        <v>2.8902189020881695</v>
      </c>
      <c r="AY50" s="360">
        <v>3</v>
      </c>
      <c r="AZ50" s="360">
        <v>2.6109759809017263</v>
      </c>
      <c r="BA50" s="360">
        <v>2.703226717503358</v>
      </c>
      <c r="BB50" s="360">
        <v>2.798736847705618</v>
      </c>
      <c r="BC50" s="360">
        <v>2.8976215320701999</v>
      </c>
      <c r="BD50" s="360">
        <v>3</v>
      </c>
      <c r="BE50" s="360">
        <v>0</v>
      </c>
      <c r="BF50" s="360">
        <v>0</v>
      </c>
      <c r="BG50" s="360">
        <v>0</v>
      </c>
      <c r="BH50" s="360">
        <v>0</v>
      </c>
      <c r="BI50" s="360">
        <v>0</v>
      </c>
      <c r="BJ50" s="362">
        <v>3.0120463748928286</v>
      </c>
      <c r="BK50" s="362">
        <v>3.0241411215016765</v>
      </c>
      <c r="BL50" s="362">
        <v>3.0362844340611526</v>
      </c>
      <c r="BM50" s="363">
        <v>3.0163221960623647</v>
      </c>
      <c r="BN50" s="363">
        <v>2.996491201020083</v>
      </c>
      <c r="BO50" s="363">
        <v>2.9869224347135308</v>
      </c>
      <c r="BP50" s="363">
        <v>2.977384224575006</v>
      </c>
      <c r="BQ50" s="363">
        <v>2.9678764730287726</v>
      </c>
      <c r="BR50" s="363">
        <v>2.9583990828106876</v>
      </c>
      <c r="BS50" s="363">
        <v>2.948951956967202</v>
      </c>
      <c r="BT50" s="363">
        <v>2.9707652597294345</v>
      </c>
      <c r="BU50" s="363">
        <v>2.9927399147904974</v>
      </c>
      <c r="BV50" s="363">
        <v>3.0148771156681544</v>
      </c>
      <c r="BW50" s="363">
        <v>3.0371780647085833</v>
      </c>
      <c r="BX50" s="363">
        <v>3.0596439731516738</v>
      </c>
      <c r="BY50" s="435">
        <v>3.0719768377430281</v>
      </c>
      <c r="BZ50" s="435">
        <v>3.0843097023343824</v>
      </c>
      <c r="CA50" s="435">
        <v>3.0966425669257371</v>
      </c>
      <c r="CB50" s="435">
        <v>3.1089754315170914</v>
      </c>
      <c r="CC50" s="363">
        <v>3.1213082961084457</v>
      </c>
      <c r="CD50" s="435">
        <v>3.1314175998917038</v>
      </c>
      <c r="CE50" s="435">
        <v>3.1415269036749618</v>
      </c>
      <c r="CF50" s="435">
        <v>3.1516362074582194</v>
      </c>
      <c r="CG50" s="435">
        <v>3.1617455112414774</v>
      </c>
      <c r="CH50" s="363">
        <v>3.1718548150247354</v>
      </c>
      <c r="CI50" s="362">
        <v>3.0120463748928286</v>
      </c>
      <c r="CJ50" s="362">
        <v>3.0241411215016765</v>
      </c>
      <c r="CK50" s="362">
        <v>3.0362844340611526</v>
      </c>
      <c r="CL50" s="363">
        <v>3.0163221960623647</v>
      </c>
      <c r="CM50" s="363">
        <v>2.996491201020083</v>
      </c>
      <c r="CN50" s="363">
        <v>2.9869224347135308</v>
      </c>
      <c r="CO50" s="363">
        <v>2.977384224575006</v>
      </c>
      <c r="CP50" s="363">
        <v>2.9678764730287726</v>
      </c>
      <c r="CQ50" s="363">
        <v>2.9583990828106876</v>
      </c>
      <c r="CR50" s="363">
        <v>2.948951956967202</v>
      </c>
      <c r="CS50" s="363">
        <v>2.9707652597294345</v>
      </c>
      <c r="CT50" s="363">
        <v>2.9927399147904974</v>
      </c>
      <c r="CU50" s="363">
        <v>3.0148771156681544</v>
      </c>
      <c r="CV50" s="363">
        <v>3.0371780647085833</v>
      </c>
      <c r="CW50" s="363">
        <v>3.0596439731516738</v>
      </c>
      <c r="CX50" s="435">
        <v>3.0719768377430281</v>
      </c>
      <c r="CY50" s="435">
        <v>3.0843097023343824</v>
      </c>
      <c r="CZ50" s="435">
        <v>3.0966425669257371</v>
      </c>
      <c r="DA50" s="435">
        <v>3.1089754315170914</v>
      </c>
      <c r="DB50" s="363">
        <v>3.1213082961084457</v>
      </c>
      <c r="DC50" s="435">
        <v>3.1314175998917038</v>
      </c>
      <c r="DD50" s="435">
        <v>3.1415269036749618</v>
      </c>
      <c r="DE50" s="435">
        <v>3.1516362074582194</v>
      </c>
      <c r="DF50" s="435">
        <v>3.1617455112414774</v>
      </c>
      <c r="DG50" s="363">
        <v>3.1718548150247354</v>
      </c>
      <c r="DH50" s="362">
        <v>0</v>
      </c>
      <c r="DI50" s="362">
        <v>0</v>
      </c>
      <c r="DJ50" s="362">
        <v>0</v>
      </c>
      <c r="DK50" s="363">
        <v>0</v>
      </c>
      <c r="DL50" s="363">
        <v>0</v>
      </c>
      <c r="DM50" s="363">
        <v>0</v>
      </c>
      <c r="DN50" s="363">
        <v>0</v>
      </c>
      <c r="DO50" s="363">
        <v>0</v>
      </c>
      <c r="DP50" s="363">
        <v>0</v>
      </c>
      <c r="DQ50" s="363">
        <v>0</v>
      </c>
      <c r="DR50" s="363">
        <v>0</v>
      </c>
      <c r="DS50" s="363">
        <v>0</v>
      </c>
      <c r="DT50" s="363">
        <v>0</v>
      </c>
      <c r="DU50" s="363">
        <v>0</v>
      </c>
      <c r="DV50" s="363">
        <v>0</v>
      </c>
      <c r="DW50" s="435">
        <v>0</v>
      </c>
      <c r="DX50" s="435">
        <v>0</v>
      </c>
      <c r="DY50" s="435">
        <v>0</v>
      </c>
      <c r="DZ50" s="435">
        <v>0</v>
      </c>
      <c r="EA50" s="363">
        <v>0</v>
      </c>
      <c r="EB50" s="435">
        <v>0</v>
      </c>
      <c r="EC50" s="435">
        <v>0</v>
      </c>
      <c r="ED50" s="435">
        <v>0</v>
      </c>
      <c r="EE50" s="435">
        <v>0</v>
      </c>
      <c r="EF50" s="363">
        <v>0</v>
      </c>
      <c r="EG50" s="364">
        <v>0</v>
      </c>
      <c r="EH50" s="364">
        <v>0</v>
      </c>
      <c r="EI50" s="364">
        <v>0</v>
      </c>
      <c r="EJ50" s="365">
        <v>0</v>
      </c>
      <c r="EK50" s="365">
        <v>0</v>
      </c>
      <c r="EL50" s="365">
        <v>0</v>
      </c>
      <c r="EM50" s="365">
        <v>0</v>
      </c>
      <c r="EN50" s="365">
        <v>0</v>
      </c>
      <c r="EO50" s="365">
        <v>0</v>
      </c>
      <c r="EP50" s="365">
        <v>0</v>
      </c>
      <c r="EQ50" s="365">
        <v>0</v>
      </c>
      <c r="ER50" s="365">
        <v>0</v>
      </c>
      <c r="ES50" s="365">
        <v>0</v>
      </c>
      <c r="ET50" s="365">
        <v>0</v>
      </c>
      <c r="EU50" s="365">
        <v>0</v>
      </c>
      <c r="EV50" s="436">
        <v>0</v>
      </c>
      <c r="EW50" s="436">
        <v>0</v>
      </c>
      <c r="EX50" s="436">
        <v>0</v>
      </c>
      <c r="EY50" s="436">
        <v>0</v>
      </c>
      <c r="EZ50" s="365">
        <v>0</v>
      </c>
      <c r="FA50" s="436">
        <v>0</v>
      </c>
      <c r="FB50" s="436">
        <v>0</v>
      </c>
      <c r="FC50" s="436">
        <v>0</v>
      </c>
      <c r="FD50" s="436">
        <v>0</v>
      </c>
      <c r="FE50" s="365">
        <v>0</v>
      </c>
      <c r="FF50" s="364">
        <v>0</v>
      </c>
      <c r="FG50" s="364">
        <v>0</v>
      </c>
      <c r="FH50" s="364">
        <v>0</v>
      </c>
      <c r="FI50" s="365">
        <v>0</v>
      </c>
      <c r="FJ50" s="365">
        <v>0</v>
      </c>
      <c r="FK50" s="365">
        <v>0</v>
      </c>
      <c r="FL50" s="365">
        <v>0</v>
      </c>
      <c r="FM50" s="365">
        <v>0</v>
      </c>
      <c r="FN50" s="365">
        <v>0</v>
      </c>
      <c r="FO50" s="365">
        <v>0</v>
      </c>
      <c r="FP50" s="365">
        <v>0</v>
      </c>
      <c r="FQ50" s="365">
        <v>0</v>
      </c>
      <c r="FR50" s="365">
        <v>0</v>
      </c>
      <c r="FS50" s="365">
        <v>0</v>
      </c>
      <c r="FT50" s="365">
        <v>0</v>
      </c>
      <c r="FU50" s="436">
        <v>0</v>
      </c>
      <c r="FV50" s="436">
        <v>0</v>
      </c>
      <c r="FW50" s="436">
        <v>0</v>
      </c>
      <c r="FX50" s="436">
        <v>0</v>
      </c>
      <c r="FY50" s="365">
        <v>0</v>
      </c>
      <c r="FZ50" s="436">
        <v>0</v>
      </c>
      <c r="GA50" s="436">
        <v>0</v>
      </c>
      <c r="GB50" s="436">
        <v>0</v>
      </c>
      <c r="GC50" s="436">
        <v>0</v>
      </c>
      <c r="GD50" s="365">
        <v>0</v>
      </c>
    </row>
    <row r="51" spans="1:186" ht="15" x14ac:dyDescent="0.25">
      <c r="A51" s="357">
        <v>134</v>
      </c>
      <c r="B51" s="357">
        <v>76</v>
      </c>
      <c r="C51" s="357" t="s">
        <v>960</v>
      </c>
      <c r="D51" s="2">
        <v>99702</v>
      </c>
      <c r="E51" s="268" t="s">
        <v>19</v>
      </c>
      <c r="F51" s="358" t="s">
        <v>915</v>
      </c>
      <c r="G51" s="49">
        <v>18</v>
      </c>
      <c r="H51" s="49">
        <v>6</v>
      </c>
      <c r="I51" s="49">
        <v>6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834.49503068156923</v>
      </c>
      <c r="T51" s="49">
        <v>834.49503068156923</v>
      </c>
      <c r="U51" s="49">
        <v>1408.3846153846155</v>
      </c>
      <c r="V51" s="49">
        <v>0</v>
      </c>
      <c r="W51" s="49">
        <v>0</v>
      </c>
      <c r="X51" s="49">
        <v>1365.173957061457</v>
      </c>
      <c r="Y51" s="434">
        <v>0</v>
      </c>
      <c r="Z51" s="434">
        <v>0</v>
      </c>
      <c r="AA51" s="49">
        <v>0.13747401247401247</v>
      </c>
      <c r="AB51" s="49">
        <v>5.8547297297297298</v>
      </c>
      <c r="AC51" s="49">
        <v>7.7962577962577967E-3</v>
      </c>
      <c r="AD51" s="285">
        <v>0</v>
      </c>
      <c r="AE51" s="285">
        <v>0</v>
      </c>
      <c r="AF51" s="359">
        <v>6</v>
      </c>
      <c r="AG51" s="360">
        <v>0.13747401247401247</v>
      </c>
      <c r="AH51" s="360">
        <v>5.8547297297297298</v>
      </c>
      <c r="AI51" s="361">
        <v>5.992203742203742</v>
      </c>
      <c r="AJ51" s="360">
        <v>7.7962577962577967E-3</v>
      </c>
      <c r="AK51" s="360">
        <v>0.15345800067764379</v>
      </c>
      <c r="AL51" s="360">
        <v>6.5354542481410904</v>
      </c>
      <c r="AM51" s="360">
        <v>6.6889122488187338</v>
      </c>
      <c r="AN51" s="360">
        <v>8.7027221556319739E-3</v>
      </c>
      <c r="AO51" s="360">
        <v>0.160336691611878</v>
      </c>
      <c r="AP51" s="360">
        <v>6.8284032614820411</v>
      </c>
      <c r="AQ51" s="360">
        <v>6.9887399530939192</v>
      </c>
      <c r="AR51" s="360">
        <v>9.0928180498229504E-3</v>
      </c>
      <c r="AS51" s="360">
        <v>0</v>
      </c>
      <c r="AT51" s="360">
        <v>0</v>
      </c>
      <c r="AU51" s="360">
        <v>7.4666264695370277</v>
      </c>
      <c r="AV51" s="360">
        <v>7.0670792587490059</v>
      </c>
      <c r="AW51" s="360">
        <v>6.6889122488187338</v>
      </c>
      <c r="AX51" s="360">
        <v>6.330981362209501</v>
      </c>
      <c r="AY51" s="360">
        <v>5.992203742203742</v>
      </c>
      <c r="AZ51" s="360">
        <v>8.1510055787937006</v>
      </c>
      <c r="BA51" s="360">
        <v>7.5475332623584341</v>
      </c>
      <c r="BB51" s="360">
        <v>6.9887399530939183</v>
      </c>
      <c r="BC51" s="360">
        <v>6.4713177715375858</v>
      </c>
      <c r="BD51" s="360">
        <v>5.992203742203742</v>
      </c>
      <c r="BE51" s="360">
        <v>0</v>
      </c>
      <c r="BF51" s="360">
        <v>0</v>
      </c>
      <c r="BG51" s="360">
        <v>0</v>
      </c>
      <c r="BH51" s="360">
        <v>0</v>
      </c>
      <c r="BI51" s="360">
        <v>0</v>
      </c>
      <c r="BJ51" s="362">
        <v>6.0162651864413412</v>
      </c>
      <c r="BK51" s="362">
        <v>6.0404232484048554</v>
      </c>
      <c r="BL51" s="362">
        <v>6.0646783160587372</v>
      </c>
      <c r="BM51" s="363">
        <v>6.0248057169790377</v>
      </c>
      <c r="BN51" s="363">
        <v>5.9851952627443756</v>
      </c>
      <c r="BO51" s="363">
        <v>5.9660825969875777</v>
      </c>
      <c r="BP51" s="363">
        <v>5.9470309641589134</v>
      </c>
      <c r="BQ51" s="363">
        <v>5.9280401693604858</v>
      </c>
      <c r="BR51" s="363">
        <v>5.909110018316774</v>
      </c>
      <c r="BS51" s="363">
        <v>5.8902403173726396</v>
      </c>
      <c r="BT51" s="363">
        <v>5.9338102355198643</v>
      </c>
      <c r="BU51" s="363">
        <v>5.9777024389500433</v>
      </c>
      <c r="BV51" s="363">
        <v>6.0219193115970473</v>
      </c>
      <c r="BW51" s="363">
        <v>6.0664632550286308</v>
      </c>
      <c r="BX51" s="363">
        <v>6.1113366885768619</v>
      </c>
      <c r="BY51" s="435">
        <v>6.1359703676956636</v>
      </c>
      <c r="BZ51" s="435">
        <v>6.1606040468144654</v>
      </c>
      <c r="CA51" s="435">
        <v>6.185237725933268</v>
      </c>
      <c r="CB51" s="435">
        <v>6.2098714050520698</v>
      </c>
      <c r="CC51" s="363">
        <v>6.2345050841708716</v>
      </c>
      <c r="CD51" s="435">
        <v>6.2546974201579095</v>
      </c>
      <c r="CE51" s="435">
        <v>6.2748897561449475</v>
      </c>
      <c r="CF51" s="435">
        <v>6.2950820921319846</v>
      </c>
      <c r="CG51" s="435">
        <v>6.3152744281190225</v>
      </c>
      <c r="CH51" s="363">
        <v>6.3354667641060605</v>
      </c>
      <c r="CI51" s="362">
        <v>6.0162651864413412</v>
      </c>
      <c r="CJ51" s="362">
        <v>6.0404232484048554</v>
      </c>
      <c r="CK51" s="362">
        <v>6.0646783160587372</v>
      </c>
      <c r="CL51" s="363">
        <v>6.0248057169790377</v>
      </c>
      <c r="CM51" s="363">
        <v>5.9851952627443756</v>
      </c>
      <c r="CN51" s="363">
        <v>5.9660825969875777</v>
      </c>
      <c r="CO51" s="363">
        <v>5.9470309641589134</v>
      </c>
      <c r="CP51" s="363">
        <v>5.9280401693604858</v>
      </c>
      <c r="CQ51" s="363">
        <v>5.909110018316774</v>
      </c>
      <c r="CR51" s="363">
        <v>5.8902403173726396</v>
      </c>
      <c r="CS51" s="363">
        <v>5.9338102355198643</v>
      </c>
      <c r="CT51" s="363">
        <v>5.9777024389500433</v>
      </c>
      <c r="CU51" s="363">
        <v>6.0219193115970473</v>
      </c>
      <c r="CV51" s="363">
        <v>6.0664632550286308</v>
      </c>
      <c r="CW51" s="363">
        <v>6.1113366885768619</v>
      </c>
      <c r="CX51" s="435">
        <v>6.1359703676956636</v>
      </c>
      <c r="CY51" s="435">
        <v>6.1606040468144654</v>
      </c>
      <c r="CZ51" s="435">
        <v>6.185237725933268</v>
      </c>
      <c r="DA51" s="435">
        <v>6.2098714050520698</v>
      </c>
      <c r="DB51" s="363">
        <v>6.2345050841708716</v>
      </c>
      <c r="DC51" s="435">
        <v>6.2546974201579095</v>
      </c>
      <c r="DD51" s="435">
        <v>6.2748897561449475</v>
      </c>
      <c r="DE51" s="435">
        <v>6.2950820921319846</v>
      </c>
      <c r="DF51" s="435">
        <v>6.3152744281190225</v>
      </c>
      <c r="DG51" s="363">
        <v>6.3354667641060605</v>
      </c>
      <c r="DH51" s="362">
        <v>0</v>
      </c>
      <c r="DI51" s="362">
        <v>0</v>
      </c>
      <c r="DJ51" s="362">
        <v>0</v>
      </c>
      <c r="DK51" s="363">
        <v>0</v>
      </c>
      <c r="DL51" s="363">
        <v>0</v>
      </c>
      <c r="DM51" s="363">
        <v>0</v>
      </c>
      <c r="DN51" s="363">
        <v>0</v>
      </c>
      <c r="DO51" s="363">
        <v>0</v>
      </c>
      <c r="DP51" s="363">
        <v>0</v>
      </c>
      <c r="DQ51" s="363">
        <v>0</v>
      </c>
      <c r="DR51" s="363">
        <v>0</v>
      </c>
      <c r="DS51" s="363">
        <v>0</v>
      </c>
      <c r="DT51" s="363">
        <v>0</v>
      </c>
      <c r="DU51" s="363">
        <v>0</v>
      </c>
      <c r="DV51" s="363">
        <v>0</v>
      </c>
      <c r="DW51" s="435">
        <v>0</v>
      </c>
      <c r="DX51" s="435">
        <v>0</v>
      </c>
      <c r="DY51" s="435">
        <v>0</v>
      </c>
      <c r="DZ51" s="435">
        <v>0</v>
      </c>
      <c r="EA51" s="363">
        <v>0</v>
      </c>
      <c r="EB51" s="435">
        <v>0</v>
      </c>
      <c r="EC51" s="435">
        <v>0</v>
      </c>
      <c r="ED51" s="435">
        <v>0</v>
      </c>
      <c r="EE51" s="435">
        <v>0</v>
      </c>
      <c r="EF51" s="363">
        <v>0</v>
      </c>
      <c r="EG51" s="364">
        <v>7.8275633443160835E-3</v>
      </c>
      <c r="EH51" s="364">
        <v>7.8589945984970811E-3</v>
      </c>
      <c r="EI51" s="364">
        <v>7.8905520635684841E-3</v>
      </c>
      <c r="EJ51" s="365">
        <v>7.8386751456922168E-3</v>
      </c>
      <c r="EK51" s="365">
        <v>7.7871392957902363E-3</v>
      </c>
      <c r="EL51" s="365">
        <v>7.7622724394842283E-3</v>
      </c>
      <c r="EM51" s="365">
        <v>7.7374849910992879E-3</v>
      </c>
      <c r="EN51" s="365">
        <v>7.7127766970602205E-3</v>
      </c>
      <c r="EO51" s="365">
        <v>7.6881473046015785E-3</v>
      </c>
      <c r="EP51" s="365">
        <v>7.6635965617650788E-3</v>
      </c>
      <c r="EQ51" s="365">
        <v>7.7202839390058077E-3</v>
      </c>
      <c r="ER51" s="365">
        <v>7.7773906309524365E-3</v>
      </c>
      <c r="ES51" s="365">
        <v>7.8349197392623554E-3</v>
      </c>
      <c r="ET51" s="365">
        <v>7.8928743885358192E-3</v>
      </c>
      <c r="EU51" s="365">
        <v>7.9512577264856388E-3</v>
      </c>
      <c r="EV51" s="436">
        <v>7.9833077903924844E-3</v>
      </c>
      <c r="EW51" s="436">
        <v>8.0153578542993317E-3</v>
      </c>
      <c r="EX51" s="436">
        <v>8.0474079182061772E-3</v>
      </c>
      <c r="EY51" s="436">
        <v>8.0794579821130245E-3</v>
      </c>
      <c r="EZ51" s="365">
        <v>8.1115080460198701E-3</v>
      </c>
      <c r="FA51" s="436">
        <v>8.1377796254981909E-3</v>
      </c>
      <c r="FB51" s="436">
        <v>8.1640512049765118E-3</v>
      </c>
      <c r="FC51" s="436">
        <v>8.1903227844548343E-3</v>
      </c>
      <c r="FD51" s="436">
        <v>8.2165943639331551E-3</v>
      </c>
      <c r="FE51" s="365">
        <v>8.2428659434114759E-3</v>
      </c>
      <c r="FF51" s="364">
        <v>0</v>
      </c>
      <c r="FG51" s="364">
        <v>0</v>
      </c>
      <c r="FH51" s="364">
        <v>0</v>
      </c>
      <c r="FI51" s="365">
        <v>0</v>
      </c>
      <c r="FJ51" s="365">
        <v>0</v>
      </c>
      <c r="FK51" s="365">
        <v>0</v>
      </c>
      <c r="FL51" s="365">
        <v>0</v>
      </c>
      <c r="FM51" s="365">
        <v>0</v>
      </c>
      <c r="FN51" s="365">
        <v>0</v>
      </c>
      <c r="FO51" s="365">
        <v>0</v>
      </c>
      <c r="FP51" s="365">
        <v>0</v>
      </c>
      <c r="FQ51" s="365">
        <v>0</v>
      </c>
      <c r="FR51" s="365">
        <v>0</v>
      </c>
      <c r="FS51" s="365">
        <v>0</v>
      </c>
      <c r="FT51" s="365">
        <v>0</v>
      </c>
      <c r="FU51" s="436">
        <v>0</v>
      </c>
      <c r="FV51" s="436">
        <v>0</v>
      </c>
      <c r="FW51" s="436">
        <v>0</v>
      </c>
      <c r="FX51" s="436">
        <v>0</v>
      </c>
      <c r="FY51" s="365">
        <v>0</v>
      </c>
      <c r="FZ51" s="436">
        <v>0</v>
      </c>
      <c r="GA51" s="436">
        <v>0</v>
      </c>
      <c r="GB51" s="436">
        <v>0</v>
      </c>
      <c r="GC51" s="436">
        <v>0</v>
      </c>
      <c r="GD51" s="365">
        <v>0</v>
      </c>
    </row>
    <row r="52" spans="1:186" ht="15" x14ac:dyDescent="0.25">
      <c r="A52" s="357">
        <v>168</v>
      </c>
      <c r="B52" s="357">
        <v>76</v>
      </c>
      <c r="C52" s="357" t="s">
        <v>961</v>
      </c>
      <c r="D52" s="2">
        <v>99712</v>
      </c>
      <c r="E52" s="268" t="s">
        <v>19</v>
      </c>
      <c r="F52" s="358" t="s">
        <v>915</v>
      </c>
      <c r="G52" s="49">
        <v>0</v>
      </c>
      <c r="H52" s="49">
        <v>5</v>
      </c>
      <c r="I52" s="49">
        <v>0</v>
      </c>
      <c r="J52" s="49">
        <v>5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834.49503068156923</v>
      </c>
      <c r="T52" s="49">
        <v>834.49503068156923</v>
      </c>
      <c r="U52" s="49">
        <v>1408.3846153846155</v>
      </c>
      <c r="V52" s="49">
        <v>0</v>
      </c>
      <c r="W52" s="49">
        <v>0</v>
      </c>
      <c r="X52" s="49">
        <v>1365.173957061457</v>
      </c>
      <c r="Y52" s="434">
        <v>0</v>
      </c>
      <c r="Z52" s="434">
        <v>0</v>
      </c>
      <c r="AA52" s="49">
        <v>0.11456167706167707</v>
      </c>
      <c r="AB52" s="49">
        <v>4.8789414414414418</v>
      </c>
      <c r="AC52" s="49">
        <v>6.4968814968814972E-3</v>
      </c>
      <c r="AD52" s="285">
        <v>0</v>
      </c>
      <c r="AE52" s="285">
        <v>0</v>
      </c>
      <c r="AF52" s="359">
        <v>5</v>
      </c>
      <c r="AG52" s="360">
        <v>0</v>
      </c>
      <c r="AH52" s="360">
        <v>0</v>
      </c>
      <c r="AI52" s="361">
        <v>0</v>
      </c>
      <c r="AJ52" s="360">
        <v>0</v>
      </c>
      <c r="AK52" s="360">
        <v>0.10414965256455638</v>
      </c>
      <c r="AL52" s="360">
        <v>4.4355151656462963</v>
      </c>
      <c r="AM52" s="360">
        <v>4.539664818210853</v>
      </c>
      <c r="AN52" s="360">
        <v>5.9064075178387361E-3</v>
      </c>
      <c r="AO52" s="360">
        <v>0</v>
      </c>
      <c r="AP52" s="360">
        <v>0</v>
      </c>
      <c r="AQ52" s="360">
        <v>0</v>
      </c>
      <c r="AR52" s="360">
        <v>0</v>
      </c>
      <c r="AS52" s="360">
        <v>0</v>
      </c>
      <c r="AT52" s="360">
        <v>0</v>
      </c>
      <c r="AU52" s="360">
        <v>4.127073954422424</v>
      </c>
      <c r="AV52" s="360">
        <v>4.3284561258081187</v>
      </c>
      <c r="AW52" s="360">
        <v>4.539664818210853</v>
      </c>
      <c r="AX52" s="360">
        <v>4.7611795205279535</v>
      </c>
      <c r="AY52" s="360">
        <v>4.9935031185031189</v>
      </c>
      <c r="AZ52" s="360">
        <v>0</v>
      </c>
      <c r="BA52" s="360">
        <v>0</v>
      </c>
      <c r="BB52" s="360">
        <v>0</v>
      </c>
      <c r="BC52" s="360">
        <v>0</v>
      </c>
      <c r="BD52" s="360">
        <v>0</v>
      </c>
      <c r="BE52" s="360">
        <v>0</v>
      </c>
      <c r="BF52" s="360">
        <v>0</v>
      </c>
      <c r="BG52" s="360">
        <v>0</v>
      </c>
      <c r="BH52" s="360">
        <v>0</v>
      </c>
      <c r="BI52" s="360">
        <v>0</v>
      </c>
      <c r="BJ52" s="362">
        <v>5.0567097538629424</v>
      </c>
      <c r="BK52" s="362">
        <v>5.1207164445463933</v>
      </c>
      <c r="BL52" s="362">
        <v>5.1855333174731735</v>
      </c>
      <c r="BM52" s="363">
        <v>5.1514407110385427</v>
      </c>
      <c r="BN52" s="363">
        <v>5.1175722485332518</v>
      </c>
      <c r="BO52" s="363">
        <v>5.1012301838923007</v>
      </c>
      <c r="BP52" s="363">
        <v>5.0849403047533341</v>
      </c>
      <c r="BQ52" s="363">
        <v>5.0687024444711524</v>
      </c>
      <c r="BR52" s="363">
        <v>5.0525164369327076</v>
      </c>
      <c r="BS52" s="363">
        <v>5.0363821165554068</v>
      </c>
      <c r="BT52" s="363">
        <v>5.0736360730585508</v>
      </c>
      <c r="BU52" s="363">
        <v>5.1111655958795428</v>
      </c>
      <c r="BV52" s="363">
        <v>5.1489727233735723</v>
      </c>
      <c r="BW52" s="363">
        <v>5.1870595089734763</v>
      </c>
      <c r="BX52" s="363">
        <v>5.2254280213012647</v>
      </c>
      <c r="BY52" s="435">
        <v>5.2464907648047827</v>
      </c>
      <c r="BZ52" s="435">
        <v>5.2675535083082998</v>
      </c>
      <c r="CA52" s="435">
        <v>5.2886162518118178</v>
      </c>
      <c r="CB52" s="435">
        <v>5.3096789953153349</v>
      </c>
      <c r="CC52" s="363">
        <v>5.3307417388188529</v>
      </c>
      <c r="CD52" s="435">
        <v>5.3480069630503078</v>
      </c>
      <c r="CE52" s="435">
        <v>5.3652721872817626</v>
      </c>
      <c r="CF52" s="435">
        <v>5.3825374115132183</v>
      </c>
      <c r="CG52" s="435">
        <v>5.3998026357446731</v>
      </c>
      <c r="CH52" s="363">
        <v>5.4170678599761279</v>
      </c>
      <c r="CI52" s="362">
        <v>0</v>
      </c>
      <c r="CJ52" s="362">
        <v>0</v>
      </c>
      <c r="CK52" s="362">
        <v>0</v>
      </c>
      <c r="CL52" s="363">
        <v>0</v>
      </c>
      <c r="CM52" s="363">
        <v>0</v>
      </c>
      <c r="CN52" s="363">
        <v>0</v>
      </c>
      <c r="CO52" s="363">
        <v>0</v>
      </c>
      <c r="CP52" s="363">
        <v>0</v>
      </c>
      <c r="CQ52" s="363">
        <v>0</v>
      </c>
      <c r="CR52" s="363">
        <v>0</v>
      </c>
      <c r="CS52" s="363">
        <v>0</v>
      </c>
      <c r="CT52" s="363">
        <v>0</v>
      </c>
      <c r="CU52" s="363">
        <v>0</v>
      </c>
      <c r="CV52" s="363">
        <v>0</v>
      </c>
      <c r="CW52" s="363">
        <v>0</v>
      </c>
      <c r="CX52" s="435">
        <v>0</v>
      </c>
      <c r="CY52" s="435">
        <v>0</v>
      </c>
      <c r="CZ52" s="435">
        <v>0</v>
      </c>
      <c r="DA52" s="435">
        <v>0</v>
      </c>
      <c r="DB52" s="363">
        <v>0</v>
      </c>
      <c r="DC52" s="435">
        <v>0</v>
      </c>
      <c r="DD52" s="435">
        <v>0</v>
      </c>
      <c r="DE52" s="435">
        <v>0</v>
      </c>
      <c r="DF52" s="435">
        <v>0</v>
      </c>
      <c r="DG52" s="363">
        <v>0</v>
      </c>
      <c r="DH52" s="362">
        <v>0</v>
      </c>
      <c r="DI52" s="362">
        <v>0</v>
      </c>
      <c r="DJ52" s="362">
        <v>0</v>
      </c>
      <c r="DK52" s="363">
        <v>0</v>
      </c>
      <c r="DL52" s="363">
        <v>0</v>
      </c>
      <c r="DM52" s="363">
        <v>0</v>
      </c>
      <c r="DN52" s="363">
        <v>0</v>
      </c>
      <c r="DO52" s="363">
        <v>0</v>
      </c>
      <c r="DP52" s="363">
        <v>0</v>
      </c>
      <c r="DQ52" s="363">
        <v>0</v>
      </c>
      <c r="DR52" s="363">
        <v>0</v>
      </c>
      <c r="DS52" s="363">
        <v>0</v>
      </c>
      <c r="DT52" s="363">
        <v>0</v>
      </c>
      <c r="DU52" s="363">
        <v>0</v>
      </c>
      <c r="DV52" s="363">
        <v>0</v>
      </c>
      <c r="DW52" s="435">
        <v>0</v>
      </c>
      <c r="DX52" s="435">
        <v>0</v>
      </c>
      <c r="DY52" s="435">
        <v>0</v>
      </c>
      <c r="DZ52" s="435">
        <v>0</v>
      </c>
      <c r="EA52" s="363">
        <v>0</v>
      </c>
      <c r="EB52" s="435">
        <v>0</v>
      </c>
      <c r="EC52" s="435">
        <v>0</v>
      </c>
      <c r="ED52" s="435">
        <v>0</v>
      </c>
      <c r="EE52" s="435">
        <v>0</v>
      </c>
      <c r="EF52" s="363">
        <v>0</v>
      </c>
      <c r="EG52" s="364">
        <v>6.5791175564180876E-3</v>
      </c>
      <c r="EH52" s="364">
        <v>6.6623945414342875E-3</v>
      </c>
      <c r="EI52" s="364">
        <v>6.746725627729864E-3</v>
      </c>
      <c r="EJ52" s="365">
        <v>6.7023688668208983E-3</v>
      </c>
      <c r="EK52" s="365">
        <v>6.6583037321535929E-3</v>
      </c>
      <c r="EL52" s="365">
        <v>6.6370416131828012E-3</v>
      </c>
      <c r="EM52" s="365">
        <v>6.6158473910399879E-3</v>
      </c>
      <c r="EN52" s="365">
        <v>6.5947208489086032E-3</v>
      </c>
      <c r="EO52" s="365">
        <v>6.5736617706644651E-3</v>
      </c>
      <c r="EP52" s="365">
        <v>6.5526699408735454E-3</v>
      </c>
      <c r="EQ52" s="365">
        <v>6.6011398296364175E-3</v>
      </c>
      <c r="ER52" s="365">
        <v>6.6499682486072633E-3</v>
      </c>
      <c r="ES52" s="365">
        <v>6.6991578498224978E-3</v>
      </c>
      <c r="ET52" s="365">
        <v>6.7487113049355665E-3</v>
      </c>
      <c r="EU52" s="365">
        <v>6.7986313053620415E-3</v>
      </c>
      <c r="EV52" s="436">
        <v>6.8260353432276644E-3</v>
      </c>
      <c r="EW52" s="436">
        <v>6.8534393810932874E-3</v>
      </c>
      <c r="EX52" s="436">
        <v>6.8808434189589094E-3</v>
      </c>
      <c r="EY52" s="436">
        <v>6.9082474568245324E-3</v>
      </c>
      <c r="EZ52" s="365">
        <v>6.9356514946901553E-3</v>
      </c>
      <c r="FA52" s="436">
        <v>6.958114706024341E-3</v>
      </c>
      <c r="FB52" s="436">
        <v>6.9805779173585259E-3</v>
      </c>
      <c r="FC52" s="436">
        <v>7.0030411286927116E-3</v>
      </c>
      <c r="FD52" s="436">
        <v>7.0255043400268965E-3</v>
      </c>
      <c r="FE52" s="365">
        <v>7.0479675513610823E-3</v>
      </c>
      <c r="FF52" s="364">
        <v>0</v>
      </c>
      <c r="FG52" s="364">
        <v>0</v>
      </c>
      <c r="FH52" s="364">
        <v>0</v>
      </c>
      <c r="FI52" s="365">
        <v>0</v>
      </c>
      <c r="FJ52" s="365">
        <v>0</v>
      </c>
      <c r="FK52" s="365">
        <v>0</v>
      </c>
      <c r="FL52" s="365">
        <v>0</v>
      </c>
      <c r="FM52" s="365">
        <v>0</v>
      </c>
      <c r="FN52" s="365">
        <v>0</v>
      </c>
      <c r="FO52" s="365">
        <v>0</v>
      </c>
      <c r="FP52" s="365">
        <v>0</v>
      </c>
      <c r="FQ52" s="365">
        <v>0</v>
      </c>
      <c r="FR52" s="365">
        <v>0</v>
      </c>
      <c r="FS52" s="365">
        <v>0</v>
      </c>
      <c r="FT52" s="365">
        <v>0</v>
      </c>
      <c r="FU52" s="436">
        <v>0</v>
      </c>
      <c r="FV52" s="436">
        <v>0</v>
      </c>
      <c r="FW52" s="436">
        <v>0</v>
      </c>
      <c r="FX52" s="436">
        <v>0</v>
      </c>
      <c r="FY52" s="365">
        <v>0</v>
      </c>
      <c r="FZ52" s="436">
        <v>0</v>
      </c>
      <c r="GA52" s="436">
        <v>0</v>
      </c>
      <c r="GB52" s="436">
        <v>0</v>
      </c>
      <c r="GC52" s="436">
        <v>0</v>
      </c>
      <c r="GD52" s="365">
        <v>0</v>
      </c>
    </row>
    <row r="53" spans="1:186" ht="15" x14ac:dyDescent="0.25">
      <c r="A53" s="357">
        <v>130</v>
      </c>
      <c r="B53" s="357">
        <v>77</v>
      </c>
      <c r="C53" s="357" t="s">
        <v>962</v>
      </c>
      <c r="D53" s="2">
        <v>99705</v>
      </c>
      <c r="E53" s="268" t="s">
        <v>19</v>
      </c>
      <c r="F53" s="358" t="s">
        <v>915</v>
      </c>
      <c r="G53" s="49">
        <v>1</v>
      </c>
      <c r="H53" s="49">
        <v>1</v>
      </c>
      <c r="I53" s="49">
        <v>1</v>
      </c>
      <c r="J53" s="49">
        <v>0</v>
      </c>
      <c r="K53" s="49">
        <v>0</v>
      </c>
      <c r="L53" s="49">
        <v>5</v>
      </c>
      <c r="M53" s="49">
        <v>5</v>
      </c>
      <c r="N53" s="49">
        <v>0</v>
      </c>
      <c r="O53" s="49">
        <v>0</v>
      </c>
      <c r="P53" s="49">
        <v>0</v>
      </c>
      <c r="Q53" s="49">
        <v>5</v>
      </c>
      <c r="R53" s="49">
        <v>0</v>
      </c>
      <c r="S53" s="49">
        <v>1915.6</v>
      </c>
      <c r="T53" s="49">
        <v>1915.6</v>
      </c>
      <c r="U53" s="49">
        <v>0</v>
      </c>
      <c r="V53" s="49">
        <v>0</v>
      </c>
      <c r="W53" s="49">
        <v>0</v>
      </c>
      <c r="X53" s="49">
        <v>1915.6</v>
      </c>
      <c r="Y53" s="434">
        <v>9578</v>
      </c>
      <c r="Z53" s="434">
        <v>0</v>
      </c>
      <c r="AA53" s="49">
        <v>0</v>
      </c>
      <c r="AB53" s="49">
        <v>1</v>
      </c>
      <c r="AC53" s="49">
        <v>0</v>
      </c>
      <c r="AD53" s="285">
        <v>0</v>
      </c>
      <c r="AE53" s="285">
        <v>0</v>
      </c>
      <c r="AF53" s="359">
        <v>1</v>
      </c>
      <c r="AG53" s="360">
        <v>0</v>
      </c>
      <c r="AH53" s="360">
        <v>1</v>
      </c>
      <c r="AI53" s="361">
        <v>1</v>
      </c>
      <c r="AJ53" s="360">
        <v>0</v>
      </c>
      <c r="AK53" s="360">
        <v>0</v>
      </c>
      <c r="AL53" s="360">
        <v>0.92815170022086046</v>
      </c>
      <c r="AM53" s="360">
        <v>0.92815170022086046</v>
      </c>
      <c r="AN53" s="360">
        <v>0</v>
      </c>
      <c r="AO53" s="360">
        <v>0</v>
      </c>
      <c r="AP53" s="360">
        <v>0.93291228256853931</v>
      </c>
      <c r="AQ53" s="360">
        <v>0.93291228256853931</v>
      </c>
      <c r="AR53" s="360">
        <v>0</v>
      </c>
      <c r="AS53" s="360">
        <v>0</v>
      </c>
      <c r="AT53" s="360">
        <v>0</v>
      </c>
      <c r="AU53" s="360">
        <v>0.86146557862287421</v>
      </c>
      <c r="AV53" s="360">
        <v>0.89418719599453456</v>
      </c>
      <c r="AW53" s="360">
        <v>0.92815170022086046</v>
      </c>
      <c r="AX53" s="360">
        <v>0.96340630069605648</v>
      </c>
      <c r="AY53" s="360">
        <v>1</v>
      </c>
      <c r="AZ53" s="360">
        <v>0.87032532696724207</v>
      </c>
      <c r="BA53" s="360">
        <v>0.90107557250111936</v>
      </c>
      <c r="BB53" s="360">
        <v>0.93291228256853931</v>
      </c>
      <c r="BC53" s="360">
        <v>0.96587384402340004</v>
      </c>
      <c r="BD53" s="360">
        <v>1</v>
      </c>
      <c r="BE53" s="360">
        <v>0</v>
      </c>
      <c r="BF53" s="360">
        <v>0</v>
      </c>
      <c r="BG53" s="360">
        <v>0</v>
      </c>
      <c r="BH53" s="360">
        <v>0</v>
      </c>
      <c r="BI53" s="360">
        <v>0</v>
      </c>
      <c r="BJ53" s="362">
        <v>1.0040154582976095</v>
      </c>
      <c r="BK53" s="362">
        <v>1.0080470405005588</v>
      </c>
      <c r="BL53" s="362">
        <v>1.0120948113537176</v>
      </c>
      <c r="BM53" s="363">
        <v>1.0054407320207883</v>
      </c>
      <c r="BN53" s="363">
        <v>0.99883040034002768</v>
      </c>
      <c r="BO53" s="363">
        <v>0.99564081157117701</v>
      </c>
      <c r="BP53" s="363">
        <v>0.99246140819166873</v>
      </c>
      <c r="BQ53" s="363">
        <v>0.98929215767625767</v>
      </c>
      <c r="BR53" s="363">
        <v>0.98613302760356258</v>
      </c>
      <c r="BS53" s="363">
        <v>0.98298398565573408</v>
      </c>
      <c r="BT53" s="363">
        <v>0.99025508657647832</v>
      </c>
      <c r="BU53" s="363">
        <v>0.99757997159683254</v>
      </c>
      <c r="BV53" s="363">
        <v>1.0049590385560516</v>
      </c>
      <c r="BW53" s="363">
        <v>1.0123926882361944</v>
      </c>
      <c r="BX53" s="363">
        <v>1.0198813243838913</v>
      </c>
      <c r="BY53" s="435">
        <v>1.0239922792476761</v>
      </c>
      <c r="BZ53" s="435">
        <v>1.0281032341114609</v>
      </c>
      <c r="CA53" s="435">
        <v>1.0322141889752459</v>
      </c>
      <c r="CB53" s="435">
        <v>1.0363251438390306</v>
      </c>
      <c r="CC53" s="363">
        <v>1.0404360987028154</v>
      </c>
      <c r="CD53" s="435">
        <v>1.0438058666305681</v>
      </c>
      <c r="CE53" s="435">
        <v>1.0471756345583207</v>
      </c>
      <c r="CF53" s="435">
        <v>1.0505454024860732</v>
      </c>
      <c r="CG53" s="435">
        <v>1.0539151704138259</v>
      </c>
      <c r="CH53" s="363">
        <v>1.0572849383415786</v>
      </c>
      <c r="CI53" s="362">
        <v>1.0040154582976095</v>
      </c>
      <c r="CJ53" s="362">
        <v>1.0080470405005588</v>
      </c>
      <c r="CK53" s="362">
        <v>1.0120948113537176</v>
      </c>
      <c r="CL53" s="363">
        <v>1.0054407320207883</v>
      </c>
      <c r="CM53" s="363">
        <v>0.99883040034002768</v>
      </c>
      <c r="CN53" s="363">
        <v>0.99564081157117701</v>
      </c>
      <c r="CO53" s="363">
        <v>0.99246140819166873</v>
      </c>
      <c r="CP53" s="363">
        <v>0.98929215767625767</v>
      </c>
      <c r="CQ53" s="363">
        <v>0.98613302760356258</v>
      </c>
      <c r="CR53" s="363">
        <v>0.98298398565573408</v>
      </c>
      <c r="CS53" s="363">
        <v>0.99025508657647832</v>
      </c>
      <c r="CT53" s="363">
        <v>0.99757997159683254</v>
      </c>
      <c r="CU53" s="363">
        <v>1.0049590385560516</v>
      </c>
      <c r="CV53" s="363">
        <v>1.0123926882361944</v>
      </c>
      <c r="CW53" s="363">
        <v>1.0198813243838913</v>
      </c>
      <c r="CX53" s="435">
        <v>1.0239922792476761</v>
      </c>
      <c r="CY53" s="435">
        <v>1.0281032341114609</v>
      </c>
      <c r="CZ53" s="435">
        <v>1.0322141889752459</v>
      </c>
      <c r="DA53" s="435">
        <v>1.0363251438390306</v>
      </c>
      <c r="DB53" s="363">
        <v>1.0404360987028154</v>
      </c>
      <c r="DC53" s="435">
        <v>1.0438058666305681</v>
      </c>
      <c r="DD53" s="435">
        <v>1.0471756345583207</v>
      </c>
      <c r="DE53" s="435">
        <v>1.0505454024860732</v>
      </c>
      <c r="DF53" s="435">
        <v>1.0539151704138259</v>
      </c>
      <c r="DG53" s="363">
        <v>1.0572849383415786</v>
      </c>
      <c r="DH53" s="362">
        <v>0</v>
      </c>
      <c r="DI53" s="362">
        <v>0</v>
      </c>
      <c r="DJ53" s="362">
        <v>0</v>
      </c>
      <c r="DK53" s="363">
        <v>0</v>
      </c>
      <c r="DL53" s="363">
        <v>0</v>
      </c>
      <c r="DM53" s="363">
        <v>0</v>
      </c>
      <c r="DN53" s="363">
        <v>0</v>
      </c>
      <c r="DO53" s="363">
        <v>0</v>
      </c>
      <c r="DP53" s="363">
        <v>0</v>
      </c>
      <c r="DQ53" s="363">
        <v>0</v>
      </c>
      <c r="DR53" s="363">
        <v>0</v>
      </c>
      <c r="DS53" s="363">
        <v>0</v>
      </c>
      <c r="DT53" s="363">
        <v>0</v>
      </c>
      <c r="DU53" s="363">
        <v>0</v>
      </c>
      <c r="DV53" s="363">
        <v>0</v>
      </c>
      <c r="DW53" s="435">
        <v>0</v>
      </c>
      <c r="DX53" s="435">
        <v>0</v>
      </c>
      <c r="DY53" s="435">
        <v>0</v>
      </c>
      <c r="DZ53" s="435">
        <v>0</v>
      </c>
      <c r="EA53" s="363">
        <v>0</v>
      </c>
      <c r="EB53" s="435">
        <v>0</v>
      </c>
      <c r="EC53" s="435">
        <v>0</v>
      </c>
      <c r="ED53" s="435">
        <v>0</v>
      </c>
      <c r="EE53" s="435">
        <v>0</v>
      </c>
      <c r="EF53" s="363">
        <v>0</v>
      </c>
      <c r="EG53" s="364">
        <v>0</v>
      </c>
      <c r="EH53" s="364">
        <v>0</v>
      </c>
      <c r="EI53" s="364">
        <v>0</v>
      </c>
      <c r="EJ53" s="365">
        <v>0</v>
      </c>
      <c r="EK53" s="365">
        <v>0</v>
      </c>
      <c r="EL53" s="365">
        <v>0</v>
      </c>
      <c r="EM53" s="365">
        <v>0</v>
      </c>
      <c r="EN53" s="365">
        <v>0</v>
      </c>
      <c r="EO53" s="365">
        <v>0</v>
      </c>
      <c r="EP53" s="365">
        <v>0</v>
      </c>
      <c r="EQ53" s="365">
        <v>0</v>
      </c>
      <c r="ER53" s="365">
        <v>0</v>
      </c>
      <c r="ES53" s="365">
        <v>0</v>
      </c>
      <c r="ET53" s="365">
        <v>0</v>
      </c>
      <c r="EU53" s="365">
        <v>0</v>
      </c>
      <c r="EV53" s="436">
        <v>0</v>
      </c>
      <c r="EW53" s="436">
        <v>0</v>
      </c>
      <c r="EX53" s="436">
        <v>0</v>
      </c>
      <c r="EY53" s="436">
        <v>0</v>
      </c>
      <c r="EZ53" s="365">
        <v>0</v>
      </c>
      <c r="FA53" s="436">
        <v>0</v>
      </c>
      <c r="FB53" s="436">
        <v>0</v>
      </c>
      <c r="FC53" s="436">
        <v>0</v>
      </c>
      <c r="FD53" s="436">
        <v>0</v>
      </c>
      <c r="FE53" s="365">
        <v>0</v>
      </c>
      <c r="FF53" s="364">
        <v>0</v>
      </c>
      <c r="FG53" s="364">
        <v>0</v>
      </c>
      <c r="FH53" s="364">
        <v>0</v>
      </c>
      <c r="FI53" s="365">
        <v>0</v>
      </c>
      <c r="FJ53" s="365">
        <v>0</v>
      </c>
      <c r="FK53" s="365">
        <v>0</v>
      </c>
      <c r="FL53" s="365">
        <v>0</v>
      </c>
      <c r="FM53" s="365">
        <v>0</v>
      </c>
      <c r="FN53" s="365">
        <v>0</v>
      </c>
      <c r="FO53" s="365">
        <v>0</v>
      </c>
      <c r="FP53" s="365">
        <v>0</v>
      </c>
      <c r="FQ53" s="365">
        <v>0</v>
      </c>
      <c r="FR53" s="365">
        <v>0</v>
      </c>
      <c r="FS53" s="365">
        <v>0</v>
      </c>
      <c r="FT53" s="365">
        <v>0</v>
      </c>
      <c r="FU53" s="436">
        <v>0</v>
      </c>
      <c r="FV53" s="436">
        <v>0</v>
      </c>
      <c r="FW53" s="436">
        <v>0</v>
      </c>
      <c r="FX53" s="436">
        <v>0</v>
      </c>
      <c r="FY53" s="365">
        <v>0</v>
      </c>
      <c r="FZ53" s="436">
        <v>0</v>
      </c>
      <c r="GA53" s="436">
        <v>0</v>
      </c>
      <c r="GB53" s="436">
        <v>0</v>
      </c>
      <c r="GC53" s="436">
        <v>0</v>
      </c>
      <c r="GD53" s="365">
        <v>0</v>
      </c>
    </row>
    <row r="54" spans="1:186" ht="15" x14ac:dyDescent="0.25">
      <c r="A54" s="357">
        <v>129</v>
      </c>
      <c r="B54" s="357">
        <v>78</v>
      </c>
      <c r="C54" s="357" t="s">
        <v>963</v>
      </c>
      <c r="D54" s="2">
        <v>99705</v>
      </c>
      <c r="E54" s="268" t="s">
        <v>19</v>
      </c>
      <c r="F54" s="358" t="s">
        <v>915</v>
      </c>
      <c r="G54" s="49">
        <v>14</v>
      </c>
      <c r="H54" s="49">
        <v>6</v>
      </c>
      <c r="I54" s="49">
        <v>6</v>
      </c>
      <c r="J54" s="49">
        <v>0</v>
      </c>
      <c r="K54" s="49">
        <v>0</v>
      </c>
      <c r="L54" s="49">
        <v>2</v>
      </c>
      <c r="M54" s="49">
        <v>2</v>
      </c>
      <c r="N54" s="49">
        <v>1</v>
      </c>
      <c r="O54" s="49">
        <v>0</v>
      </c>
      <c r="P54" s="49">
        <v>0</v>
      </c>
      <c r="Q54" s="49">
        <v>3</v>
      </c>
      <c r="R54" s="49">
        <v>0</v>
      </c>
      <c r="S54" s="49">
        <v>3110.5</v>
      </c>
      <c r="T54" s="49">
        <v>3110.5</v>
      </c>
      <c r="U54" s="49">
        <v>1118</v>
      </c>
      <c r="V54" s="49">
        <v>0</v>
      </c>
      <c r="W54" s="49">
        <v>0</v>
      </c>
      <c r="X54" s="49">
        <v>2446.3333333333335</v>
      </c>
      <c r="Y54" s="434">
        <v>6221</v>
      </c>
      <c r="Z54" s="434">
        <v>1118</v>
      </c>
      <c r="AA54" s="49">
        <v>0</v>
      </c>
      <c r="AB54" s="49">
        <v>6</v>
      </c>
      <c r="AC54" s="49">
        <v>0</v>
      </c>
      <c r="AD54" s="285">
        <v>1</v>
      </c>
      <c r="AE54" s="285">
        <v>0</v>
      </c>
      <c r="AF54" s="359">
        <v>7</v>
      </c>
      <c r="AG54" s="360">
        <v>0</v>
      </c>
      <c r="AH54" s="360">
        <v>6</v>
      </c>
      <c r="AI54" s="361">
        <v>6</v>
      </c>
      <c r="AJ54" s="360">
        <v>0</v>
      </c>
      <c r="AK54" s="360">
        <v>0</v>
      </c>
      <c r="AL54" s="360">
        <v>5.5689102013251635</v>
      </c>
      <c r="AM54" s="360">
        <v>5.5689102013251635</v>
      </c>
      <c r="AN54" s="360">
        <v>0</v>
      </c>
      <c r="AO54" s="360">
        <v>0</v>
      </c>
      <c r="AP54" s="360">
        <v>5.5974736954112361</v>
      </c>
      <c r="AQ54" s="360">
        <v>5.5974736954112361</v>
      </c>
      <c r="AR54" s="360">
        <v>0</v>
      </c>
      <c r="AS54" s="360">
        <v>0.94010766733490925</v>
      </c>
      <c r="AT54" s="360">
        <v>0</v>
      </c>
      <c r="AU54" s="360">
        <v>5.1687934717372448</v>
      </c>
      <c r="AV54" s="360">
        <v>5.3651231759672076</v>
      </c>
      <c r="AW54" s="360">
        <v>5.5689102013251635</v>
      </c>
      <c r="AX54" s="360">
        <v>5.7804378041763389</v>
      </c>
      <c r="AY54" s="360">
        <v>6</v>
      </c>
      <c r="AZ54" s="360">
        <v>5.2219519618034527</v>
      </c>
      <c r="BA54" s="360">
        <v>5.4064534350067159</v>
      </c>
      <c r="BB54" s="360">
        <v>5.5974736954112361</v>
      </c>
      <c r="BC54" s="360">
        <v>5.7952430641403998</v>
      </c>
      <c r="BD54" s="360">
        <v>6</v>
      </c>
      <c r="BE54" s="360">
        <v>0.88380242618188454</v>
      </c>
      <c r="BF54" s="360">
        <v>0.91152039870909352</v>
      </c>
      <c r="BG54" s="360">
        <v>0.94010766733490925</v>
      </c>
      <c r="BH54" s="360">
        <v>0.96959149508177378</v>
      </c>
      <c r="BI54" s="360">
        <v>1</v>
      </c>
      <c r="BJ54" s="362">
        <v>6.0681617561118912</v>
      </c>
      <c r="BK54" s="362">
        <v>6.1370978497231583</v>
      </c>
      <c r="BL54" s="362">
        <v>6.2068170775344313</v>
      </c>
      <c r="BM54" s="363">
        <v>6.1660099784607256</v>
      </c>
      <c r="BN54" s="363">
        <v>6.1254711681595113</v>
      </c>
      <c r="BO54" s="363">
        <v>6.1059105560323381</v>
      </c>
      <c r="BP54" s="363">
        <v>6.0864124072710499</v>
      </c>
      <c r="BQ54" s="363">
        <v>6.0669765224098997</v>
      </c>
      <c r="BR54" s="363">
        <v>6.047602702620102</v>
      </c>
      <c r="BS54" s="363">
        <v>6.0282907497077947</v>
      </c>
      <c r="BT54" s="363">
        <v>6.0728818224621222</v>
      </c>
      <c r="BU54" s="363">
        <v>6.1178027339471841</v>
      </c>
      <c r="BV54" s="363">
        <v>6.1630559239694618</v>
      </c>
      <c r="BW54" s="363">
        <v>6.2086438503826065</v>
      </c>
      <c r="BX54" s="363">
        <v>6.25456898922093</v>
      </c>
      <c r="BY54" s="435">
        <v>6.2797800115157525</v>
      </c>
      <c r="BZ54" s="435">
        <v>6.304991033810575</v>
      </c>
      <c r="CA54" s="435">
        <v>6.3302020561053975</v>
      </c>
      <c r="CB54" s="435">
        <v>6.3554130784002201</v>
      </c>
      <c r="CC54" s="363">
        <v>6.3806241006950426</v>
      </c>
      <c r="CD54" s="435">
        <v>6.4012896874431142</v>
      </c>
      <c r="CE54" s="435">
        <v>6.4219552741911849</v>
      </c>
      <c r="CF54" s="435">
        <v>6.4426208609392566</v>
      </c>
      <c r="CG54" s="435">
        <v>6.4632864476873273</v>
      </c>
      <c r="CH54" s="363">
        <v>6.4839520344353989</v>
      </c>
      <c r="CI54" s="362">
        <v>6.0681617561118912</v>
      </c>
      <c r="CJ54" s="362">
        <v>6.1370978497231583</v>
      </c>
      <c r="CK54" s="362">
        <v>6.2068170775344313</v>
      </c>
      <c r="CL54" s="363">
        <v>6.1660099784607256</v>
      </c>
      <c r="CM54" s="363">
        <v>6.1254711681595113</v>
      </c>
      <c r="CN54" s="363">
        <v>6.1059105560323381</v>
      </c>
      <c r="CO54" s="363">
        <v>6.0864124072710499</v>
      </c>
      <c r="CP54" s="363">
        <v>6.0669765224098997</v>
      </c>
      <c r="CQ54" s="363">
        <v>6.047602702620102</v>
      </c>
      <c r="CR54" s="363">
        <v>6.0282907497077947</v>
      </c>
      <c r="CS54" s="363">
        <v>6.0728818224621222</v>
      </c>
      <c r="CT54" s="363">
        <v>6.1178027339471841</v>
      </c>
      <c r="CU54" s="363">
        <v>6.1630559239694618</v>
      </c>
      <c r="CV54" s="363">
        <v>6.2086438503826065</v>
      </c>
      <c r="CW54" s="363">
        <v>6.25456898922093</v>
      </c>
      <c r="CX54" s="435">
        <v>6.2797800115157525</v>
      </c>
      <c r="CY54" s="435">
        <v>6.304991033810575</v>
      </c>
      <c r="CZ54" s="435">
        <v>6.3302020561053975</v>
      </c>
      <c r="DA54" s="435">
        <v>6.3554130784002201</v>
      </c>
      <c r="DB54" s="363">
        <v>6.3806241006950426</v>
      </c>
      <c r="DC54" s="435">
        <v>6.4012896874431142</v>
      </c>
      <c r="DD54" s="435">
        <v>6.4219552741911849</v>
      </c>
      <c r="DE54" s="435">
        <v>6.4426208609392566</v>
      </c>
      <c r="DF54" s="435">
        <v>6.4632864476873273</v>
      </c>
      <c r="DG54" s="363">
        <v>6.4839520344353989</v>
      </c>
      <c r="DH54" s="362">
        <v>1.0113602926853151</v>
      </c>
      <c r="DI54" s="362">
        <v>1.0228496416205264</v>
      </c>
      <c r="DJ54" s="362">
        <v>1.0344695129224053</v>
      </c>
      <c r="DK54" s="363">
        <v>1.0276683297434543</v>
      </c>
      <c r="DL54" s="363">
        <v>1.0209118613599186</v>
      </c>
      <c r="DM54" s="363">
        <v>1.0176517593387231</v>
      </c>
      <c r="DN54" s="363">
        <v>1.0144020678785084</v>
      </c>
      <c r="DO54" s="363">
        <v>1.0111627537349834</v>
      </c>
      <c r="DP54" s="363">
        <v>1.0079337837700171</v>
      </c>
      <c r="DQ54" s="363">
        <v>1.0047151249512991</v>
      </c>
      <c r="DR54" s="363">
        <v>1.0121469704103538</v>
      </c>
      <c r="DS54" s="363">
        <v>1.0196337889911975</v>
      </c>
      <c r="DT54" s="363">
        <v>1.0271759873282436</v>
      </c>
      <c r="DU54" s="363">
        <v>1.0347739750637679</v>
      </c>
      <c r="DV54" s="363">
        <v>1.0424281648701552</v>
      </c>
      <c r="DW54" s="435">
        <v>1.0466300019192922</v>
      </c>
      <c r="DX54" s="435">
        <v>1.0508318389684292</v>
      </c>
      <c r="DY54" s="435">
        <v>1.0550336760175665</v>
      </c>
      <c r="DZ54" s="435">
        <v>1.0592355130667035</v>
      </c>
      <c r="EA54" s="363">
        <v>1.0634373501158405</v>
      </c>
      <c r="EB54" s="435">
        <v>1.0668816145738524</v>
      </c>
      <c r="EC54" s="435">
        <v>1.0703258790318642</v>
      </c>
      <c r="ED54" s="435">
        <v>1.0737701434898761</v>
      </c>
      <c r="EE54" s="435">
        <v>1.0772144079478878</v>
      </c>
      <c r="EF54" s="363">
        <v>1.0806586724058997</v>
      </c>
      <c r="EG54" s="364">
        <v>0</v>
      </c>
      <c r="EH54" s="364">
        <v>0</v>
      </c>
      <c r="EI54" s="364">
        <v>0</v>
      </c>
      <c r="EJ54" s="365">
        <v>0</v>
      </c>
      <c r="EK54" s="365">
        <v>0</v>
      </c>
      <c r="EL54" s="365">
        <v>0</v>
      </c>
      <c r="EM54" s="365">
        <v>0</v>
      </c>
      <c r="EN54" s="365">
        <v>0</v>
      </c>
      <c r="EO54" s="365">
        <v>0</v>
      </c>
      <c r="EP54" s="365">
        <v>0</v>
      </c>
      <c r="EQ54" s="365">
        <v>0</v>
      </c>
      <c r="ER54" s="365">
        <v>0</v>
      </c>
      <c r="ES54" s="365">
        <v>0</v>
      </c>
      <c r="ET54" s="365">
        <v>0</v>
      </c>
      <c r="EU54" s="365">
        <v>0</v>
      </c>
      <c r="EV54" s="436">
        <v>0</v>
      </c>
      <c r="EW54" s="436">
        <v>0</v>
      </c>
      <c r="EX54" s="436">
        <v>0</v>
      </c>
      <c r="EY54" s="436">
        <v>0</v>
      </c>
      <c r="EZ54" s="365">
        <v>0</v>
      </c>
      <c r="FA54" s="436">
        <v>0</v>
      </c>
      <c r="FB54" s="436">
        <v>0</v>
      </c>
      <c r="FC54" s="436">
        <v>0</v>
      </c>
      <c r="FD54" s="436">
        <v>0</v>
      </c>
      <c r="FE54" s="365">
        <v>0</v>
      </c>
      <c r="FF54" s="364">
        <v>0</v>
      </c>
      <c r="FG54" s="364">
        <v>0</v>
      </c>
      <c r="FH54" s="364">
        <v>0</v>
      </c>
      <c r="FI54" s="365">
        <v>0</v>
      </c>
      <c r="FJ54" s="365">
        <v>0</v>
      </c>
      <c r="FK54" s="365">
        <v>0</v>
      </c>
      <c r="FL54" s="365">
        <v>0</v>
      </c>
      <c r="FM54" s="365">
        <v>0</v>
      </c>
      <c r="FN54" s="365">
        <v>0</v>
      </c>
      <c r="FO54" s="365">
        <v>0</v>
      </c>
      <c r="FP54" s="365">
        <v>0</v>
      </c>
      <c r="FQ54" s="365">
        <v>0</v>
      </c>
      <c r="FR54" s="365">
        <v>0</v>
      </c>
      <c r="FS54" s="365">
        <v>0</v>
      </c>
      <c r="FT54" s="365">
        <v>0</v>
      </c>
      <c r="FU54" s="436">
        <v>0</v>
      </c>
      <c r="FV54" s="436">
        <v>0</v>
      </c>
      <c r="FW54" s="436">
        <v>0</v>
      </c>
      <c r="FX54" s="436">
        <v>0</v>
      </c>
      <c r="FY54" s="365">
        <v>0</v>
      </c>
      <c r="FZ54" s="436">
        <v>0</v>
      </c>
      <c r="GA54" s="436">
        <v>0</v>
      </c>
      <c r="GB54" s="436">
        <v>0</v>
      </c>
      <c r="GC54" s="436">
        <v>0</v>
      </c>
      <c r="GD54" s="365">
        <v>0</v>
      </c>
    </row>
    <row r="55" spans="1:186" ht="15" x14ac:dyDescent="0.25">
      <c r="A55" s="357">
        <v>130</v>
      </c>
      <c r="B55" s="357">
        <v>78</v>
      </c>
      <c r="C55" s="357" t="s">
        <v>964</v>
      </c>
      <c r="D55" s="2">
        <v>99705</v>
      </c>
      <c r="E55" s="268" t="s">
        <v>19</v>
      </c>
      <c r="F55" s="358" t="s">
        <v>915</v>
      </c>
      <c r="G55" s="49">
        <v>5</v>
      </c>
      <c r="H55" s="49">
        <v>1</v>
      </c>
      <c r="I55" s="49">
        <v>1</v>
      </c>
      <c r="J55" s="49">
        <v>0</v>
      </c>
      <c r="K55" s="49">
        <v>0</v>
      </c>
      <c r="L55" s="49">
        <v>0</v>
      </c>
      <c r="M55" s="49">
        <v>0</v>
      </c>
      <c r="N55" s="49">
        <v>1</v>
      </c>
      <c r="O55" s="49">
        <v>0</v>
      </c>
      <c r="P55" s="49">
        <v>0</v>
      </c>
      <c r="Q55" s="49">
        <v>1</v>
      </c>
      <c r="R55" s="49">
        <v>0</v>
      </c>
      <c r="S55" s="49">
        <v>0</v>
      </c>
      <c r="T55" s="49">
        <v>0</v>
      </c>
      <c r="U55" s="49">
        <v>9320</v>
      </c>
      <c r="V55" s="49">
        <v>0</v>
      </c>
      <c r="W55" s="49">
        <v>0</v>
      </c>
      <c r="X55" s="49">
        <v>9320</v>
      </c>
      <c r="Y55" s="434">
        <v>0</v>
      </c>
      <c r="Z55" s="434">
        <v>9320</v>
      </c>
      <c r="AA55" s="49">
        <v>2.2912335412335411E-2</v>
      </c>
      <c r="AB55" s="49">
        <v>0.97578828828828834</v>
      </c>
      <c r="AC55" s="49">
        <v>1.2993762993762994E-3</v>
      </c>
      <c r="AD55" s="285">
        <v>1</v>
      </c>
      <c r="AE55" s="285">
        <v>0</v>
      </c>
      <c r="AF55" s="359">
        <v>2</v>
      </c>
      <c r="AG55" s="360">
        <v>2.2912335412335411E-2</v>
      </c>
      <c r="AH55" s="360">
        <v>0.97578828828828834</v>
      </c>
      <c r="AI55" s="361">
        <v>0.99870062370062374</v>
      </c>
      <c r="AJ55" s="360">
        <v>1.2993762993762994E-3</v>
      </c>
      <c r="AK55" s="360">
        <v>2.1266123068989742E-2</v>
      </c>
      <c r="AL55" s="360">
        <v>0.90567955883037798</v>
      </c>
      <c r="AM55" s="360">
        <v>0.92694568189936777</v>
      </c>
      <c r="AN55" s="360">
        <v>1.2060183214928021E-3</v>
      </c>
      <c r="AO55" s="360">
        <v>2.1375199128497804E-2</v>
      </c>
      <c r="AP55" s="360">
        <v>0.91032487933067496</v>
      </c>
      <c r="AQ55" s="360">
        <v>0.9317000784591728</v>
      </c>
      <c r="AR55" s="360">
        <v>1.2122041093666051E-3</v>
      </c>
      <c r="AS55" s="360">
        <v>0.94010766733490925</v>
      </c>
      <c r="AT55" s="360">
        <v>0</v>
      </c>
      <c r="AU55" s="360">
        <v>0.86034621066728312</v>
      </c>
      <c r="AV55" s="360">
        <v>0.89302531034485355</v>
      </c>
      <c r="AW55" s="360">
        <v>0.92694568189936777</v>
      </c>
      <c r="AX55" s="360">
        <v>0.96215447338226234</v>
      </c>
      <c r="AY55" s="360">
        <v>0.99870062370062374</v>
      </c>
      <c r="AZ55" s="360">
        <v>0.86919444686463387</v>
      </c>
      <c r="BA55" s="360">
        <v>0.8999047362582645</v>
      </c>
      <c r="BB55" s="360">
        <v>0.93170007845917269</v>
      </c>
      <c r="BC55" s="360">
        <v>0.96461881044228859</v>
      </c>
      <c r="BD55" s="360">
        <v>0.99870062370062374</v>
      </c>
      <c r="BE55" s="360">
        <v>0.88380242618188454</v>
      </c>
      <c r="BF55" s="360">
        <v>0.91152039870909352</v>
      </c>
      <c r="BG55" s="360">
        <v>0.94010766733490925</v>
      </c>
      <c r="BH55" s="360">
        <v>0.96959149508177378</v>
      </c>
      <c r="BI55" s="360">
        <v>1</v>
      </c>
      <c r="BJ55" s="362">
        <v>1.0027108644068903</v>
      </c>
      <c r="BK55" s="362">
        <v>1.0067372080674759</v>
      </c>
      <c r="BL55" s="362">
        <v>1.0107797193431229</v>
      </c>
      <c r="BM55" s="363">
        <v>1.004134286163173</v>
      </c>
      <c r="BN55" s="363">
        <v>0.99753254379072942</v>
      </c>
      <c r="BO55" s="363">
        <v>0.99434709949792977</v>
      </c>
      <c r="BP55" s="363">
        <v>0.9911718273598189</v>
      </c>
      <c r="BQ55" s="363">
        <v>0.98800669489341442</v>
      </c>
      <c r="BR55" s="363">
        <v>0.98485166971946236</v>
      </c>
      <c r="BS55" s="363">
        <v>0.98170671956210664</v>
      </c>
      <c r="BT55" s="363">
        <v>0.98896837258664405</v>
      </c>
      <c r="BU55" s="363">
        <v>0.99628373982500718</v>
      </c>
      <c r="BV55" s="363">
        <v>1.003653218599508</v>
      </c>
      <c r="BW55" s="363">
        <v>1.0110772091714386</v>
      </c>
      <c r="BX55" s="363">
        <v>1.0185561147628104</v>
      </c>
      <c r="BY55" s="435">
        <v>1.0226617279492773</v>
      </c>
      <c r="BZ55" s="435">
        <v>1.0267673411357443</v>
      </c>
      <c r="CA55" s="435">
        <v>1.0308729543222115</v>
      </c>
      <c r="CB55" s="435">
        <v>1.0349785675086784</v>
      </c>
      <c r="CC55" s="363">
        <v>1.0390841806951454</v>
      </c>
      <c r="CD55" s="435">
        <v>1.0424495700263183</v>
      </c>
      <c r="CE55" s="435">
        <v>1.0458149593574912</v>
      </c>
      <c r="CF55" s="435">
        <v>1.0491803486886642</v>
      </c>
      <c r="CG55" s="435">
        <v>1.0525457380198371</v>
      </c>
      <c r="CH55" s="363">
        <v>1.05591112735101</v>
      </c>
      <c r="CI55" s="362">
        <v>1.0027108644068903</v>
      </c>
      <c r="CJ55" s="362">
        <v>1.0067372080674759</v>
      </c>
      <c r="CK55" s="362">
        <v>1.0107797193431229</v>
      </c>
      <c r="CL55" s="363">
        <v>1.004134286163173</v>
      </c>
      <c r="CM55" s="363">
        <v>0.99753254379072942</v>
      </c>
      <c r="CN55" s="363">
        <v>0.99434709949792977</v>
      </c>
      <c r="CO55" s="363">
        <v>0.9911718273598189</v>
      </c>
      <c r="CP55" s="363">
        <v>0.98800669489341442</v>
      </c>
      <c r="CQ55" s="363">
        <v>0.98485166971946236</v>
      </c>
      <c r="CR55" s="363">
        <v>0.98170671956210664</v>
      </c>
      <c r="CS55" s="363">
        <v>0.98896837258664405</v>
      </c>
      <c r="CT55" s="363">
        <v>0.99628373982500718</v>
      </c>
      <c r="CU55" s="363">
        <v>1.003653218599508</v>
      </c>
      <c r="CV55" s="363">
        <v>1.0110772091714386</v>
      </c>
      <c r="CW55" s="363">
        <v>1.0185561147628104</v>
      </c>
      <c r="CX55" s="435">
        <v>1.0226617279492773</v>
      </c>
      <c r="CY55" s="435">
        <v>1.0267673411357443</v>
      </c>
      <c r="CZ55" s="435">
        <v>1.0308729543222115</v>
      </c>
      <c r="DA55" s="435">
        <v>1.0349785675086784</v>
      </c>
      <c r="DB55" s="363">
        <v>1.0390841806951454</v>
      </c>
      <c r="DC55" s="435">
        <v>1.0424495700263183</v>
      </c>
      <c r="DD55" s="435">
        <v>1.0458149593574912</v>
      </c>
      <c r="DE55" s="435">
        <v>1.0491803486886642</v>
      </c>
      <c r="DF55" s="435">
        <v>1.0525457380198371</v>
      </c>
      <c r="DG55" s="363">
        <v>1.05591112735101</v>
      </c>
      <c r="DH55" s="362">
        <v>1.0040154582976095</v>
      </c>
      <c r="DI55" s="362">
        <v>1.0080470405005588</v>
      </c>
      <c r="DJ55" s="362">
        <v>1.0120948113537176</v>
      </c>
      <c r="DK55" s="363">
        <v>1.0054407320207883</v>
      </c>
      <c r="DL55" s="363">
        <v>0.99883040034002768</v>
      </c>
      <c r="DM55" s="363">
        <v>0.99564081157117701</v>
      </c>
      <c r="DN55" s="363">
        <v>0.99246140819166873</v>
      </c>
      <c r="DO55" s="363">
        <v>0.98929215767625767</v>
      </c>
      <c r="DP55" s="363">
        <v>0.98613302760356258</v>
      </c>
      <c r="DQ55" s="363">
        <v>0.98298398565573408</v>
      </c>
      <c r="DR55" s="363">
        <v>0.99025508657647832</v>
      </c>
      <c r="DS55" s="363">
        <v>0.99757997159683254</v>
      </c>
      <c r="DT55" s="363">
        <v>1.0049590385560516</v>
      </c>
      <c r="DU55" s="363">
        <v>1.0123926882361944</v>
      </c>
      <c r="DV55" s="363">
        <v>1.0198813243838913</v>
      </c>
      <c r="DW55" s="435">
        <v>1.0239922792476761</v>
      </c>
      <c r="DX55" s="435">
        <v>1.0281032341114609</v>
      </c>
      <c r="DY55" s="435">
        <v>1.0322141889752459</v>
      </c>
      <c r="DZ55" s="435">
        <v>1.0363251438390306</v>
      </c>
      <c r="EA55" s="363">
        <v>1.0404360987028154</v>
      </c>
      <c r="EB55" s="435">
        <v>1.0438058666305681</v>
      </c>
      <c r="EC55" s="435">
        <v>1.0471756345583207</v>
      </c>
      <c r="ED55" s="435">
        <v>1.0505454024860732</v>
      </c>
      <c r="EE55" s="435">
        <v>1.0539151704138259</v>
      </c>
      <c r="EF55" s="363">
        <v>1.0572849383415786</v>
      </c>
      <c r="EG55" s="364">
        <v>1.3045938907193472E-3</v>
      </c>
      <c r="EH55" s="364">
        <v>1.3098324330828469E-3</v>
      </c>
      <c r="EI55" s="364">
        <v>1.3150920105947474E-3</v>
      </c>
      <c r="EJ55" s="365">
        <v>1.3064458576153694E-3</v>
      </c>
      <c r="EK55" s="365">
        <v>1.2978565492983729E-3</v>
      </c>
      <c r="EL55" s="365">
        <v>1.2937120732473715E-3</v>
      </c>
      <c r="EM55" s="365">
        <v>1.2895808318498815E-3</v>
      </c>
      <c r="EN55" s="365">
        <v>1.2854627828433702E-3</v>
      </c>
      <c r="EO55" s="365">
        <v>1.2813578841002632E-3</v>
      </c>
      <c r="EP55" s="365">
        <v>1.2772660936275133E-3</v>
      </c>
      <c r="EQ55" s="365">
        <v>1.2867139898343014E-3</v>
      </c>
      <c r="ER55" s="365">
        <v>1.2962317718254062E-3</v>
      </c>
      <c r="ES55" s="365">
        <v>1.3058199565437261E-3</v>
      </c>
      <c r="ET55" s="365">
        <v>1.3154790647559699E-3</v>
      </c>
      <c r="EU55" s="365">
        <v>1.3252096210809399E-3</v>
      </c>
      <c r="EV55" s="436">
        <v>1.3305512983987475E-3</v>
      </c>
      <c r="EW55" s="436">
        <v>1.3358929757165553E-3</v>
      </c>
      <c r="EX55" s="436">
        <v>1.3412346530343629E-3</v>
      </c>
      <c r="EY55" s="436">
        <v>1.3465763303521707E-3</v>
      </c>
      <c r="EZ55" s="365">
        <v>1.3519180076699783E-3</v>
      </c>
      <c r="FA55" s="436">
        <v>1.3562966042496986E-3</v>
      </c>
      <c r="FB55" s="436">
        <v>1.3606752008294186E-3</v>
      </c>
      <c r="FC55" s="436">
        <v>1.3650537974091389E-3</v>
      </c>
      <c r="FD55" s="436">
        <v>1.369432393988859E-3</v>
      </c>
      <c r="FE55" s="365">
        <v>1.3738109905685793E-3</v>
      </c>
      <c r="FF55" s="364">
        <v>0</v>
      </c>
      <c r="FG55" s="364">
        <v>0</v>
      </c>
      <c r="FH55" s="364">
        <v>0</v>
      </c>
      <c r="FI55" s="365">
        <v>0</v>
      </c>
      <c r="FJ55" s="365">
        <v>0</v>
      </c>
      <c r="FK55" s="365">
        <v>0</v>
      </c>
      <c r="FL55" s="365">
        <v>0</v>
      </c>
      <c r="FM55" s="365">
        <v>0</v>
      </c>
      <c r="FN55" s="365">
        <v>0</v>
      </c>
      <c r="FO55" s="365">
        <v>0</v>
      </c>
      <c r="FP55" s="365">
        <v>0</v>
      </c>
      <c r="FQ55" s="365">
        <v>0</v>
      </c>
      <c r="FR55" s="365">
        <v>0</v>
      </c>
      <c r="FS55" s="365">
        <v>0</v>
      </c>
      <c r="FT55" s="365">
        <v>0</v>
      </c>
      <c r="FU55" s="436">
        <v>0</v>
      </c>
      <c r="FV55" s="436">
        <v>0</v>
      </c>
      <c r="FW55" s="436">
        <v>0</v>
      </c>
      <c r="FX55" s="436">
        <v>0</v>
      </c>
      <c r="FY55" s="365">
        <v>0</v>
      </c>
      <c r="FZ55" s="436">
        <v>0</v>
      </c>
      <c r="GA55" s="436">
        <v>0</v>
      </c>
      <c r="GB55" s="436">
        <v>0</v>
      </c>
      <c r="GC55" s="436">
        <v>0</v>
      </c>
      <c r="GD55" s="365">
        <v>0</v>
      </c>
    </row>
    <row r="56" spans="1:186" ht="15" x14ac:dyDescent="0.25">
      <c r="A56" s="357">
        <v>200</v>
      </c>
      <c r="B56" s="357">
        <v>78</v>
      </c>
      <c r="C56" s="357" t="s">
        <v>965</v>
      </c>
      <c r="D56" s="2">
        <v>99712</v>
      </c>
      <c r="E56" s="268" t="s">
        <v>19</v>
      </c>
      <c r="F56" s="358" t="s">
        <v>915</v>
      </c>
      <c r="G56" s="49">
        <v>0</v>
      </c>
      <c r="H56" s="49">
        <v>20</v>
      </c>
      <c r="I56" s="49">
        <v>0</v>
      </c>
      <c r="J56" s="49">
        <v>20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834.49503068156923</v>
      </c>
      <c r="T56" s="49">
        <v>834.49503068156923</v>
      </c>
      <c r="U56" s="49">
        <v>1408.3846153846155</v>
      </c>
      <c r="V56" s="49">
        <v>0</v>
      </c>
      <c r="W56" s="49">
        <v>0</v>
      </c>
      <c r="X56" s="49">
        <v>1365.173957061457</v>
      </c>
      <c r="Y56" s="434">
        <v>0</v>
      </c>
      <c r="Z56" s="434">
        <v>0</v>
      </c>
      <c r="AA56" s="49">
        <v>0.45824670824670827</v>
      </c>
      <c r="AB56" s="49">
        <v>19.515765765765767</v>
      </c>
      <c r="AC56" s="49">
        <v>2.5987525987525989E-2</v>
      </c>
      <c r="AD56" s="285">
        <v>0</v>
      </c>
      <c r="AE56" s="285">
        <v>0</v>
      </c>
      <c r="AF56" s="359">
        <v>20</v>
      </c>
      <c r="AG56" s="360">
        <v>0</v>
      </c>
      <c r="AH56" s="360">
        <v>0</v>
      </c>
      <c r="AI56" s="361">
        <v>0</v>
      </c>
      <c r="AJ56" s="360">
        <v>0</v>
      </c>
      <c r="AK56" s="360">
        <v>0.41659861025822553</v>
      </c>
      <c r="AL56" s="360">
        <v>17.742060662585185</v>
      </c>
      <c r="AM56" s="360">
        <v>18.158659272843412</v>
      </c>
      <c r="AN56" s="360">
        <v>2.3625630071354944E-2</v>
      </c>
      <c r="AO56" s="360">
        <v>0</v>
      </c>
      <c r="AP56" s="360">
        <v>0</v>
      </c>
      <c r="AQ56" s="360">
        <v>0</v>
      </c>
      <c r="AR56" s="360">
        <v>0</v>
      </c>
      <c r="AS56" s="360">
        <v>0</v>
      </c>
      <c r="AT56" s="360">
        <v>0</v>
      </c>
      <c r="AU56" s="360">
        <v>16.508295817689696</v>
      </c>
      <c r="AV56" s="360">
        <v>17.313824503232475</v>
      </c>
      <c r="AW56" s="360">
        <v>18.158659272843412</v>
      </c>
      <c r="AX56" s="360">
        <v>19.044718082111814</v>
      </c>
      <c r="AY56" s="360">
        <v>19.974012474012476</v>
      </c>
      <c r="AZ56" s="360">
        <v>0</v>
      </c>
      <c r="BA56" s="360">
        <v>0</v>
      </c>
      <c r="BB56" s="360">
        <v>0</v>
      </c>
      <c r="BC56" s="360">
        <v>0</v>
      </c>
      <c r="BD56" s="360">
        <v>0</v>
      </c>
      <c r="BE56" s="360">
        <v>0</v>
      </c>
      <c r="BF56" s="360">
        <v>0</v>
      </c>
      <c r="BG56" s="360">
        <v>0</v>
      </c>
      <c r="BH56" s="360">
        <v>0</v>
      </c>
      <c r="BI56" s="360">
        <v>0</v>
      </c>
      <c r="BJ56" s="362">
        <v>20.22683901545177</v>
      </c>
      <c r="BK56" s="362">
        <v>20.482865778185573</v>
      </c>
      <c r="BL56" s="362">
        <v>20.742133269892694</v>
      </c>
      <c r="BM56" s="363">
        <v>20.605762844154171</v>
      </c>
      <c r="BN56" s="363">
        <v>20.470288994133007</v>
      </c>
      <c r="BO56" s="363">
        <v>20.404920735569203</v>
      </c>
      <c r="BP56" s="363">
        <v>20.339761219013337</v>
      </c>
      <c r="BQ56" s="363">
        <v>20.274809777884609</v>
      </c>
      <c r="BR56" s="363">
        <v>20.21006574773083</v>
      </c>
      <c r="BS56" s="363">
        <v>20.145528466221627</v>
      </c>
      <c r="BT56" s="363">
        <v>20.294544292234203</v>
      </c>
      <c r="BU56" s="363">
        <v>20.444662383518171</v>
      </c>
      <c r="BV56" s="363">
        <v>20.595890893494289</v>
      </c>
      <c r="BW56" s="363">
        <v>20.748238035893905</v>
      </c>
      <c r="BX56" s="363">
        <v>20.901712085205059</v>
      </c>
      <c r="BY56" s="435">
        <v>20.985963059219131</v>
      </c>
      <c r="BZ56" s="435">
        <v>21.070214033233199</v>
      </c>
      <c r="CA56" s="435">
        <v>21.154465007247271</v>
      </c>
      <c r="CB56" s="435">
        <v>21.23871598126134</v>
      </c>
      <c r="CC56" s="363">
        <v>21.322966955275412</v>
      </c>
      <c r="CD56" s="435">
        <v>21.392027852201231</v>
      </c>
      <c r="CE56" s="435">
        <v>21.46108874912705</v>
      </c>
      <c r="CF56" s="435">
        <v>21.530149646052873</v>
      </c>
      <c r="CG56" s="435">
        <v>21.599210542978692</v>
      </c>
      <c r="CH56" s="363">
        <v>21.668271439904512</v>
      </c>
      <c r="CI56" s="362">
        <v>0</v>
      </c>
      <c r="CJ56" s="362">
        <v>0</v>
      </c>
      <c r="CK56" s="362">
        <v>0</v>
      </c>
      <c r="CL56" s="363">
        <v>0</v>
      </c>
      <c r="CM56" s="363">
        <v>0</v>
      </c>
      <c r="CN56" s="363">
        <v>0</v>
      </c>
      <c r="CO56" s="363">
        <v>0</v>
      </c>
      <c r="CP56" s="363">
        <v>0</v>
      </c>
      <c r="CQ56" s="363">
        <v>0</v>
      </c>
      <c r="CR56" s="363">
        <v>0</v>
      </c>
      <c r="CS56" s="363">
        <v>0</v>
      </c>
      <c r="CT56" s="363">
        <v>0</v>
      </c>
      <c r="CU56" s="363">
        <v>0</v>
      </c>
      <c r="CV56" s="363">
        <v>0</v>
      </c>
      <c r="CW56" s="363">
        <v>0</v>
      </c>
      <c r="CX56" s="435">
        <v>0</v>
      </c>
      <c r="CY56" s="435">
        <v>0</v>
      </c>
      <c r="CZ56" s="435">
        <v>0</v>
      </c>
      <c r="DA56" s="435">
        <v>0</v>
      </c>
      <c r="DB56" s="363">
        <v>0</v>
      </c>
      <c r="DC56" s="435">
        <v>0</v>
      </c>
      <c r="DD56" s="435">
        <v>0</v>
      </c>
      <c r="DE56" s="435">
        <v>0</v>
      </c>
      <c r="DF56" s="435">
        <v>0</v>
      </c>
      <c r="DG56" s="363">
        <v>0</v>
      </c>
      <c r="DH56" s="362">
        <v>0</v>
      </c>
      <c r="DI56" s="362">
        <v>0</v>
      </c>
      <c r="DJ56" s="362">
        <v>0</v>
      </c>
      <c r="DK56" s="363">
        <v>0</v>
      </c>
      <c r="DL56" s="363">
        <v>0</v>
      </c>
      <c r="DM56" s="363">
        <v>0</v>
      </c>
      <c r="DN56" s="363">
        <v>0</v>
      </c>
      <c r="DO56" s="363">
        <v>0</v>
      </c>
      <c r="DP56" s="363">
        <v>0</v>
      </c>
      <c r="DQ56" s="363">
        <v>0</v>
      </c>
      <c r="DR56" s="363">
        <v>0</v>
      </c>
      <c r="DS56" s="363">
        <v>0</v>
      </c>
      <c r="DT56" s="363">
        <v>0</v>
      </c>
      <c r="DU56" s="363">
        <v>0</v>
      </c>
      <c r="DV56" s="363">
        <v>0</v>
      </c>
      <c r="DW56" s="435">
        <v>0</v>
      </c>
      <c r="DX56" s="435">
        <v>0</v>
      </c>
      <c r="DY56" s="435">
        <v>0</v>
      </c>
      <c r="DZ56" s="435">
        <v>0</v>
      </c>
      <c r="EA56" s="363">
        <v>0</v>
      </c>
      <c r="EB56" s="435">
        <v>0</v>
      </c>
      <c r="EC56" s="435">
        <v>0</v>
      </c>
      <c r="ED56" s="435">
        <v>0</v>
      </c>
      <c r="EE56" s="435">
        <v>0</v>
      </c>
      <c r="EF56" s="363">
        <v>0</v>
      </c>
      <c r="EG56" s="364">
        <v>2.631647022567235E-2</v>
      </c>
      <c r="EH56" s="364">
        <v>2.664957816573715E-2</v>
      </c>
      <c r="EI56" s="364">
        <v>2.6986902510919456E-2</v>
      </c>
      <c r="EJ56" s="365">
        <v>2.6809475467283593E-2</v>
      </c>
      <c r="EK56" s="365">
        <v>2.6633214928614372E-2</v>
      </c>
      <c r="EL56" s="365">
        <v>2.6548166452731205E-2</v>
      </c>
      <c r="EM56" s="365">
        <v>2.6463389564159952E-2</v>
      </c>
      <c r="EN56" s="365">
        <v>2.6378883395634413E-2</v>
      </c>
      <c r="EO56" s="365">
        <v>2.6294647082657861E-2</v>
      </c>
      <c r="EP56" s="365">
        <v>2.6210679763494182E-2</v>
      </c>
      <c r="EQ56" s="365">
        <v>2.640455931854567E-2</v>
      </c>
      <c r="ER56" s="365">
        <v>2.6599872994429053E-2</v>
      </c>
      <c r="ES56" s="365">
        <v>2.6796631399289991E-2</v>
      </c>
      <c r="ET56" s="365">
        <v>2.6994845219742266E-2</v>
      </c>
      <c r="EU56" s="365">
        <v>2.7194525221448166E-2</v>
      </c>
      <c r="EV56" s="436">
        <v>2.7304141372910658E-2</v>
      </c>
      <c r="EW56" s="436">
        <v>2.7413757524373149E-2</v>
      </c>
      <c r="EX56" s="436">
        <v>2.7523373675835638E-2</v>
      </c>
      <c r="EY56" s="436">
        <v>2.7632989827298129E-2</v>
      </c>
      <c r="EZ56" s="365">
        <v>2.7742605978760621E-2</v>
      </c>
      <c r="FA56" s="436">
        <v>2.7832458824097364E-2</v>
      </c>
      <c r="FB56" s="436">
        <v>2.7922311669434104E-2</v>
      </c>
      <c r="FC56" s="436">
        <v>2.8012164514770847E-2</v>
      </c>
      <c r="FD56" s="436">
        <v>2.8102017360107586E-2</v>
      </c>
      <c r="FE56" s="365">
        <v>2.8191870205444329E-2</v>
      </c>
      <c r="FF56" s="364">
        <v>0</v>
      </c>
      <c r="FG56" s="364">
        <v>0</v>
      </c>
      <c r="FH56" s="364">
        <v>0</v>
      </c>
      <c r="FI56" s="365">
        <v>0</v>
      </c>
      <c r="FJ56" s="365">
        <v>0</v>
      </c>
      <c r="FK56" s="365">
        <v>0</v>
      </c>
      <c r="FL56" s="365">
        <v>0</v>
      </c>
      <c r="FM56" s="365">
        <v>0</v>
      </c>
      <c r="FN56" s="365">
        <v>0</v>
      </c>
      <c r="FO56" s="365">
        <v>0</v>
      </c>
      <c r="FP56" s="365">
        <v>0</v>
      </c>
      <c r="FQ56" s="365">
        <v>0</v>
      </c>
      <c r="FR56" s="365">
        <v>0</v>
      </c>
      <c r="FS56" s="365">
        <v>0</v>
      </c>
      <c r="FT56" s="365">
        <v>0</v>
      </c>
      <c r="FU56" s="436">
        <v>0</v>
      </c>
      <c r="FV56" s="436">
        <v>0</v>
      </c>
      <c r="FW56" s="436">
        <v>0</v>
      </c>
      <c r="FX56" s="436">
        <v>0</v>
      </c>
      <c r="FY56" s="365">
        <v>0</v>
      </c>
      <c r="FZ56" s="436">
        <v>0</v>
      </c>
      <c r="GA56" s="436">
        <v>0</v>
      </c>
      <c r="GB56" s="436">
        <v>0</v>
      </c>
      <c r="GC56" s="436">
        <v>0</v>
      </c>
      <c r="GD56" s="365">
        <v>0</v>
      </c>
    </row>
    <row r="57" spans="1:186" ht="15" x14ac:dyDescent="0.25">
      <c r="A57" s="357">
        <v>128</v>
      </c>
      <c r="B57" s="357">
        <v>79</v>
      </c>
      <c r="C57" s="357" t="s">
        <v>966</v>
      </c>
      <c r="D57" s="2">
        <v>99705</v>
      </c>
      <c r="E57" s="268" t="s">
        <v>19</v>
      </c>
      <c r="F57" s="358" t="s">
        <v>915</v>
      </c>
      <c r="G57" s="49">
        <v>8</v>
      </c>
      <c r="H57" s="49">
        <v>3</v>
      </c>
      <c r="I57" s="49">
        <v>3</v>
      </c>
      <c r="J57" s="49">
        <v>0</v>
      </c>
      <c r="K57" s="49">
        <v>0</v>
      </c>
      <c r="L57" s="49">
        <v>3</v>
      </c>
      <c r="M57" s="49">
        <v>3</v>
      </c>
      <c r="N57" s="49">
        <v>0</v>
      </c>
      <c r="O57" s="49">
        <v>0</v>
      </c>
      <c r="P57" s="49">
        <v>0</v>
      </c>
      <c r="Q57" s="49">
        <v>3</v>
      </c>
      <c r="R57" s="49">
        <v>0</v>
      </c>
      <c r="S57" s="49">
        <v>2121</v>
      </c>
      <c r="T57" s="49">
        <v>2121</v>
      </c>
      <c r="U57" s="49">
        <v>0</v>
      </c>
      <c r="V57" s="49">
        <v>0</v>
      </c>
      <c r="W57" s="49">
        <v>0</v>
      </c>
      <c r="X57" s="49">
        <v>2121</v>
      </c>
      <c r="Y57" s="434">
        <v>6363</v>
      </c>
      <c r="Z57" s="434">
        <v>0</v>
      </c>
      <c r="AA57" s="49">
        <v>0</v>
      </c>
      <c r="AB57" s="49">
        <v>3</v>
      </c>
      <c r="AC57" s="49">
        <v>0</v>
      </c>
      <c r="AD57" s="285">
        <v>0</v>
      </c>
      <c r="AE57" s="285">
        <v>0</v>
      </c>
      <c r="AF57" s="359">
        <v>3</v>
      </c>
      <c r="AG57" s="360">
        <v>0</v>
      </c>
      <c r="AH57" s="360">
        <v>3</v>
      </c>
      <c r="AI57" s="361">
        <v>3</v>
      </c>
      <c r="AJ57" s="360">
        <v>0</v>
      </c>
      <c r="AK57" s="360">
        <v>0</v>
      </c>
      <c r="AL57" s="360">
        <v>2.7844551006625817</v>
      </c>
      <c r="AM57" s="360">
        <v>2.7844551006625817</v>
      </c>
      <c r="AN57" s="360">
        <v>0</v>
      </c>
      <c r="AO57" s="360">
        <v>0</v>
      </c>
      <c r="AP57" s="360">
        <v>2.798736847705618</v>
      </c>
      <c r="AQ57" s="360">
        <v>2.798736847705618</v>
      </c>
      <c r="AR57" s="360">
        <v>0</v>
      </c>
      <c r="AS57" s="360">
        <v>0</v>
      </c>
      <c r="AT57" s="360">
        <v>0</v>
      </c>
      <c r="AU57" s="360">
        <v>2.5843967358686224</v>
      </c>
      <c r="AV57" s="360">
        <v>2.6825615879836038</v>
      </c>
      <c r="AW57" s="360">
        <v>2.7844551006625817</v>
      </c>
      <c r="AX57" s="360">
        <v>2.8902189020881695</v>
      </c>
      <c r="AY57" s="360">
        <v>3</v>
      </c>
      <c r="AZ57" s="360">
        <v>2.6109759809017263</v>
      </c>
      <c r="BA57" s="360">
        <v>2.703226717503358</v>
      </c>
      <c r="BB57" s="360">
        <v>2.798736847705618</v>
      </c>
      <c r="BC57" s="360">
        <v>2.8976215320701999</v>
      </c>
      <c r="BD57" s="360">
        <v>3</v>
      </c>
      <c r="BE57" s="360">
        <v>0</v>
      </c>
      <c r="BF57" s="360">
        <v>0</v>
      </c>
      <c r="BG57" s="360">
        <v>0</v>
      </c>
      <c r="BH57" s="360">
        <v>0</v>
      </c>
      <c r="BI57" s="360">
        <v>0</v>
      </c>
      <c r="BJ57" s="362">
        <v>3.0340808780559456</v>
      </c>
      <c r="BK57" s="362">
        <v>3.0685489248615792</v>
      </c>
      <c r="BL57" s="362">
        <v>3.1034085387672157</v>
      </c>
      <c r="BM57" s="363">
        <v>3.0830049892303628</v>
      </c>
      <c r="BN57" s="363">
        <v>3.0627355840797557</v>
      </c>
      <c r="BO57" s="363">
        <v>3.0529552780161691</v>
      </c>
      <c r="BP57" s="363">
        <v>3.043206203635525</v>
      </c>
      <c r="BQ57" s="363">
        <v>3.0334882612049499</v>
      </c>
      <c r="BR57" s="363">
        <v>3.023801351310051</v>
      </c>
      <c r="BS57" s="363">
        <v>3.0141453748538973</v>
      </c>
      <c r="BT57" s="363">
        <v>3.0364409112310611</v>
      </c>
      <c r="BU57" s="363">
        <v>3.0589013669735921</v>
      </c>
      <c r="BV57" s="363">
        <v>3.0815279619847309</v>
      </c>
      <c r="BW57" s="363">
        <v>3.1043219251913032</v>
      </c>
      <c r="BX57" s="363">
        <v>3.127284494610465</v>
      </c>
      <c r="BY57" s="435">
        <v>3.1398900057578762</v>
      </c>
      <c r="BZ57" s="435">
        <v>3.1524955169052875</v>
      </c>
      <c r="CA57" s="435">
        <v>3.1651010280526988</v>
      </c>
      <c r="CB57" s="435">
        <v>3.17770653920011</v>
      </c>
      <c r="CC57" s="363">
        <v>3.1903120503475213</v>
      </c>
      <c r="CD57" s="435">
        <v>3.2006448437215571</v>
      </c>
      <c r="CE57" s="435">
        <v>3.2109776370955925</v>
      </c>
      <c r="CF57" s="435">
        <v>3.2213104304696283</v>
      </c>
      <c r="CG57" s="435">
        <v>3.2316432238436636</v>
      </c>
      <c r="CH57" s="363">
        <v>3.2419760172176995</v>
      </c>
      <c r="CI57" s="362">
        <v>3.0340808780559456</v>
      </c>
      <c r="CJ57" s="362">
        <v>3.0685489248615792</v>
      </c>
      <c r="CK57" s="362">
        <v>3.1034085387672157</v>
      </c>
      <c r="CL57" s="363">
        <v>3.0830049892303628</v>
      </c>
      <c r="CM57" s="363">
        <v>3.0627355840797557</v>
      </c>
      <c r="CN57" s="363">
        <v>3.0529552780161691</v>
      </c>
      <c r="CO57" s="363">
        <v>3.043206203635525</v>
      </c>
      <c r="CP57" s="363">
        <v>3.0334882612049499</v>
      </c>
      <c r="CQ57" s="363">
        <v>3.023801351310051</v>
      </c>
      <c r="CR57" s="363">
        <v>3.0141453748538973</v>
      </c>
      <c r="CS57" s="363">
        <v>3.0364409112310611</v>
      </c>
      <c r="CT57" s="363">
        <v>3.0589013669735921</v>
      </c>
      <c r="CU57" s="363">
        <v>3.0815279619847309</v>
      </c>
      <c r="CV57" s="363">
        <v>3.1043219251913032</v>
      </c>
      <c r="CW57" s="363">
        <v>3.127284494610465</v>
      </c>
      <c r="CX57" s="435">
        <v>3.1398900057578762</v>
      </c>
      <c r="CY57" s="435">
        <v>3.1524955169052875</v>
      </c>
      <c r="CZ57" s="435">
        <v>3.1651010280526988</v>
      </c>
      <c r="DA57" s="435">
        <v>3.17770653920011</v>
      </c>
      <c r="DB57" s="363">
        <v>3.1903120503475213</v>
      </c>
      <c r="DC57" s="435">
        <v>3.2006448437215571</v>
      </c>
      <c r="DD57" s="435">
        <v>3.2109776370955925</v>
      </c>
      <c r="DE57" s="435">
        <v>3.2213104304696283</v>
      </c>
      <c r="DF57" s="435">
        <v>3.2316432238436636</v>
      </c>
      <c r="DG57" s="363">
        <v>3.2419760172176995</v>
      </c>
      <c r="DH57" s="362">
        <v>0</v>
      </c>
      <c r="DI57" s="362">
        <v>0</v>
      </c>
      <c r="DJ57" s="362">
        <v>0</v>
      </c>
      <c r="DK57" s="363">
        <v>0</v>
      </c>
      <c r="DL57" s="363">
        <v>0</v>
      </c>
      <c r="DM57" s="363">
        <v>0</v>
      </c>
      <c r="DN57" s="363">
        <v>0</v>
      </c>
      <c r="DO57" s="363">
        <v>0</v>
      </c>
      <c r="DP57" s="363">
        <v>0</v>
      </c>
      <c r="DQ57" s="363">
        <v>0</v>
      </c>
      <c r="DR57" s="363">
        <v>0</v>
      </c>
      <c r="DS57" s="363">
        <v>0</v>
      </c>
      <c r="DT57" s="363">
        <v>0</v>
      </c>
      <c r="DU57" s="363">
        <v>0</v>
      </c>
      <c r="DV57" s="363">
        <v>0</v>
      </c>
      <c r="DW57" s="435">
        <v>0</v>
      </c>
      <c r="DX57" s="435">
        <v>0</v>
      </c>
      <c r="DY57" s="435">
        <v>0</v>
      </c>
      <c r="DZ57" s="435">
        <v>0</v>
      </c>
      <c r="EA57" s="363">
        <v>0</v>
      </c>
      <c r="EB57" s="435">
        <v>0</v>
      </c>
      <c r="EC57" s="435">
        <v>0</v>
      </c>
      <c r="ED57" s="435">
        <v>0</v>
      </c>
      <c r="EE57" s="435">
        <v>0</v>
      </c>
      <c r="EF57" s="363">
        <v>0</v>
      </c>
      <c r="EG57" s="364">
        <v>0</v>
      </c>
      <c r="EH57" s="364">
        <v>0</v>
      </c>
      <c r="EI57" s="364">
        <v>0</v>
      </c>
      <c r="EJ57" s="365">
        <v>0</v>
      </c>
      <c r="EK57" s="365">
        <v>0</v>
      </c>
      <c r="EL57" s="365">
        <v>0</v>
      </c>
      <c r="EM57" s="365">
        <v>0</v>
      </c>
      <c r="EN57" s="365">
        <v>0</v>
      </c>
      <c r="EO57" s="365">
        <v>0</v>
      </c>
      <c r="EP57" s="365">
        <v>0</v>
      </c>
      <c r="EQ57" s="365">
        <v>0</v>
      </c>
      <c r="ER57" s="365">
        <v>0</v>
      </c>
      <c r="ES57" s="365">
        <v>0</v>
      </c>
      <c r="ET57" s="365">
        <v>0</v>
      </c>
      <c r="EU57" s="365">
        <v>0</v>
      </c>
      <c r="EV57" s="436">
        <v>0</v>
      </c>
      <c r="EW57" s="436">
        <v>0</v>
      </c>
      <c r="EX57" s="436">
        <v>0</v>
      </c>
      <c r="EY57" s="436">
        <v>0</v>
      </c>
      <c r="EZ57" s="365">
        <v>0</v>
      </c>
      <c r="FA57" s="436">
        <v>0</v>
      </c>
      <c r="FB57" s="436">
        <v>0</v>
      </c>
      <c r="FC57" s="436">
        <v>0</v>
      </c>
      <c r="FD57" s="436">
        <v>0</v>
      </c>
      <c r="FE57" s="365">
        <v>0</v>
      </c>
      <c r="FF57" s="364">
        <v>0</v>
      </c>
      <c r="FG57" s="364">
        <v>0</v>
      </c>
      <c r="FH57" s="364">
        <v>0</v>
      </c>
      <c r="FI57" s="365">
        <v>0</v>
      </c>
      <c r="FJ57" s="365">
        <v>0</v>
      </c>
      <c r="FK57" s="365">
        <v>0</v>
      </c>
      <c r="FL57" s="365">
        <v>0</v>
      </c>
      <c r="FM57" s="365">
        <v>0</v>
      </c>
      <c r="FN57" s="365">
        <v>0</v>
      </c>
      <c r="FO57" s="365">
        <v>0</v>
      </c>
      <c r="FP57" s="365">
        <v>0</v>
      </c>
      <c r="FQ57" s="365">
        <v>0</v>
      </c>
      <c r="FR57" s="365">
        <v>0</v>
      </c>
      <c r="FS57" s="365">
        <v>0</v>
      </c>
      <c r="FT57" s="365">
        <v>0</v>
      </c>
      <c r="FU57" s="436">
        <v>0</v>
      </c>
      <c r="FV57" s="436">
        <v>0</v>
      </c>
      <c r="FW57" s="436">
        <v>0</v>
      </c>
      <c r="FX57" s="436">
        <v>0</v>
      </c>
      <c r="FY57" s="365">
        <v>0</v>
      </c>
      <c r="FZ57" s="436">
        <v>0</v>
      </c>
      <c r="GA57" s="436">
        <v>0</v>
      </c>
      <c r="GB57" s="436">
        <v>0</v>
      </c>
      <c r="GC57" s="436">
        <v>0</v>
      </c>
      <c r="GD57" s="365">
        <v>0</v>
      </c>
    </row>
    <row r="58" spans="1:186" ht="15" x14ac:dyDescent="0.25">
      <c r="A58" s="357">
        <v>129</v>
      </c>
      <c r="B58" s="357">
        <v>79</v>
      </c>
      <c r="C58" s="357" t="s">
        <v>967</v>
      </c>
      <c r="D58" s="2">
        <v>99705</v>
      </c>
      <c r="E58" s="268" t="s">
        <v>19</v>
      </c>
      <c r="F58" s="358" t="s">
        <v>915</v>
      </c>
      <c r="G58" s="49">
        <v>0</v>
      </c>
      <c r="H58" s="49">
        <v>1</v>
      </c>
      <c r="I58" s="49">
        <v>0</v>
      </c>
      <c r="J58" s="49">
        <v>1</v>
      </c>
      <c r="K58" s="49">
        <v>0</v>
      </c>
      <c r="L58" s="49">
        <v>1</v>
      </c>
      <c r="M58" s="49">
        <v>1</v>
      </c>
      <c r="N58" s="49">
        <v>1</v>
      </c>
      <c r="O58" s="49">
        <v>0</v>
      </c>
      <c r="P58" s="49">
        <v>0</v>
      </c>
      <c r="Q58" s="49">
        <v>2</v>
      </c>
      <c r="R58" s="49">
        <v>0</v>
      </c>
      <c r="S58" s="49">
        <v>746</v>
      </c>
      <c r="T58" s="49">
        <v>746</v>
      </c>
      <c r="U58" s="49">
        <v>3300</v>
      </c>
      <c r="V58" s="49">
        <v>0</v>
      </c>
      <c r="W58" s="49">
        <v>0</v>
      </c>
      <c r="X58" s="49">
        <v>2023</v>
      </c>
      <c r="Y58" s="434">
        <v>746</v>
      </c>
      <c r="Z58" s="434">
        <v>3300</v>
      </c>
      <c r="AA58" s="49">
        <v>0</v>
      </c>
      <c r="AB58" s="49">
        <v>1</v>
      </c>
      <c r="AC58" s="49">
        <v>0</v>
      </c>
      <c r="AD58" s="285">
        <v>1</v>
      </c>
      <c r="AE58" s="285">
        <v>0</v>
      </c>
      <c r="AF58" s="359">
        <v>2</v>
      </c>
      <c r="AG58" s="360">
        <v>0</v>
      </c>
      <c r="AH58" s="360">
        <v>0</v>
      </c>
      <c r="AI58" s="361">
        <v>0</v>
      </c>
      <c r="AJ58" s="360">
        <v>0</v>
      </c>
      <c r="AK58" s="360">
        <v>0</v>
      </c>
      <c r="AL58" s="360">
        <v>0.92815170022086046</v>
      </c>
      <c r="AM58" s="360">
        <v>0.92815170022086046</v>
      </c>
      <c r="AN58" s="360">
        <v>0</v>
      </c>
      <c r="AO58" s="360">
        <v>0</v>
      </c>
      <c r="AP58" s="360">
        <v>0</v>
      </c>
      <c r="AQ58" s="360">
        <v>0</v>
      </c>
      <c r="AR58" s="360">
        <v>0</v>
      </c>
      <c r="AS58" s="360">
        <v>0.94010766733490925</v>
      </c>
      <c r="AT58" s="360">
        <v>0</v>
      </c>
      <c r="AU58" s="360">
        <v>0.86146557862287421</v>
      </c>
      <c r="AV58" s="360">
        <v>0.89418719599453456</v>
      </c>
      <c r="AW58" s="360">
        <v>0.92815170022086046</v>
      </c>
      <c r="AX58" s="360">
        <v>0.96340630069605648</v>
      </c>
      <c r="AY58" s="360">
        <v>1</v>
      </c>
      <c r="AZ58" s="360">
        <v>0</v>
      </c>
      <c r="BA58" s="360">
        <v>0</v>
      </c>
      <c r="BB58" s="360">
        <v>0</v>
      </c>
      <c r="BC58" s="360">
        <v>0</v>
      </c>
      <c r="BD58" s="360">
        <v>0</v>
      </c>
      <c r="BE58" s="360">
        <v>0.88380242618188454</v>
      </c>
      <c r="BF58" s="360">
        <v>0.91152039870909352</v>
      </c>
      <c r="BG58" s="360">
        <v>0.94010766733490925</v>
      </c>
      <c r="BH58" s="360">
        <v>0.96959149508177378</v>
      </c>
      <c r="BI58" s="360">
        <v>1</v>
      </c>
      <c r="BJ58" s="362">
        <v>1.0040154582976095</v>
      </c>
      <c r="BK58" s="362">
        <v>1.0080470405005588</v>
      </c>
      <c r="BL58" s="362">
        <v>1.0120948113537176</v>
      </c>
      <c r="BM58" s="363">
        <v>1.0054407320207883</v>
      </c>
      <c r="BN58" s="363">
        <v>0.99883040034002768</v>
      </c>
      <c r="BO58" s="363">
        <v>0.99564081157117701</v>
      </c>
      <c r="BP58" s="363">
        <v>0.99246140819166873</v>
      </c>
      <c r="BQ58" s="363">
        <v>0.98929215767625767</v>
      </c>
      <c r="BR58" s="363">
        <v>0.98613302760356258</v>
      </c>
      <c r="BS58" s="363">
        <v>0.98298398565573408</v>
      </c>
      <c r="BT58" s="363">
        <v>0.99025508657647832</v>
      </c>
      <c r="BU58" s="363">
        <v>0.99757997159683254</v>
      </c>
      <c r="BV58" s="363">
        <v>1.0049590385560516</v>
      </c>
      <c r="BW58" s="363">
        <v>1.0123926882361944</v>
      </c>
      <c r="BX58" s="363">
        <v>1.0198813243838913</v>
      </c>
      <c r="BY58" s="435">
        <v>1.0239922792476761</v>
      </c>
      <c r="BZ58" s="435">
        <v>1.0281032341114609</v>
      </c>
      <c r="CA58" s="435">
        <v>1.0322141889752459</v>
      </c>
      <c r="CB58" s="435">
        <v>1.0363251438390306</v>
      </c>
      <c r="CC58" s="363">
        <v>1.0404360987028154</v>
      </c>
      <c r="CD58" s="435">
        <v>1.0438058666305681</v>
      </c>
      <c r="CE58" s="435">
        <v>1.0471756345583207</v>
      </c>
      <c r="CF58" s="435">
        <v>1.0505454024860732</v>
      </c>
      <c r="CG58" s="435">
        <v>1.0539151704138259</v>
      </c>
      <c r="CH58" s="363">
        <v>1.0572849383415786</v>
      </c>
      <c r="CI58" s="362">
        <v>0</v>
      </c>
      <c r="CJ58" s="362">
        <v>0</v>
      </c>
      <c r="CK58" s="362">
        <v>0</v>
      </c>
      <c r="CL58" s="363">
        <v>0</v>
      </c>
      <c r="CM58" s="363">
        <v>0</v>
      </c>
      <c r="CN58" s="363">
        <v>0</v>
      </c>
      <c r="CO58" s="363">
        <v>0</v>
      </c>
      <c r="CP58" s="363">
        <v>0</v>
      </c>
      <c r="CQ58" s="363">
        <v>0</v>
      </c>
      <c r="CR58" s="363">
        <v>0</v>
      </c>
      <c r="CS58" s="363">
        <v>0</v>
      </c>
      <c r="CT58" s="363">
        <v>0</v>
      </c>
      <c r="CU58" s="363">
        <v>0</v>
      </c>
      <c r="CV58" s="363">
        <v>0</v>
      </c>
      <c r="CW58" s="363">
        <v>0</v>
      </c>
      <c r="CX58" s="435">
        <v>0</v>
      </c>
      <c r="CY58" s="435">
        <v>0</v>
      </c>
      <c r="CZ58" s="435">
        <v>0</v>
      </c>
      <c r="DA58" s="435">
        <v>0</v>
      </c>
      <c r="DB58" s="363">
        <v>0</v>
      </c>
      <c r="DC58" s="435">
        <v>0</v>
      </c>
      <c r="DD58" s="435">
        <v>0</v>
      </c>
      <c r="DE58" s="435">
        <v>0</v>
      </c>
      <c r="DF58" s="435">
        <v>0</v>
      </c>
      <c r="DG58" s="363">
        <v>0</v>
      </c>
      <c r="DH58" s="362">
        <v>1.0040154582976095</v>
      </c>
      <c r="DI58" s="362">
        <v>1.0080470405005588</v>
      </c>
      <c r="DJ58" s="362">
        <v>1.0120948113537176</v>
      </c>
      <c r="DK58" s="363">
        <v>1.0054407320207883</v>
      </c>
      <c r="DL58" s="363">
        <v>0.99883040034002768</v>
      </c>
      <c r="DM58" s="363">
        <v>0.99564081157117701</v>
      </c>
      <c r="DN58" s="363">
        <v>0.99246140819166873</v>
      </c>
      <c r="DO58" s="363">
        <v>0.98929215767625767</v>
      </c>
      <c r="DP58" s="363">
        <v>0.98613302760356258</v>
      </c>
      <c r="DQ58" s="363">
        <v>0.98298398565573408</v>
      </c>
      <c r="DR58" s="363">
        <v>0.99025508657647832</v>
      </c>
      <c r="DS58" s="363">
        <v>0.99757997159683254</v>
      </c>
      <c r="DT58" s="363">
        <v>1.0049590385560516</v>
      </c>
      <c r="DU58" s="363">
        <v>1.0123926882361944</v>
      </c>
      <c r="DV58" s="363">
        <v>1.0198813243838913</v>
      </c>
      <c r="DW58" s="435">
        <v>1.0239922792476761</v>
      </c>
      <c r="DX58" s="435">
        <v>1.0281032341114609</v>
      </c>
      <c r="DY58" s="435">
        <v>1.0322141889752459</v>
      </c>
      <c r="DZ58" s="435">
        <v>1.0363251438390306</v>
      </c>
      <c r="EA58" s="363">
        <v>1.0404360987028154</v>
      </c>
      <c r="EB58" s="435">
        <v>1.0438058666305681</v>
      </c>
      <c r="EC58" s="435">
        <v>1.0471756345583207</v>
      </c>
      <c r="ED58" s="435">
        <v>1.0505454024860732</v>
      </c>
      <c r="EE58" s="435">
        <v>1.0539151704138259</v>
      </c>
      <c r="EF58" s="363">
        <v>1.0572849383415786</v>
      </c>
      <c r="EG58" s="364">
        <v>0</v>
      </c>
      <c r="EH58" s="364">
        <v>0</v>
      </c>
      <c r="EI58" s="364">
        <v>0</v>
      </c>
      <c r="EJ58" s="365">
        <v>0</v>
      </c>
      <c r="EK58" s="365">
        <v>0</v>
      </c>
      <c r="EL58" s="365">
        <v>0</v>
      </c>
      <c r="EM58" s="365">
        <v>0</v>
      </c>
      <c r="EN58" s="365">
        <v>0</v>
      </c>
      <c r="EO58" s="365">
        <v>0</v>
      </c>
      <c r="EP58" s="365">
        <v>0</v>
      </c>
      <c r="EQ58" s="365">
        <v>0</v>
      </c>
      <c r="ER58" s="365">
        <v>0</v>
      </c>
      <c r="ES58" s="365">
        <v>0</v>
      </c>
      <c r="ET58" s="365">
        <v>0</v>
      </c>
      <c r="EU58" s="365">
        <v>0</v>
      </c>
      <c r="EV58" s="436">
        <v>0</v>
      </c>
      <c r="EW58" s="436">
        <v>0</v>
      </c>
      <c r="EX58" s="436">
        <v>0</v>
      </c>
      <c r="EY58" s="436">
        <v>0</v>
      </c>
      <c r="EZ58" s="365">
        <v>0</v>
      </c>
      <c r="FA58" s="436">
        <v>0</v>
      </c>
      <c r="FB58" s="436">
        <v>0</v>
      </c>
      <c r="FC58" s="436">
        <v>0</v>
      </c>
      <c r="FD58" s="436">
        <v>0</v>
      </c>
      <c r="FE58" s="365">
        <v>0</v>
      </c>
      <c r="FF58" s="364">
        <v>0</v>
      </c>
      <c r="FG58" s="364">
        <v>0</v>
      </c>
      <c r="FH58" s="364">
        <v>0</v>
      </c>
      <c r="FI58" s="365">
        <v>0</v>
      </c>
      <c r="FJ58" s="365">
        <v>0</v>
      </c>
      <c r="FK58" s="365">
        <v>0</v>
      </c>
      <c r="FL58" s="365">
        <v>0</v>
      </c>
      <c r="FM58" s="365">
        <v>0</v>
      </c>
      <c r="FN58" s="365">
        <v>0</v>
      </c>
      <c r="FO58" s="365">
        <v>0</v>
      </c>
      <c r="FP58" s="365">
        <v>0</v>
      </c>
      <c r="FQ58" s="365">
        <v>0</v>
      </c>
      <c r="FR58" s="365">
        <v>0</v>
      </c>
      <c r="FS58" s="365">
        <v>0</v>
      </c>
      <c r="FT58" s="365">
        <v>0</v>
      </c>
      <c r="FU58" s="436">
        <v>0</v>
      </c>
      <c r="FV58" s="436">
        <v>0</v>
      </c>
      <c r="FW58" s="436">
        <v>0</v>
      </c>
      <c r="FX58" s="436">
        <v>0</v>
      </c>
      <c r="FY58" s="365">
        <v>0</v>
      </c>
      <c r="FZ58" s="436">
        <v>0</v>
      </c>
      <c r="GA58" s="436">
        <v>0</v>
      </c>
      <c r="GB58" s="436">
        <v>0</v>
      </c>
      <c r="GC58" s="436">
        <v>0</v>
      </c>
      <c r="GD58" s="365">
        <v>0</v>
      </c>
    </row>
    <row r="59" spans="1:186" ht="15" x14ac:dyDescent="0.25">
      <c r="A59" s="357">
        <v>128</v>
      </c>
      <c r="B59" s="357">
        <v>80</v>
      </c>
      <c r="C59" s="357" t="s">
        <v>968</v>
      </c>
      <c r="D59" s="2">
        <v>99705</v>
      </c>
      <c r="E59" s="268" t="s">
        <v>19</v>
      </c>
      <c r="F59" s="358" t="s">
        <v>915</v>
      </c>
      <c r="G59" s="49">
        <v>7</v>
      </c>
      <c r="H59" s="49">
        <v>2</v>
      </c>
      <c r="I59" s="49">
        <v>2</v>
      </c>
      <c r="J59" s="49">
        <v>0</v>
      </c>
      <c r="K59" s="49">
        <v>0</v>
      </c>
      <c r="L59" s="49">
        <v>16</v>
      </c>
      <c r="M59" s="49">
        <v>16</v>
      </c>
      <c r="N59" s="49">
        <v>0</v>
      </c>
      <c r="O59" s="49">
        <v>0</v>
      </c>
      <c r="P59" s="49">
        <v>0</v>
      </c>
      <c r="Q59" s="49">
        <v>16</v>
      </c>
      <c r="R59" s="49">
        <v>0</v>
      </c>
      <c r="S59" s="49">
        <v>2430.4375</v>
      </c>
      <c r="T59" s="49">
        <v>2430.4375</v>
      </c>
      <c r="U59" s="49">
        <v>0</v>
      </c>
      <c r="V59" s="49">
        <v>0</v>
      </c>
      <c r="W59" s="49">
        <v>0</v>
      </c>
      <c r="X59" s="49">
        <v>2430.4375</v>
      </c>
      <c r="Y59" s="434">
        <v>38887</v>
      </c>
      <c r="Z59" s="434">
        <v>0</v>
      </c>
      <c r="AA59" s="49">
        <v>0</v>
      </c>
      <c r="AB59" s="49">
        <v>2</v>
      </c>
      <c r="AC59" s="49">
        <v>0</v>
      </c>
      <c r="AD59" s="285">
        <v>0</v>
      </c>
      <c r="AE59" s="285">
        <v>0</v>
      </c>
      <c r="AF59" s="359">
        <v>2</v>
      </c>
      <c r="AG59" s="360">
        <v>0</v>
      </c>
      <c r="AH59" s="360">
        <v>2</v>
      </c>
      <c r="AI59" s="361">
        <v>2</v>
      </c>
      <c r="AJ59" s="360">
        <v>0</v>
      </c>
      <c r="AK59" s="360">
        <v>0</v>
      </c>
      <c r="AL59" s="360">
        <v>1.8563034004417209</v>
      </c>
      <c r="AM59" s="360">
        <v>1.8563034004417209</v>
      </c>
      <c r="AN59" s="360">
        <v>0</v>
      </c>
      <c r="AO59" s="360">
        <v>0</v>
      </c>
      <c r="AP59" s="360">
        <v>1.8658245651370786</v>
      </c>
      <c r="AQ59" s="360">
        <v>1.8658245651370786</v>
      </c>
      <c r="AR59" s="360">
        <v>0</v>
      </c>
      <c r="AS59" s="360">
        <v>0</v>
      </c>
      <c r="AT59" s="360">
        <v>0</v>
      </c>
      <c r="AU59" s="360">
        <v>1.7229311572457484</v>
      </c>
      <c r="AV59" s="360">
        <v>1.7883743919890691</v>
      </c>
      <c r="AW59" s="360">
        <v>1.8563034004417209</v>
      </c>
      <c r="AX59" s="360">
        <v>1.926812601392113</v>
      </c>
      <c r="AY59" s="360">
        <v>2</v>
      </c>
      <c r="AZ59" s="360">
        <v>1.7406506539344841</v>
      </c>
      <c r="BA59" s="360">
        <v>1.8021511450022387</v>
      </c>
      <c r="BB59" s="360">
        <v>1.8658245651370786</v>
      </c>
      <c r="BC59" s="360">
        <v>1.9317476880468001</v>
      </c>
      <c r="BD59" s="360">
        <v>2</v>
      </c>
      <c r="BE59" s="360">
        <v>0</v>
      </c>
      <c r="BF59" s="360">
        <v>0</v>
      </c>
      <c r="BG59" s="360">
        <v>0</v>
      </c>
      <c r="BH59" s="360">
        <v>0</v>
      </c>
      <c r="BI59" s="360">
        <v>0</v>
      </c>
      <c r="BJ59" s="362">
        <v>2.0227205853706303</v>
      </c>
      <c r="BK59" s="362">
        <v>2.0456992832410528</v>
      </c>
      <c r="BL59" s="362">
        <v>2.0689390258448106</v>
      </c>
      <c r="BM59" s="363">
        <v>2.0553366594869087</v>
      </c>
      <c r="BN59" s="363">
        <v>2.0418237227198373</v>
      </c>
      <c r="BO59" s="363">
        <v>2.0353035186774462</v>
      </c>
      <c r="BP59" s="363">
        <v>2.0288041357570168</v>
      </c>
      <c r="BQ59" s="363">
        <v>2.0223255074699669</v>
      </c>
      <c r="BR59" s="363">
        <v>2.0158675675400342</v>
      </c>
      <c r="BS59" s="363">
        <v>2.0094302499025982</v>
      </c>
      <c r="BT59" s="363">
        <v>2.0242939408207077</v>
      </c>
      <c r="BU59" s="363">
        <v>2.039267577982395</v>
      </c>
      <c r="BV59" s="363">
        <v>2.0543519746564871</v>
      </c>
      <c r="BW59" s="363">
        <v>2.0695479501275358</v>
      </c>
      <c r="BX59" s="363">
        <v>2.0848563297403104</v>
      </c>
      <c r="BY59" s="435">
        <v>2.0932600038385845</v>
      </c>
      <c r="BZ59" s="435">
        <v>2.1016636779368585</v>
      </c>
      <c r="CA59" s="435">
        <v>2.110067352035133</v>
      </c>
      <c r="CB59" s="435">
        <v>2.118471026133407</v>
      </c>
      <c r="CC59" s="363">
        <v>2.126874700231681</v>
      </c>
      <c r="CD59" s="435">
        <v>2.1337632291477049</v>
      </c>
      <c r="CE59" s="435">
        <v>2.1406517580637283</v>
      </c>
      <c r="CF59" s="435">
        <v>2.1475402869797522</v>
      </c>
      <c r="CG59" s="435">
        <v>2.1544288158957756</v>
      </c>
      <c r="CH59" s="363">
        <v>2.1613173448117995</v>
      </c>
      <c r="CI59" s="362">
        <v>2.0227205853706303</v>
      </c>
      <c r="CJ59" s="362">
        <v>2.0456992832410528</v>
      </c>
      <c r="CK59" s="362">
        <v>2.0689390258448106</v>
      </c>
      <c r="CL59" s="363">
        <v>2.0553366594869087</v>
      </c>
      <c r="CM59" s="363">
        <v>2.0418237227198373</v>
      </c>
      <c r="CN59" s="363">
        <v>2.0353035186774462</v>
      </c>
      <c r="CO59" s="363">
        <v>2.0288041357570168</v>
      </c>
      <c r="CP59" s="363">
        <v>2.0223255074699669</v>
      </c>
      <c r="CQ59" s="363">
        <v>2.0158675675400342</v>
      </c>
      <c r="CR59" s="363">
        <v>2.0094302499025982</v>
      </c>
      <c r="CS59" s="363">
        <v>2.0242939408207077</v>
      </c>
      <c r="CT59" s="363">
        <v>2.039267577982395</v>
      </c>
      <c r="CU59" s="363">
        <v>2.0543519746564871</v>
      </c>
      <c r="CV59" s="363">
        <v>2.0695479501275358</v>
      </c>
      <c r="CW59" s="363">
        <v>2.0848563297403104</v>
      </c>
      <c r="CX59" s="435">
        <v>2.0932600038385845</v>
      </c>
      <c r="CY59" s="435">
        <v>2.1016636779368585</v>
      </c>
      <c r="CZ59" s="435">
        <v>2.110067352035133</v>
      </c>
      <c r="DA59" s="435">
        <v>2.118471026133407</v>
      </c>
      <c r="DB59" s="363">
        <v>2.126874700231681</v>
      </c>
      <c r="DC59" s="435">
        <v>2.1337632291477049</v>
      </c>
      <c r="DD59" s="435">
        <v>2.1406517580637283</v>
      </c>
      <c r="DE59" s="435">
        <v>2.1475402869797522</v>
      </c>
      <c r="DF59" s="435">
        <v>2.1544288158957756</v>
      </c>
      <c r="DG59" s="363">
        <v>2.1613173448117995</v>
      </c>
      <c r="DH59" s="362">
        <v>0</v>
      </c>
      <c r="DI59" s="362">
        <v>0</v>
      </c>
      <c r="DJ59" s="362">
        <v>0</v>
      </c>
      <c r="DK59" s="363">
        <v>0</v>
      </c>
      <c r="DL59" s="363">
        <v>0</v>
      </c>
      <c r="DM59" s="363">
        <v>0</v>
      </c>
      <c r="DN59" s="363">
        <v>0</v>
      </c>
      <c r="DO59" s="363">
        <v>0</v>
      </c>
      <c r="DP59" s="363">
        <v>0</v>
      </c>
      <c r="DQ59" s="363">
        <v>0</v>
      </c>
      <c r="DR59" s="363">
        <v>0</v>
      </c>
      <c r="DS59" s="363">
        <v>0</v>
      </c>
      <c r="DT59" s="363">
        <v>0</v>
      </c>
      <c r="DU59" s="363">
        <v>0</v>
      </c>
      <c r="DV59" s="363">
        <v>0</v>
      </c>
      <c r="DW59" s="435">
        <v>0</v>
      </c>
      <c r="DX59" s="435">
        <v>0</v>
      </c>
      <c r="DY59" s="435">
        <v>0</v>
      </c>
      <c r="DZ59" s="435">
        <v>0</v>
      </c>
      <c r="EA59" s="363">
        <v>0</v>
      </c>
      <c r="EB59" s="435">
        <v>0</v>
      </c>
      <c r="EC59" s="435">
        <v>0</v>
      </c>
      <c r="ED59" s="435">
        <v>0</v>
      </c>
      <c r="EE59" s="435">
        <v>0</v>
      </c>
      <c r="EF59" s="363">
        <v>0</v>
      </c>
      <c r="EG59" s="364">
        <v>0</v>
      </c>
      <c r="EH59" s="364">
        <v>0</v>
      </c>
      <c r="EI59" s="364">
        <v>0</v>
      </c>
      <c r="EJ59" s="365">
        <v>0</v>
      </c>
      <c r="EK59" s="365">
        <v>0</v>
      </c>
      <c r="EL59" s="365">
        <v>0</v>
      </c>
      <c r="EM59" s="365">
        <v>0</v>
      </c>
      <c r="EN59" s="365">
        <v>0</v>
      </c>
      <c r="EO59" s="365">
        <v>0</v>
      </c>
      <c r="EP59" s="365">
        <v>0</v>
      </c>
      <c r="EQ59" s="365">
        <v>0</v>
      </c>
      <c r="ER59" s="365">
        <v>0</v>
      </c>
      <c r="ES59" s="365">
        <v>0</v>
      </c>
      <c r="ET59" s="365">
        <v>0</v>
      </c>
      <c r="EU59" s="365">
        <v>0</v>
      </c>
      <c r="EV59" s="436">
        <v>0</v>
      </c>
      <c r="EW59" s="436">
        <v>0</v>
      </c>
      <c r="EX59" s="436">
        <v>0</v>
      </c>
      <c r="EY59" s="436">
        <v>0</v>
      </c>
      <c r="EZ59" s="365">
        <v>0</v>
      </c>
      <c r="FA59" s="436">
        <v>0</v>
      </c>
      <c r="FB59" s="436">
        <v>0</v>
      </c>
      <c r="FC59" s="436">
        <v>0</v>
      </c>
      <c r="FD59" s="436">
        <v>0</v>
      </c>
      <c r="FE59" s="365">
        <v>0</v>
      </c>
      <c r="FF59" s="364">
        <v>0</v>
      </c>
      <c r="FG59" s="364">
        <v>0</v>
      </c>
      <c r="FH59" s="364">
        <v>0</v>
      </c>
      <c r="FI59" s="365">
        <v>0</v>
      </c>
      <c r="FJ59" s="365">
        <v>0</v>
      </c>
      <c r="FK59" s="365">
        <v>0</v>
      </c>
      <c r="FL59" s="365">
        <v>0</v>
      </c>
      <c r="FM59" s="365">
        <v>0</v>
      </c>
      <c r="FN59" s="365">
        <v>0</v>
      </c>
      <c r="FO59" s="365">
        <v>0</v>
      </c>
      <c r="FP59" s="365">
        <v>0</v>
      </c>
      <c r="FQ59" s="365">
        <v>0</v>
      </c>
      <c r="FR59" s="365">
        <v>0</v>
      </c>
      <c r="FS59" s="365">
        <v>0</v>
      </c>
      <c r="FT59" s="365">
        <v>0</v>
      </c>
      <c r="FU59" s="436">
        <v>0</v>
      </c>
      <c r="FV59" s="436">
        <v>0</v>
      </c>
      <c r="FW59" s="436">
        <v>0</v>
      </c>
      <c r="FX59" s="436">
        <v>0</v>
      </c>
      <c r="FY59" s="365">
        <v>0</v>
      </c>
      <c r="FZ59" s="436">
        <v>0</v>
      </c>
      <c r="GA59" s="436">
        <v>0</v>
      </c>
      <c r="GB59" s="436">
        <v>0</v>
      </c>
      <c r="GC59" s="436">
        <v>0</v>
      </c>
      <c r="GD59" s="365">
        <v>0</v>
      </c>
    </row>
    <row r="60" spans="1:186" ht="15" x14ac:dyDescent="0.25">
      <c r="A60" s="357">
        <v>129</v>
      </c>
      <c r="B60" s="357">
        <v>80</v>
      </c>
      <c r="C60" s="357" t="s">
        <v>969</v>
      </c>
      <c r="D60" s="2">
        <v>99705</v>
      </c>
      <c r="E60" s="268" t="s">
        <v>19</v>
      </c>
      <c r="F60" s="358" t="s">
        <v>915</v>
      </c>
      <c r="G60" s="49">
        <v>6</v>
      </c>
      <c r="H60" s="49">
        <v>3</v>
      </c>
      <c r="I60" s="49">
        <v>3</v>
      </c>
      <c r="J60" s="49">
        <v>0</v>
      </c>
      <c r="K60" s="49">
        <v>0</v>
      </c>
      <c r="L60" s="49">
        <v>0</v>
      </c>
      <c r="M60" s="49">
        <v>0</v>
      </c>
      <c r="N60" s="49">
        <v>1</v>
      </c>
      <c r="O60" s="49">
        <v>0</v>
      </c>
      <c r="P60" s="49">
        <v>0</v>
      </c>
      <c r="Q60" s="49">
        <v>1</v>
      </c>
      <c r="R60" s="49">
        <v>0</v>
      </c>
      <c r="S60" s="49">
        <v>0</v>
      </c>
      <c r="T60" s="49">
        <v>0</v>
      </c>
      <c r="U60" s="49">
        <v>6176</v>
      </c>
      <c r="V60" s="49">
        <v>0</v>
      </c>
      <c r="W60" s="49">
        <v>0</v>
      </c>
      <c r="X60" s="49">
        <v>6176</v>
      </c>
      <c r="Y60" s="434">
        <v>0</v>
      </c>
      <c r="Z60" s="434">
        <v>6176</v>
      </c>
      <c r="AA60" s="49">
        <v>6.8737006237006237E-2</v>
      </c>
      <c r="AB60" s="49">
        <v>2.9273648648648649</v>
      </c>
      <c r="AC60" s="49">
        <v>3.8981288981288983E-3</v>
      </c>
      <c r="AD60" s="285">
        <v>1</v>
      </c>
      <c r="AE60" s="285">
        <v>0</v>
      </c>
      <c r="AF60" s="359">
        <v>4</v>
      </c>
      <c r="AG60" s="360">
        <v>6.8737006237006237E-2</v>
      </c>
      <c r="AH60" s="360">
        <v>2.9273648648648649</v>
      </c>
      <c r="AI60" s="361">
        <v>2.996101871101871</v>
      </c>
      <c r="AJ60" s="360">
        <v>3.8981288981288983E-3</v>
      </c>
      <c r="AK60" s="360">
        <v>6.3798369206969227E-2</v>
      </c>
      <c r="AL60" s="360">
        <v>2.7170386764911338</v>
      </c>
      <c r="AM60" s="360">
        <v>2.7808370456981031</v>
      </c>
      <c r="AN60" s="360">
        <v>3.6180549644784068E-3</v>
      </c>
      <c r="AO60" s="360">
        <v>6.4125597385493407E-2</v>
      </c>
      <c r="AP60" s="360">
        <v>2.7309746379920248</v>
      </c>
      <c r="AQ60" s="360">
        <v>2.7951002353775181</v>
      </c>
      <c r="AR60" s="360">
        <v>3.6366123280998155E-3</v>
      </c>
      <c r="AS60" s="360">
        <v>0.94010766733490925</v>
      </c>
      <c r="AT60" s="360">
        <v>0</v>
      </c>
      <c r="AU60" s="360">
        <v>2.5810386320018495</v>
      </c>
      <c r="AV60" s="360">
        <v>2.6790759310345602</v>
      </c>
      <c r="AW60" s="360">
        <v>2.7808370456981031</v>
      </c>
      <c r="AX60" s="360">
        <v>2.8864634201467867</v>
      </c>
      <c r="AY60" s="360">
        <v>2.996101871101871</v>
      </c>
      <c r="AZ60" s="360">
        <v>2.6075833405939015</v>
      </c>
      <c r="BA60" s="360">
        <v>2.6997142087747932</v>
      </c>
      <c r="BB60" s="360">
        <v>2.7951002353775181</v>
      </c>
      <c r="BC60" s="360">
        <v>2.8938564313268653</v>
      </c>
      <c r="BD60" s="360">
        <v>2.996101871101871</v>
      </c>
      <c r="BE60" s="360">
        <v>0.88380242618188454</v>
      </c>
      <c r="BF60" s="360">
        <v>0.91152039870909352</v>
      </c>
      <c r="BG60" s="360">
        <v>0.94010766733490925</v>
      </c>
      <c r="BH60" s="360">
        <v>0.96959149508177378</v>
      </c>
      <c r="BI60" s="360">
        <v>1</v>
      </c>
      <c r="BJ60" s="362">
        <v>3.0081325932206706</v>
      </c>
      <c r="BK60" s="362">
        <v>3.0202116242024277</v>
      </c>
      <c r="BL60" s="362">
        <v>3.0323391580293686</v>
      </c>
      <c r="BM60" s="363">
        <v>3.0124028584895188</v>
      </c>
      <c r="BN60" s="363">
        <v>2.9925976313721878</v>
      </c>
      <c r="BO60" s="363">
        <v>2.9830412984937889</v>
      </c>
      <c r="BP60" s="363">
        <v>2.9735154820794567</v>
      </c>
      <c r="BQ60" s="363">
        <v>2.9640200846802429</v>
      </c>
      <c r="BR60" s="363">
        <v>2.954555009158387</v>
      </c>
      <c r="BS60" s="363">
        <v>2.9451201586863198</v>
      </c>
      <c r="BT60" s="363">
        <v>2.9669051177599322</v>
      </c>
      <c r="BU60" s="363">
        <v>2.9888512194750216</v>
      </c>
      <c r="BV60" s="363">
        <v>3.0109596557985236</v>
      </c>
      <c r="BW60" s="363">
        <v>3.0332316275143154</v>
      </c>
      <c r="BX60" s="363">
        <v>3.0556683442884309</v>
      </c>
      <c r="BY60" s="435">
        <v>3.0679851838478318</v>
      </c>
      <c r="BZ60" s="435">
        <v>3.0803020234072327</v>
      </c>
      <c r="CA60" s="435">
        <v>3.092618862966634</v>
      </c>
      <c r="CB60" s="435">
        <v>3.1049357025260349</v>
      </c>
      <c r="CC60" s="363">
        <v>3.1172525420854358</v>
      </c>
      <c r="CD60" s="435">
        <v>3.1273487100789548</v>
      </c>
      <c r="CE60" s="435">
        <v>3.1374448780724737</v>
      </c>
      <c r="CF60" s="435">
        <v>3.1475410460659923</v>
      </c>
      <c r="CG60" s="435">
        <v>3.1576372140595113</v>
      </c>
      <c r="CH60" s="363">
        <v>3.1677333820530302</v>
      </c>
      <c r="CI60" s="362">
        <v>3.0081325932206706</v>
      </c>
      <c r="CJ60" s="362">
        <v>3.0202116242024277</v>
      </c>
      <c r="CK60" s="362">
        <v>3.0323391580293686</v>
      </c>
      <c r="CL60" s="363">
        <v>3.0124028584895188</v>
      </c>
      <c r="CM60" s="363">
        <v>2.9925976313721878</v>
      </c>
      <c r="CN60" s="363">
        <v>2.9830412984937889</v>
      </c>
      <c r="CO60" s="363">
        <v>2.9735154820794567</v>
      </c>
      <c r="CP60" s="363">
        <v>2.9640200846802429</v>
      </c>
      <c r="CQ60" s="363">
        <v>2.954555009158387</v>
      </c>
      <c r="CR60" s="363">
        <v>2.9451201586863198</v>
      </c>
      <c r="CS60" s="363">
        <v>2.9669051177599322</v>
      </c>
      <c r="CT60" s="363">
        <v>2.9888512194750216</v>
      </c>
      <c r="CU60" s="363">
        <v>3.0109596557985236</v>
      </c>
      <c r="CV60" s="363">
        <v>3.0332316275143154</v>
      </c>
      <c r="CW60" s="363">
        <v>3.0556683442884309</v>
      </c>
      <c r="CX60" s="435">
        <v>3.0679851838478318</v>
      </c>
      <c r="CY60" s="435">
        <v>3.0803020234072327</v>
      </c>
      <c r="CZ60" s="435">
        <v>3.092618862966634</v>
      </c>
      <c r="DA60" s="435">
        <v>3.1049357025260349</v>
      </c>
      <c r="DB60" s="363">
        <v>3.1172525420854358</v>
      </c>
      <c r="DC60" s="435">
        <v>3.1273487100789548</v>
      </c>
      <c r="DD60" s="435">
        <v>3.1374448780724737</v>
      </c>
      <c r="DE60" s="435">
        <v>3.1475410460659923</v>
      </c>
      <c r="DF60" s="435">
        <v>3.1576372140595113</v>
      </c>
      <c r="DG60" s="363">
        <v>3.1677333820530302</v>
      </c>
      <c r="DH60" s="362">
        <v>1.0040154582976095</v>
      </c>
      <c r="DI60" s="362">
        <v>1.0080470405005588</v>
      </c>
      <c r="DJ60" s="362">
        <v>1.0120948113537176</v>
      </c>
      <c r="DK60" s="363">
        <v>1.0054407320207883</v>
      </c>
      <c r="DL60" s="363">
        <v>0.99883040034002768</v>
      </c>
      <c r="DM60" s="363">
        <v>0.99564081157117701</v>
      </c>
      <c r="DN60" s="363">
        <v>0.99246140819166873</v>
      </c>
      <c r="DO60" s="363">
        <v>0.98929215767625767</v>
      </c>
      <c r="DP60" s="363">
        <v>0.98613302760356258</v>
      </c>
      <c r="DQ60" s="363">
        <v>0.98298398565573408</v>
      </c>
      <c r="DR60" s="363">
        <v>0.99025508657647832</v>
      </c>
      <c r="DS60" s="363">
        <v>0.99757997159683254</v>
      </c>
      <c r="DT60" s="363">
        <v>1.0049590385560516</v>
      </c>
      <c r="DU60" s="363">
        <v>1.0123926882361944</v>
      </c>
      <c r="DV60" s="363">
        <v>1.0198813243838913</v>
      </c>
      <c r="DW60" s="435">
        <v>1.0239922792476761</v>
      </c>
      <c r="DX60" s="435">
        <v>1.0281032341114609</v>
      </c>
      <c r="DY60" s="435">
        <v>1.0322141889752459</v>
      </c>
      <c r="DZ60" s="435">
        <v>1.0363251438390306</v>
      </c>
      <c r="EA60" s="363">
        <v>1.0404360987028154</v>
      </c>
      <c r="EB60" s="435">
        <v>1.0438058666305681</v>
      </c>
      <c r="EC60" s="435">
        <v>1.0471756345583207</v>
      </c>
      <c r="ED60" s="435">
        <v>1.0505454024860732</v>
      </c>
      <c r="EE60" s="435">
        <v>1.0539151704138259</v>
      </c>
      <c r="EF60" s="363">
        <v>1.0572849383415786</v>
      </c>
      <c r="EG60" s="364">
        <v>3.9137816721580418E-3</v>
      </c>
      <c r="EH60" s="364">
        <v>3.9294972992485406E-3</v>
      </c>
      <c r="EI60" s="364">
        <v>3.9452760317842421E-3</v>
      </c>
      <c r="EJ60" s="365">
        <v>3.9193375728461084E-3</v>
      </c>
      <c r="EK60" s="365">
        <v>3.8935696478951181E-3</v>
      </c>
      <c r="EL60" s="365">
        <v>3.8811362197421141E-3</v>
      </c>
      <c r="EM60" s="365">
        <v>3.868742495549644E-3</v>
      </c>
      <c r="EN60" s="365">
        <v>3.8563883485301102E-3</v>
      </c>
      <c r="EO60" s="365">
        <v>3.8440736523007893E-3</v>
      </c>
      <c r="EP60" s="365">
        <v>3.8317982808825394E-3</v>
      </c>
      <c r="EQ60" s="365">
        <v>3.8601419695029038E-3</v>
      </c>
      <c r="ER60" s="365">
        <v>3.8886953154762182E-3</v>
      </c>
      <c r="ES60" s="365">
        <v>3.9174598696311777E-3</v>
      </c>
      <c r="ET60" s="365">
        <v>3.9464371942679096E-3</v>
      </c>
      <c r="EU60" s="365">
        <v>3.9756288632428194E-3</v>
      </c>
      <c r="EV60" s="436">
        <v>3.9916538951962422E-3</v>
      </c>
      <c r="EW60" s="436">
        <v>4.0076789271496658E-3</v>
      </c>
      <c r="EX60" s="436">
        <v>4.0237039591030886E-3</v>
      </c>
      <c r="EY60" s="436">
        <v>4.0397289910565123E-3</v>
      </c>
      <c r="EZ60" s="365">
        <v>4.0557540230099351E-3</v>
      </c>
      <c r="FA60" s="436">
        <v>4.0688898127490955E-3</v>
      </c>
      <c r="FB60" s="436">
        <v>4.0820256024882559E-3</v>
      </c>
      <c r="FC60" s="436">
        <v>4.0951613922274172E-3</v>
      </c>
      <c r="FD60" s="436">
        <v>4.1082971819665776E-3</v>
      </c>
      <c r="FE60" s="365">
        <v>4.121432971705738E-3</v>
      </c>
      <c r="FF60" s="364">
        <v>0</v>
      </c>
      <c r="FG60" s="364">
        <v>0</v>
      </c>
      <c r="FH60" s="364">
        <v>0</v>
      </c>
      <c r="FI60" s="365">
        <v>0</v>
      </c>
      <c r="FJ60" s="365">
        <v>0</v>
      </c>
      <c r="FK60" s="365">
        <v>0</v>
      </c>
      <c r="FL60" s="365">
        <v>0</v>
      </c>
      <c r="FM60" s="365">
        <v>0</v>
      </c>
      <c r="FN60" s="365">
        <v>0</v>
      </c>
      <c r="FO60" s="365">
        <v>0</v>
      </c>
      <c r="FP60" s="365">
        <v>0</v>
      </c>
      <c r="FQ60" s="365">
        <v>0</v>
      </c>
      <c r="FR60" s="365">
        <v>0</v>
      </c>
      <c r="FS60" s="365">
        <v>0</v>
      </c>
      <c r="FT60" s="365">
        <v>0</v>
      </c>
      <c r="FU60" s="436">
        <v>0</v>
      </c>
      <c r="FV60" s="436">
        <v>0</v>
      </c>
      <c r="FW60" s="436">
        <v>0</v>
      </c>
      <c r="FX60" s="436">
        <v>0</v>
      </c>
      <c r="FY60" s="365">
        <v>0</v>
      </c>
      <c r="FZ60" s="436">
        <v>0</v>
      </c>
      <c r="GA60" s="436">
        <v>0</v>
      </c>
      <c r="GB60" s="436">
        <v>0</v>
      </c>
      <c r="GC60" s="436">
        <v>0</v>
      </c>
      <c r="GD60" s="365">
        <v>0</v>
      </c>
    </row>
    <row r="61" spans="1:186" ht="15" x14ac:dyDescent="0.25">
      <c r="A61" s="357">
        <v>132</v>
      </c>
      <c r="B61" s="357">
        <v>80</v>
      </c>
      <c r="C61" s="357" t="s">
        <v>970</v>
      </c>
      <c r="D61" s="2">
        <v>99702</v>
      </c>
      <c r="E61" s="268" t="s">
        <v>19</v>
      </c>
      <c r="F61" s="358" t="s">
        <v>915</v>
      </c>
      <c r="G61" s="49">
        <v>154</v>
      </c>
      <c r="H61" s="49">
        <v>36</v>
      </c>
      <c r="I61" s="49">
        <v>30</v>
      </c>
      <c r="J61" s="49">
        <v>6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834.49503068156923</v>
      </c>
      <c r="T61" s="49">
        <v>834.49503068156923</v>
      </c>
      <c r="U61" s="49">
        <v>1408.3846153846155</v>
      </c>
      <c r="V61" s="49">
        <v>0</v>
      </c>
      <c r="W61" s="49">
        <v>0</v>
      </c>
      <c r="X61" s="49">
        <v>1365.173957061457</v>
      </c>
      <c r="Y61" s="434">
        <v>0</v>
      </c>
      <c r="Z61" s="434">
        <v>0</v>
      </c>
      <c r="AA61" s="49">
        <v>0.82484407484407485</v>
      </c>
      <c r="AB61" s="49">
        <v>35.128378378378379</v>
      </c>
      <c r="AC61" s="49">
        <v>4.677754677754678E-2</v>
      </c>
      <c r="AD61" s="285">
        <v>0</v>
      </c>
      <c r="AE61" s="285">
        <v>0</v>
      </c>
      <c r="AF61" s="359">
        <v>36</v>
      </c>
      <c r="AG61" s="360">
        <v>0.68737006237006237</v>
      </c>
      <c r="AH61" s="360">
        <v>29.273648648648653</v>
      </c>
      <c r="AI61" s="361">
        <v>29.961018711018713</v>
      </c>
      <c r="AJ61" s="360">
        <v>3.8981288981288983E-2</v>
      </c>
      <c r="AK61" s="360">
        <v>0.92074800406586277</v>
      </c>
      <c r="AL61" s="360">
        <v>39.212725488846544</v>
      </c>
      <c r="AM61" s="360">
        <v>40.133473492912408</v>
      </c>
      <c r="AN61" s="360">
        <v>5.221633293379184E-2</v>
      </c>
      <c r="AO61" s="360">
        <v>0.80168345805939001</v>
      </c>
      <c r="AP61" s="360">
        <v>34.142016307410209</v>
      </c>
      <c r="AQ61" s="360">
        <v>34.943699765469596</v>
      </c>
      <c r="AR61" s="360">
        <v>4.5464090249114748E-2</v>
      </c>
      <c r="AS61" s="360">
        <v>0</v>
      </c>
      <c r="AT61" s="360">
        <v>0</v>
      </c>
      <c r="AU61" s="360">
        <v>44.79975881722217</v>
      </c>
      <c r="AV61" s="360">
        <v>42.402475552494039</v>
      </c>
      <c r="AW61" s="360">
        <v>40.133473492912401</v>
      </c>
      <c r="AX61" s="360">
        <v>37.985888173257003</v>
      </c>
      <c r="AY61" s="360">
        <v>35.953222453222452</v>
      </c>
      <c r="AZ61" s="360">
        <v>40.755027893968503</v>
      </c>
      <c r="BA61" s="360">
        <v>37.737666311792175</v>
      </c>
      <c r="BB61" s="360">
        <v>34.943699765469596</v>
      </c>
      <c r="BC61" s="360">
        <v>32.356588857687932</v>
      </c>
      <c r="BD61" s="360">
        <v>29.961018711018713</v>
      </c>
      <c r="BE61" s="360">
        <v>0</v>
      </c>
      <c r="BF61" s="360">
        <v>0</v>
      </c>
      <c r="BG61" s="360">
        <v>0</v>
      </c>
      <c r="BH61" s="360">
        <v>0</v>
      </c>
      <c r="BI61" s="360">
        <v>0</v>
      </c>
      <c r="BJ61" s="362">
        <v>36.097591118648047</v>
      </c>
      <c r="BK61" s="362">
        <v>36.242539490429131</v>
      </c>
      <c r="BL61" s="362">
        <v>36.38806989635242</v>
      </c>
      <c r="BM61" s="363">
        <v>36.148834301874224</v>
      </c>
      <c r="BN61" s="363">
        <v>35.911171576466252</v>
      </c>
      <c r="BO61" s="363">
        <v>35.796495581925463</v>
      </c>
      <c r="BP61" s="363">
        <v>35.682185784953475</v>
      </c>
      <c r="BQ61" s="363">
        <v>35.568241016162915</v>
      </c>
      <c r="BR61" s="363">
        <v>35.454660109900637</v>
      </c>
      <c r="BS61" s="363">
        <v>35.341441904235836</v>
      </c>
      <c r="BT61" s="363">
        <v>35.602861413119179</v>
      </c>
      <c r="BU61" s="363">
        <v>35.866214633700253</v>
      </c>
      <c r="BV61" s="363">
        <v>36.13151586958228</v>
      </c>
      <c r="BW61" s="363">
        <v>36.39877953017178</v>
      </c>
      <c r="BX61" s="363">
        <v>36.668020131461169</v>
      </c>
      <c r="BY61" s="435">
        <v>36.815822206173983</v>
      </c>
      <c r="BZ61" s="435">
        <v>36.963624280886791</v>
      </c>
      <c r="CA61" s="435">
        <v>37.111426355599605</v>
      </c>
      <c r="CB61" s="435">
        <v>37.259228430312412</v>
      </c>
      <c r="CC61" s="363">
        <v>37.407030505025226</v>
      </c>
      <c r="CD61" s="435">
        <v>37.528184520947455</v>
      </c>
      <c r="CE61" s="435">
        <v>37.649338536869678</v>
      </c>
      <c r="CF61" s="435">
        <v>37.770492552791907</v>
      </c>
      <c r="CG61" s="435">
        <v>37.89164656871413</v>
      </c>
      <c r="CH61" s="363">
        <v>38.012800584636359</v>
      </c>
      <c r="CI61" s="362">
        <v>30.081325932206706</v>
      </c>
      <c r="CJ61" s="362">
        <v>30.202116242024282</v>
      </c>
      <c r="CK61" s="362">
        <v>30.323391580293688</v>
      </c>
      <c r="CL61" s="363">
        <v>30.124028584895189</v>
      </c>
      <c r="CM61" s="363">
        <v>29.925976313721883</v>
      </c>
      <c r="CN61" s="363">
        <v>29.83041298493789</v>
      </c>
      <c r="CO61" s="363">
        <v>29.735154820794566</v>
      </c>
      <c r="CP61" s="363">
        <v>29.640200846802433</v>
      </c>
      <c r="CQ61" s="363">
        <v>29.54555009158387</v>
      </c>
      <c r="CR61" s="363">
        <v>29.451201586863199</v>
      </c>
      <c r="CS61" s="363">
        <v>29.669051177599322</v>
      </c>
      <c r="CT61" s="363">
        <v>29.888512194750216</v>
      </c>
      <c r="CU61" s="363">
        <v>30.109596557985238</v>
      </c>
      <c r="CV61" s="363">
        <v>30.332316275143157</v>
      </c>
      <c r="CW61" s="363">
        <v>30.556683442884314</v>
      </c>
      <c r="CX61" s="435">
        <v>30.679851838478324</v>
      </c>
      <c r="CY61" s="435">
        <v>30.803020234072335</v>
      </c>
      <c r="CZ61" s="435">
        <v>30.926188629666342</v>
      </c>
      <c r="DA61" s="435">
        <v>31.049357025260353</v>
      </c>
      <c r="DB61" s="363">
        <v>31.172525420854363</v>
      </c>
      <c r="DC61" s="435">
        <v>31.273487100789552</v>
      </c>
      <c r="DD61" s="435">
        <v>31.374448780724737</v>
      </c>
      <c r="DE61" s="435">
        <v>31.475410460659926</v>
      </c>
      <c r="DF61" s="435">
        <v>31.576372140595112</v>
      </c>
      <c r="DG61" s="363">
        <v>31.677333820530301</v>
      </c>
      <c r="DH61" s="362">
        <v>0</v>
      </c>
      <c r="DI61" s="362">
        <v>0</v>
      </c>
      <c r="DJ61" s="362">
        <v>0</v>
      </c>
      <c r="DK61" s="363">
        <v>0</v>
      </c>
      <c r="DL61" s="363">
        <v>0</v>
      </c>
      <c r="DM61" s="363">
        <v>0</v>
      </c>
      <c r="DN61" s="363">
        <v>0</v>
      </c>
      <c r="DO61" s="363">
        <v>0</v>
      </c>
      <c r="DP61" s="363">
        <v>0</v>
      </c>
      <c r="DQ61" s="363">
        <v>0</v>
      </c>
      <c r="DR61" s="363">
        <v>0</v>
      </c>
      <c r="DS61" s="363">
        <v>0</v>
      </c>
      <c r="DT61" s="363">
        <v>0</v>
      </c>
      <c r="DU61" s="363">
        <v>0</v>
      </c>
      <c r="DV61" s="363">
        <v>0</v>
      </c>
      <c r="DW61" s="435">
        <v>0</v>
      </c>
      <c r="DX61" s="435">
        <v>0</v>
      </c>
      <c r="DY61" s="435">
        <v>0</v>
      </c>
      <c r="DZ61" s="435">
        <v>0</v>
      </c>
      <c r="EA61" s="363">
        <v>0</v>
      </c>
      <c r="EB61" s="435">
        <v>0</v>
      </c>
      <c r="EC61" s="435">
        <v>0</v>
      </c>
      <c r="ED61" s="435">
        <v>0</v>
      </c>
      <c r="EE61" s="435">
        <v>0</v>
      </c>
      <c r="EF61" s="363">
        <v>0</v>
      </c>
      <c r="EG61" s="364">
        <v>4.6965380065896498E-2</v>
      </c>
      <c r="EH61" s="364">
        <v>4.7153967590982483E-2</v>
      </c>
      <c r="EI61" s="364">
        <v>4.7343312381410908E-2</v>
      </c>
      <c r="EJ61" s="365">
        <v>4.7032050874153297E-2</v>
      </c>
      <c r="EK61" s="365">
        <v>4.6722835774741421E-2</v>
      </c>
      <c r="EL61" s="365">
        <v>4.6573634636905371E-2</v>
      </c>
      <c r="EM61" s="365">
        <v>4.6424909946595733E-2</v>
      </c>
      <c r="EN61" s="365">
        <v>4.6276660182361325E-2</v>
      </c>
      <c r="EO61" s="365">
        <v>4.6128883827609476E-2</v>
      </c>
      <c r="EP61" s="365">
        <v>4.5981579370590477E-2</v>
      </c>
      <c r="EQ61" s="365">
        <v>4.6321703634034851E-2</v>
      </c>
      <c r="ER61" s="365">
        <v>4.6664343785714622E-2</v>
      </c>
      <c r="ES61" s="365">
        <v>4.7009518435574139E-2</v>
      </c>
      <c r="ET61" s="365">
        <v>4.7357246331214922E-2</v>
      </c>
      <c r="EU61" s="365">
        <v>4.7707546358913833E-2</v>
      </c>
      <c r="EV61" s="436">
        <v>4.789984674235491E-2</v>
      </c>
      <c r="EW61" s="436">
        <v>4.8092147125795986E-2</v>
      </c>
      <c r="EX61" s="436">
        <v>4.8284447509237063E-2</v>
      </c>
      <c r="EY61" s="436">
        <v>4.847674789267814E-2</v>
      </c>
      <c r="EZ61" s="365">
        <v>4.8669048276119217E-2</v>
      </c>
      <c r="FA61" s="436">
        <v>4.8826677752989142E-2</v>
      </c>
      <c r="FB61" s="436">
        <v>4.8984307229859074E-2</v>
      </c>
      <c r="FC61" s="436">
        <v>4.9141936706728999E-2</v>
      </c>
      <c r="FD61" s="436">
        <v>4.9299566183598931E-2</v>
      </c>
      <c r="FE61" s="365">
        <v>4.9457195660468856E-2</v>
      </c>
      <c r="FF61" s="364">
        <v>0</v>
      </c>
      <c r="FG61" s="364">
        <v>0</v>
      </c>
      <c r="FH61" s="364">
        <v>0</v>
      </c>
      <c r="FI61" s="365">
        <v>0</v>
      </c>
      <c r="FJ61" s="365">
        <v>0</v>
      </c>
      <c r="FK61" s="365">
        <v>0</v>
      </c>
      <c r="FL61" s="365">
        <v>0</v>
      </c>
      <c r="FM61" s="365">
        <v>0</v>
      </c>
      <c r="FN61" s="365">
        <v>0</v>
      </c>
      <c r="FO61" s="365">
        <v>0</v>
      </c>
      <c r="FP61" s="365">
        <v>0</v>
      </c>
      <c r="FQ61" s="365">
        <v>0</v>
      </c>
      <c r="FR61" s="365">
        <v>0</v>
      </c>
      <c r="FS61" s="365">
        <v>0</v>
      </c>
      <c r="FT61" s="365">
        <v>0</v>
      </c>
      <c r="FU61" s="436">
        <v>0</v>
      </c>
      <c r="FV61" s="436">
        <v>0</v>
      </c>
      <c r="FW61" s="436">
        <v>0</v>
      </c>
      <c r="FX61" s="436">
        <v>0</v>
      </c>
      <c r="FY61" s="365">
        <v>0</v>
      </c>
      <c r="FZ61" s="436">
        <v>0</v>
      </c>
      <c r="GA61" s="436">
        <v>0</v>
      </c>
      <c r="GB61" s="436">
        <v>0</v>
      </c>
      <c r="GC61" s="436">
        <v>0</v>
      </c>
      <c r="GD61" s="365">
        <v>0</v>
      </c>
    </row>
    <row r="62" spans="1:186" ht="15" x14ac:dyDescent="0.25">
      <c r="A62" s="357">
        <v>81</v>
      </c>
      <c r="B62" s="357">
        <v>81</v>
      </c>
      <c r="C62" s="357" t="s">
        <v>971</v>
      </c>
      <c r="D62" s="2">
        <v>99709</v>
      </c>
      <c r="E62" s="268" t="s">
        <v>19</v>
      </c>
      <c r="F62" s="358" t="s">
        <v>915</v>
      </c>
      <c r="G62" s="49">
        <v>0</v>
      </c>
      <c r="H62" s="49">
        <v>3</v>
      </c>
      <c r="I62" s="49">
        <v>0</v>
      </c>
      <c r="J62" s="49">
        <v>3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834.49503068156923</v>
      </c>
      <c r="T62" s="49">
        <v>834.49503068156923</v>
      </c>
      <c r="U62" s="49">
        <v>1408.3846153846155</v>
      </c>
      <c r="V62" s="49">
        <v>0</v>
      </c>
      <c r="W62" s="49">
        <v>0</v>
      </c>
      <c r="X62" s="49">
        <v>1365.173957061457</v>
      </c>
      <c r="Y62" s="434">
        <v>0</v>
      </c>
      <c r="Z62" s="434">
        <v>0</v>
      </c>
      <c r="AA62" s="49">
        <v>6.8737006237006237E-2</v>
      </c>
      <c r="AB62" s="49">
        <v>2.9273648648648649</v>
      </c>
      <c r="AC62" s="49">
        <v>3.8981288981288983E-3</v>
      </c>
      <c r="AD62" s="285">
        <v>0</v>
      </c>
      <c r="AE62" s="285">
        <v>0</v>
      </c>
      <c r="AF62" s="359">
        <v>3</v>
      </c>
      <c r="AG62" s="360">
        <v>0</v>
      </c>
      <c r="AH62" s="360">
        <v>0</v>
      </c>
      <c r="AI62" s="361">
        <v>0</v>
      </c>
      <c r="AJ62" s="360">
        <v>0</v>
      </c>
      <c r="AK62" s="360">
        <v>6.5448517536264822E-2</v>
      </c>
      <c r="AL62" s="360">
        <v>2.7873150313317776</v>
      </c>
      <c r="AM62" s="360">
        <v>2.8527635488680425</v>
      </c>
      <c r="AN62" s="360">
        <v>3.7116361551756995E-3</v>
      </c>
      <c r="AO62" s="360">
        <v>0</v>
      </c>
      <c r="AP62" s="360">
        <v>0</v>
      </c>
      <c r="AQ62" s="360">
        <v>0</v>
      </c>
      <c r="AR62" s="360">
        <v>0</v>
      </c>
      <c r="AS62" s="360">
        <v>0</v>
      </c>
      <c r="AT62" s="360">
        <v>0</v>
      </c>
      <c r="AU62" s="360">
        <v>2.7162827620267778</v>
      </c>
      <c r="AV62" s="360">
        <v>2.7836868451621131</v>
      </c>
      <c r="AW62" s="360">
        <v>2.8527635488680421</v>
      </c>
      <c r="AX62" s="360">
        <v>2.9235543789323906</v>
      </c>
      <c r="AY62" s="360">
        <v>2.996101871101871</v>
      </c>
      <c r="AZ62" s="360">
        <v>0</v>
      </c>
      <c r="BA62" s="360">
        <v>0</v>
      </c>
      <c r="BB62" s="360">
        <v>0</v>
      </c>
      <c r="BC62" s="360">
        <v>0</v>
      </c>
      <c r="BD62" s="360">
        <v>0</v>
      </c>
      <c r="BE62" s="360">
        <v>0</v>
      </c>
      <c r="BF62" s="360">
        <v>0</v>
      </c>
      <c r="BG62" s="360">
        <v>0</v>
      </c>
      <c r="BH62" s="360">
        <v>0</v>
      </c>
      <c r="BI62" s="360">
        <v>0</v>
      </c>
      <c r="BJ62" s="362">
        <v>3.011449789467207</v>
      </c>
      <c r="BK62" s="362">
        <v>3.0268763295244225</v>
      </c>
      <c r="BL62" s="362">
        <v>3.042381894023277</v>
      </c>
      <c r="BM62" s="363">
        <v>3.0223795679004692</v>
      </c>
      <c r="BN62" s="363">
        <v>3.0025087482959947</v>
      </c>
      <c r="BO62" s="363">
        <v>2.9929207660132362</v>
      </c>
      <c r="BP62" s="363">
        <v>2.9833634012613364</v>
      </c>
      <c r="BQ62" s="363">
        <v>2.9738365562686093</v>
      </c>
      <c r="BR62" s="363">
        <v>2.9643401335755843</v>
      </c>
      <c r="BS62" s="363">
        <v>2.9548740360340124</v>
      </c>
      <c r="BT62" s="363">
        <v>2.9767311442245976</v>
      </c>
      <c r="BU62" s="363">
        <v>2.9987499287413573</v>
      </c>
      <c r="BV62" s="363">
        <v>3.0209315854988756</v>
      </c>
      <c r="BW62" s="363">
        <v>3.043277319257879</v>
      </c>
      <c r="BX62" s="363">
        <v>3.0657883436906666</v>
      </c>
      <c r="BY62" s="435">
        <v>3.0781459751145417</v>
      </c>
      <c r="BZ62" s="435">
        <v>3.0905036065384168</v>
      </c>
      <c r="CA62" s="435">
        <v>3.1028612379622924</v>
      </c>
      <c r="CB62" s="435">
        <v>3.1152188693861675</v>
      </c>
      <c r="CC62" s="363">
        <v>3.1275765008100427</v>
      </c>
      <c r="CD62" s="435">
        <v>3.1377061060757216</v>
      </c>
      <c r="CE62" s="435">
        <v>3.1478357113414006</v>
      </c>
      <c r="CF62" s="435">
        <v>3.1579653166070796</v>
      </c>
      <c r="CG62" s="435">
        <v>3.1680949218727585</v>
      </c>
      <c r="CH62" s="363">
        <v>3.1782245271384375</v>
      </c>
      <c r="CI62" s="362">
        <v>0</v>
      </c>
      <c r="CJ62" s="362">
        <v>0</v>
      </c>
      <c r="CK62" s="362">
        <v>0</v>
      </c>
      <c r="CL62" s="363">
        <v>0</v>
      </c>
      <c r="CM62" s="363">
        <v>0</v>
      </c>
      <c r="CN62" s="363">
        <v>0</v>
      </c>
      <c r="CO62" s="363">
        <v>0</v>
      </c>
      <c r="CP62" s="363">
        <v>0</v>
      </c>
      <c r="CQ62" s="363">
        <v>0</v>
      </c>
      <c r="CR62" s="363">
        <v>0</v>
      </c>
      <c r="CS62" s="363">
        <v>0</v>
      </c>
      <c r="CT62" s="363">
        <v>0</v>
      </c>
      <c r="CU62" s="363">
        <v>0</v>
      </c>
      <c r="CV62" s="363">
        <v>0</v>
      </c>
      <c r="CW62" s="363">
        <v>0</v>
      </c>
      <c r="CX62" s="435">
        <v>0</v>
      </c>
      <c r="CY62" s="435">
        <v>0</v>
      </c>
      <c r="CZ62" s="435">
        <v>0</v>
      </c>
      <c r="DA62" s="435">
        <v>0</v>
      </c>
      <c r="DB62" s="363">
        <v>0</v>
      </c>
      <c r="DC62" s="435">
        <v>0</v>
      </c>
      <c r="DD62" s="435">
        <v>0</v>
      </c>
      <c r="DE62" s="435">
        <v>0</v>
      </c>
      <c r="DF62" s="435">
        <v>0</v>
      </c>
      <c r="DG62" s="363">
        <v>0</v>
      </c>
      <c r="DH62" s="362">
        <v>0</v>
      </c>
      <c r="DI62" s="362">
        <v>0</v>
      </c>
      <c r="DJ62" s="362">
        <v>0</v>
      </c>
      <c r="DK62" s="363">
        <v>0</v>
      </c>
      <c r="DL62" s="363">
        <v>0</v>
      </c>
      <c r="DM62" s="363">
        <v>0</v>
      </c>
      <c r="DN62" s="363">
        <v>0</v>
      </c>
      <c r="DO62" s="363">
        <v>0</v>
      </c>
      <c r="DP62" s="363">
        <v>0</v>
      </c>
      <c r="DQ62" s="363">
        <v>0</v>
      </c>
      <c r="DR62" s="363">
        <v>0</v>
      </c>
      <c r="DS62" s="363">
        <v>0</v>
      </c>
      <c r="DT62" s="363">
        <v>0</v>
      </c>
      <c r="DU62" s="363">
        <v>0</v>
      </c>
      <c r="DV62" s="363">
        <v>0</v>
      </c>
      <c r="DW62" s="435">
        <v>0</v>
      </c>
      <c r="DX62" s="435">
        <v>0</v>
      </c>
      <c r="DY62" s="435">
        <v>0</v>
      </c>
      <c r="DZ62" s="435">
        <v>0</v>
      </c>
      <c r="EA62" s="363">
        <v>0</v>
      </c>
      <c r="EB62" s="435">
        <v>0</v>
      </c>
      <c r="EC62" s="435">
        <v>0</v>
      </c>
      <c r="ED62" s="435">
        <v>0</v>
      </c>
      <c r="EE62" s="435">
        <v>0</v>
      </c>
      <c r="EF62" s="363">
        <v>0</v>
      </c>
      <c r="EG62" s="364">
        <v>3.9180975663117455E-3</v>
      </c>
      <c r="EH62" s="364">
        <v>3.9381685265735406E-3</v>
      </c>
      <c r="EI62" s="364">
        <v>3.9583423029186538E-3</v>
      </c>
      <c r="EJ62" s="365">
        <v>3.932317938980575E-3</v>
      </c>
      <c r="EK62" s="365">
        <v>3.9064646738173232E-3</v>
      </c>
      <c r="EL62" s="365">
        <v>3.893990067672699E-3</v>
      </c>
      <c r="EM62" s="365">
        <v>3.8815552969832644E-3</v>
      </c>
      <c r="EN62" s="365">
        <v>3.8691602345415164E-3</v>
      </c>
      <c r="EO62" s="365">
        <v>3.8568047535461679E-3</v>
      </c>
      <c r="EP62" s="365">
        <v>3.8444887276008494E-3</v>
      </c>
      <c r="EQ62" s="365">
        <v>3.8729262870473564E-3</v>
      </c>
      <c r="ER62" s="365">
        <v>3.9015741982062944E-3</v>
      </c>
      <c r="ES62" s="365">
        <v>3.9304340170425141E-3</v>
      </c>
      <c r="ET62" s="365">
        <v>3.9595073110302876E-3</v>
      </c>
      <c r="EU62" s="365">
        <v>3.9887956592384423E-3</v>
      </c>
      <c r="EV62" s="436">
        <v>4.0048737641354961E-3</v>
      </c>
      <c r="EW62" s="436">
        <v>4.0209518690325491E-3</v>
      </c>
      <c r="EX62" s="436">
        <v>4.0370299739296029E-3</v>
      </c>
      <c r="EY62" s="436">
        <v>4.0531080788266559E-3</v>
      </c>
      <c r="EZ62" s="365">
        <v>4.0691861837237097E-3</v>
      </c>
      <c r="FA62" s="436">
        <v>4.0823654775900631E-3</v>
      </c>
      <c r="FB62" s="436">
        <v>4.0955447714564157E-3</v>
      </c>
      <c r="FC62" s="436">
        <v>4.1087240653227691E-3</v>
      </c>
      <c r="FD62" s="436">
        <v>4.1219033591891217E-3</v>
      </c>
      <c r="FE62" s="365">
        <v>4.1350826530554751E-3</v>
      </c>
      <c r="FF62" s="364">
        <v>0</v>
      </c>
      <c r="FG62" s="364">
        <v>0</v>
      </c>
      <c r="FH62" s="364">
        <v>0</v>
      </c>
      <c r="FI62" s="365">
        <v>0</v>
      </c>
      <c r="FJ62" s="365">
        <v>0</v>
      </c>
      <c r="FK62" s="365">
        <v>0</v>
      </c>
      <c r="FL62" s="365">
        <v>0</v>
      </c>
      <c r="FM62" s="365">
        <v>0</v>
      </c>
      <c r="FN62" s="365">
        <v>0</v>
      </c>
      <c r="FO62" s="365">
        <v>0</v>
      </c>
      <c r="FP62" s="365">
        <v>0</v>
      </c>
      <c r="FQ62" s="365">
        <v>0</v>
      </c>
      <c r="FR62" s="365">
        <v>0</v>
      </c>
      <c r="FS62" s="365">
        <v>0</v>
      </c>
      <c r="FT62" s="365">
        <v>0</v>
      </c>
      <c r="FU62" s="436">
        <v>0</v>
      </c>
      <c r="FV62" s="436">
        <v>0</v>
      </c>
      <c r="FW62" s="436">
        <v>0</v>
      </c>
      <c r="FX62" s="436">
        <v>0</v>
      </c>
      <c r="FY62" s="365">
        <v>0</v>
      </c>
      <c r="FZ62" s="436">
        <v>0</v>
      </c>
      <c r="GA62" s="436">
        <v>0</v>
      </c>
      <c r="GB62" s="436">
        <v>0</v>
      </c>
      <c r="GC62" s="436">
        <v>0</v>
      </c>
      <c r="GD62" s="365">
        <v>0</v>
      </c>
    </row>
    <row r="63" spans="1:186" ht="15" x14ac:dyDescent="0.25">
      <c r="A63" s="357">
        <v>126</v>
      </c>
      <c r="B63" s="357">
        <v>81</v>
      </c>
      <c r="C63" s="357" t="s">
        <v>972</v>
      </c>
      <c r="D63" s="2">
        <v>99705</v>
      </c>
      <c r="E63" s="268" t="s">
        <v>19</v>
      </c>
      <c r="F63" s="358" t="s">
        <v>915</v>
      </c>
      <c r="G63" s="49">
        <v>36</v>
      </c>
      <c r="H63" s="49">
        <v>13</v>
      </c>
      <c r="I63" s="49">
        <v>13</v>
      </c>
      <c r="J63" s="49">
        <v>0</v>
      </c>
      <c r="K63" s="49">
        <v>0</v>
      </c>
      <c r="L63" s="49">
        <v>4</v>
      </c>
      <c r="M63" s="49">
        <v>4</v>
      </c>
      <c r="N63" s="49">
        <v>1</v>
      </c>
      <c r="O63" s="49">
        <v>0</v>
      </c>
      <c r="P63" s="49">
        <v>0</v>
      </c>
      <c r="Q63" s="49">
        <v>5</v>
      </c>
      <c r="R63" s="49">
        <v>0</v>
      </c>
      <c r="S63" s="49">
        <v>1537.25</v>
      </c>
      <c r="T63" s="49">
        <v>1537.25</v>
      </c>
      <c r="U63" s="49">
        <v>1628</v>
      </c>
      <c r="V63" s="49">
        <v>0</v>
      </c>
      <c r="W63" s="49">
        <v>0</v>
      </c>
      <c r="X63" s="49">
        <v>1555.4</v>
      </c>
      <c r="Y63" s="434">
        <v>6149</v>
      </c>
      <c r="Z63" s="434">
        <v>1628</v>
      </c>
      <c r="AA63" s="49">
        <v>0</v>
      </c>
      <c r="AB63" s="49">
        <v>13</v>
      </c>
      <c r="AC63" s="49">
        <v>0</v>
      </c>
      <c r="AD63" s="285">
        <v>1</v>
      </c>
      <c r="AE63" s="285">
        <v>0</v>
      </c>
      <c r="AF63" s="359">
        <v>14</v>
      </c>
      <c r="AG63" s="360">
        <v>0</v>
      </c>
      <c r="AH63" s="360">
        <v>13</v>
      </c>
      <c r="AI63" s="361">
        <v>13</v>
      </c>
      <c r="AJ63" s="360">
        <v>0</v>
      </c>
      <c r="AK63" s="360">
        <v>0</v>
      </c>
      <c r="AL63" s="360">
        <v>12.065972102871187</v>
      </c>
      <c r="AM63" s="360">
        <v>12.065972102871187</v>
      </c>
      <c r="AN63" s="360">
        <v>0</v>
      </c>
      <c r="AO63" s="360">
        <v>0</v>
      </c>
      <c r="AP63" s="360">
        <v>12.127859673391011</v>
      </c>
      <c r="AQ63" s="360">
        <v>12.127859673391011</v>
      </c>
      <c r="AR63" s="360">
        <v>0</v>
      </c>
      <c r="AS63" s="360">
        <v>0.94010766733490925</v>
      </c>
      <c r="AT63" s="360">
        <v>0</v>
      </c>
      <c r="AU63" s="360">
        <v>11.199052522097364</v>
      </c>
      <c r="AV63" s="360">
        <v>11.624433547928948</v>
      </c>
      <c r="AW63" s="360">
        <v>12.065972102871187</v>
      </c>
      <c r="AX63" s="360">
        <v>12.524281909048735</v>
      </c>
      <c r="AY63" s="360">
        <v>13</v>
      </c>
      <c r="AZ63" s="360">
        <v>11.314229250574147</v>
      </c>
      <c r="BA63" s="360">
        <v>11.713982442514551</v>
      </c>
      <c r="BB63" s="360">
        <v>12.127859673391011</v>
      </c>
      <c r="BC63" s="360">
        <v>12.5563599723042</v>
      </c>
      <c r="BD63" s="360">
        <v>13</v>
      </c>
      <c r="BE63" s="360">
        <v>0.88380242618188454</v>
      </c>
      <c r="BF63" s="360">
        <v>0.91152039870909352</v>
      </c>
      <c r="BG63" s="360">
        <v>0.94010766733490925</v>
      </c>
      <c r="BH63" s="360">
        <v>0.96959149508177378</v>
      </c>
      <c r="BI63" s="360">
        <v>1</v>
      </c>
      <c r="BJ63" s="362">
        <v>13.147683804909096</v>
      </c>
      <c r="BK63" s="362">
        <v>13.297045341066843</v>
      </c>
      <c r="BL63" s="362">
        <v>13.448103667991269</v>
      </c>
      <c r="BM63" s="363">
        <v>13.359688286664907</v>
      </c>
      <c r="BN63" s="363">
        <v>13.271854197678943</v>
      </c>
      <c r="BO63" s="363">
        <v>13.2294728714034</v>
      </c>
      <c r="BP63" s="363">
        <v>13.18722688242061</v>
      </c>
      <c r="BQ63" s="363">
        <v>13.145115798554786</v>
      </c>
      <c r="BR63" s="363">
        <v>13.103139189010223</v>
      </c>
      <c r="BS63" s="363">
        <v>13.061296624366889</v>
      </c>
      <c r="BT63" s="363">
        <v>13.1579106153346</v>
      </c>
      <c r="BU63" s="363">
        <v>13.255239256885567</v>
      </c>
      <c r="BV63" s="363">
        <v>13.353287835267167</v>
      </c>
      <c r="BW63" s="363">
        <v>13.452061675828983</v>
      </c>
      <c r="BX63" s="363">
        <v>13.551566143312016</v>
      </c>
      <c r="BY63" s="435">
        <v>13.606190024950799</v>
      </c>
      <c r="BZ63" s="435">
        <v>13.660813906589581</v>
      </c>
      <c r="CA63" s="435">
        <v>13.715437788228362</v>
      </c>
      <c r="CB63" s="435">
        <v>13.770061669867145</v>
      </c>
      <c r="CC63" s="363">
        <v>13.824685551505928</v>
      </c>
      <c r="CD63" s="435">
        <v>13.869460989460082</v>
      </c>
      <c r="CE63" s="435">
        <v>13.914236427414236</v>
      </c>
      <c r="CF63" s="435">
        <v>13.959011865368389</v>
      </c>
      <c r="CG63" s="435">
        <v>14.003787303322543</v>
      </c>
      <c r="CH63" s="363">
        <v>14.048562741276697</v>
      </c>
      <c r="CI63" s="362">
        <v>13.147683804909096</v>
      </c>
      <c r="CJ63" s="362">
        <v>13.297045341066843</v>
      </c>
      <c r="CK63" s="362">
        <v>13.448103667991269</v>
      </c>
      <c r="CL63" s="363">
        <v>13.359688286664907</v>
      </c>
      <c r="CM63" s="363">
        <v>13.271854197678943</v>
      </c>
      <c r="CN63" s="363">
        <v>13.2294728714034</v>
      </c>
      <c r="CO63" s="363">
        <v>13.18722688242061</v>
      </c>
      <c r="CP63" s="363">
        <v>13.145115798554786</v>
      </c>
      <c r="CQ63" s="363">
        <v>13.103139189010223</v>
      </c>
      <c r="CR63" s="363">
        <v>13.061296624366889</v>
      </c>
      <c r="CS63" s="363">
        <v>13.1579106153346</v>
      </c>
      <c r="CT63" s="363">
        <v>13.255239256885567</v>
      </c>
      <c r="CU63" s="363">
        <v>13.353287835267167</v>
      </c>
      <c r="CV63" s="363">
        <v>13.452061675828983</v>
      </c>
      <c r="CW63" s="363">
        <v>13.551566143312016</v>
      </c>
      <c r="CX63" s="435">
        <v>13.606190024950799</v>
      </c>
      <c r="CY63" s="435">
        <v>13.660813906589581</v>
      </c>
      <c r="CZ63" s="435">
        <v>13.715437788228362</v>
      </c>
      <c r="DA63" s="435">
        <v>13.770061669867145</v>
      </c>
      <c r="DB63" s="363">
        <v>13.824685551505928</v>
      </c>
      <c r="DC63" s="435">
        <v>13.869460989460082</v>
      </c>
      <c r="DD63" s="435">
        <v>13.914236427414236</v>
      </c>
      <c r="DE63" s="435">
        <v>13.959011865368389</v>
      </c>
      <c r="DF63" s="435">
        <v>14.003787303322543</v>
      </c>
      <c r="DG63" s="363">
        <v>14.048562741276697</v>
      </c>
      <c r="DH63" s="362">
        <v>1.0113602926853151</v>
      </c>
      <c r="DI63" s="362">
        <v>1.0228496416205264</v>
      </c>
      <c r="DJ63" s="362">
        <v>1.0344695129224053</v>
      </c>
      <c r="DK63" s="363">
        <v>1.0276683297434543</v>
      </c>
      <c r="DL63" s="363">
        <v>1.0209118613599186</v>
      </c>
      <c r="DM63" s="363">
        <v>1.0176517593387231</v>
      </c>
      <c r="DN63" s="363">
        <v>1.0144020678785084</v>
      </c>
      <c r="DO63" s="363">
        <v>1.0111627537349834</v>
      </c>
      <c r="DP63" s="363">
        <v>1.0079337837700171</v>
      </c>
      <c r="DQ63" s="363">
        <v>1.0047151249512991</v>
      </c>
      <c r="DR63" s="363">
        <v>1.0121469704103538</v>
      </c>
      <c r="DS63" s="363">
        <v>1.0196337889911975</v>
      </c>
      <c r="DT63" s="363">
        <v>1.0271759873282436</v>
      </c>
      <c r="DU63" s="363">
        <v>1.0347739750637679</v>
      </c>
      <c r="DV63" s="363">
        <v>1.0424281648701552</v>
      </c>
      <c r="DW63" s="435">
        <v>1.0466300019192922</v>
      </c>
      <c r="DX63" s="435">
        <v>1.0508318389684292</v>
      </c>
      <c r="DY63" s="435">
        <v>1.0550336760175665</v>
      </c>
      <c r="DZ63" s="435">
        <v>1.0592355130667035</v>
      </c>
      <c r="EA63" s="363">
        <v>1.0634373501158405</v>
      </c>
      <c r="EB63" s="435">
        <v>1.0668816145738524</v>
      </c>
      <c r="EC63" s="435">
        <v>1.0703258790318642</v>
      </c>
      <c r="ED63" s="435">
        <v>1.0737701434898761</v>
      </c>
      <c r="EE63" s="435">
        <v>1.0772144079478878</v>
      </c>
      <c r="EF63" s="363">
        <v>1.0806586724058997</v>
      </c>
      <c r="EG63" s="364">
        <v>0</v>
      </c>
      <c r="EH63" s="364">
        <v>0</v>
      </c>
      <c r="EI63" s="364">
        <v>0</v>
      </c>
      <c r="EJ63" s="365">
        <v>0</v>
      </c>
      <c r="EK63" s="365">
        <v>0</v>
      </c>
      <c r="EL63" s="365">
        <v>0</v>
      </c>
      <c r="EM63" s="365">
        <v>0</v>
      </c>
      <c r="EN63" s="365">
        <v>0</v>
      </c>
      <c r="EO63" s="365">
        <v>0</v>
      </c>
      <c r="EP63" s="365">
        <v>0</v>
      </c>
      <c r="EQ63" s="365">
        <v>0</v>
      </c>
      <c r="ER63" s="365">
        <v>0</v>
      </c>
      <c r="ES63" s="365">
        <v>0</v>
      </c>
      <c r="ET63" s="365">
        <v>0</v>
      </c>
      <c r="EU63" s="365">
        <v>0</v>
      </c>
      <c r="EV63" s="436">
        <v>0</v>
      </c>
      <c r="EW63" s="436">
        <v>0</v>
      </c>
      <c r="EX63" s="436">
        <v>0</v>
      </c>
      <c r="EY63" s="436">
        <v>0</v>
      </c>
      <c r="EZ63" s="365">
        <v>0</v>
      </c>
      <c r="FA63" s="436">
        <v>0</v>
      </c>
      <c r="FB63" s="436">
        <v>0</v>
      </c>
      <c r="FC63" s="436">
        <v>0</v>
      </c>
      <c r="FD63" s="436">
        <v>0</v>
      </c>
      <c r="FE63" s="365">
        <v>0</v>
      </c>
      <c r="FF63" s="364">
        <v>0</v>
      </c>
      <c r="FG63" s="364">
        <v>0</v>
      </c>
      <c r="FH63" s="364">
        <v>0</v>
      </c>
      <c r="FI63" s="365">
        <v>0</v>
      </c>
      <c r="FJ63" s="365">
        <v>0</v>
      </c>
      <c r="FK63" s="365">
        <v>0</v>
      </c>
      <c r="FL63" s="365">
        <v>0</v>
      </c>
      <c r="FM63" s="365">
        <v>0</v>
      </c>
      <c r="FN63" s="365">
        <v>0</v>
      </c>
      <c r="FO63" s="365">
        <v>0</v>
      </c>
      <c r="FP63" s="365">
        <v>0</v>
      </c>
      <c r="FQ63" s="365">
        <v>0</v>
      </c>
      <c r="FR63" s="365">
        <v>0</v>
      </c>
      <c r="FS63" s="365">
        <v>0</v>
      </c>
      <c r="FT63" s="365">
        <v>0</v>
      </c>
      <c r="FU63" s="436">
        <v>0</v>
      </c>
      <c r="FV63" s="436">
        <v>0</v>
      </c>
      <c r="FW63" s="436">
        <v>0</v>
      </c>
      <c r="FX63" s="436">
        <v>0</v>
      </c>
      <c r="FY63" s="365">
        <v>0</v>
      </c>
      <c r="FZ63" s="436">
        <v>0</v>
      </c>
      <c r="GA63" s="436">
        <v>0</v>
      </c>
      <c r="GB63" s="436">
        <v>0</v>
      </c>
      <c r="GC63" s="436">
        <v>0</v>
      </c>
      <c r="GD63" s="365">
        <v>0</v>
      </c>
    </row>
    <row r="64" spans="1:186" ht="15" x14ac:dyDescent="0.25">
      <c r="A64" s="357">
        <v>128</v>
      </c>
      <c r="B64" s="357">
        <v>81</v>
      </c>
      <c r="C64" s="357" t="s">
        <v>973</v>
      </c>
      <c r="D64" s="2">
        <v>99705</v>
      </c>
      <c r="E64" s="268" t="s">
        <v>19</v>
      </c>
      <c r="F64" s="358" t="s">
        <v>915</v>
      </c>
      <c r="G64" s="49">
        <v>28</v>
      </c>
      <c r="H64" s="49">
        <v>11</v>
      </c>
      <c r="I64" s="49">
        <v>10</v>
      </c>
      <c r="J64" s="49">
        <v>1</v>
      </c>
      <c r="K64" s="49">
        <v>0</v>
      </c>
      <c r="L64" s="49">
        <v>1</v>
      </c>
      <c r="M64" s="49">
        <v>1</v>
      </c>
      <c r="N64" s="49">
        <v>0</v>
      </c>
      <c r="O64" s="49">
        <v>0</v>
      </c>
      <c r="P64" s="49">
        <v>0</v>
      </c>
      <c r="Q64" s="49">
        <v>1</v>
      </c>
      <c r="R64" s="49">
        <v>0</v>
      </c>
      <c r="S64" s="49">
        <v>4288</v>
      </c>
      <c r="T64" s="49">
        <v>4288</v>
      </c>
      <c r="U64" s="49">
        <v>0</v>
      </c>
      <c r="V64" s="49">
        <v>0</v>
      </c>
      <c r="W64" s="49">
        <v>0</v>
      </c>
      <c r="X64" s="49">
        <v>4288</v>
      </c>
      <c r="Y64" s="434">
        <v>4288</v>
      </c>
      <c r="Z64" s="434">
        <v>0</v>
      </c>
      <c r="AA64" s="49">
        <v>0</v>
      </c>
      <c r="AB64" s="49">
        <v>11</v>
      </c>
      <c r="AC64" s="49">
        <v>0</v>
      </c>
      <c r="AD64" s="285">
        <v>0</v>
      </c>
      <c r="AE64" s="285">
        <v>0</v>
      </c>
      <c r="AF64" s="359">
        <v>11</v>
      </c>
      <c r="AG64" s="360">
        <v>0</v>
      </c>
      <c r="AH64" s="360">
        <v>10</v>
      </c>
      <c r="AI64" s="361">
        <v>10</v>
      </c>
      <c r="AJ64" s="360">
        <v>0</v>
      </c>
      <c r="AK64" s="360">
        <v>0</v>
      </c>
      <c r="AL64" s="360">
        <v>10.209668702429466</v>
      </c>
      <c r="AM64" s="360">
        <v>10.209668702429466</v>
      </c>
      <c r="AN64" s="360">
        <v>0</v>
      </c>
      <c r="AO64" s="360">
        <v>0</v>
      </c>
      <c r="AP64" s="360">
        <v>9.3291228256853937</v>
      </c>
      <c r="AQ64" s="360">
        <v>9.3291228256853937</v>
      </c>
      <c r="AR64" s="360">
        <v>0</v>
      </c>
      <c r="AS64" s="360">
        <v>0</v>
      </c>
      <c r="AT64" s="360">
        <v>0</v>
      </c>
      <c r="AU64" s="360">
        <v>9.4761213648516165</v>
      </c>
      <c r="AV64" s="360">
        <v>9.8360591559398802</v>
      </c>
      <c r="AW64" s="360">
        <v>10.209668702429466</v>
      </c>
      <c r="AX64" s="360">
        <v>10.597469307656622</v>
      </c>
      <c r="AY64" s="360">
        <v>11</v>
      </c>
      <c r="AZ64" s="360">
        <v>8.7032532696724196</v>
      </c>
      <c r="BA64" s="360">
        <v>9.0107557250111938</v>
      </c>
      <c r="BB64" s="360">
        <v>9.3291228256853937</v>
      </c>
      <c r="BC64" s="360">
        <v>9.658738440234</v>
      </c>
      <c r="BD64" s="360">
        <v>10</v>
      </c>
      <c r="BE64" s="360">
        <v>0</v>
      </c>
      <c r="BF64" s="360">
        <v>0</v>
      </c>
      <c r="BG64" s="360">
        <v>0</v>
      </c>
      <c r="BH64" s="360">
        <v>0</v>
      </c>
      <c r="BI64" s="360">
        <v>0</v>
      </c>
      <c r="BJ64" s="362">
        <v>11.124963219538467</v>
      </c>
      <c r="BK64" s="362">
        <v>11.25134605782579</v>
      </c>
      <c r="BL64" s="362">
        <v>11.379164642146458</v>
      </c>
      <c r="BM64" s="363">
        <v>11.304351627177997</v>
      </c>
      <c r="BN64" s="363">
        <v>11.230030474959104</v>
      </c>
      <c r="BO64" s="363">
        <v>11.194169352725954</v>
      </c>
      <c r="BP64" s="363">
        <v>11.158422746663593</v>
      </c>
      <c r="BQ64" s="363">
        <v>11.122790291084817</v>
      </c>
      <c r="BR64" s="363">
        <v>11.087271621470189</v>
      </c>
      <c r="BS64" s="363">
        <v>11.051866374464291</v>
      </c>
      <c r="BT64" s="363">
        <v>11.133616674513892</v>
      </c>
      <c r="BU64" s="363">
        <v>11.215971678903172</v>
      </c>
      <c r="BV64" s="363">
        <v>11.29893586061068</v>
      </c>
      <c r="BW64" s="363">
        <v>11.382513725701447</v>
      </c>
      <c r="BX64" s="363">
        <v>11.466709813571706</v>
      </c>
      <c r="BY64" s="435">
        <v>11.512930021112213</v>
      </c>
      <c r="BZ64" s="435">
        <v>11.559150228652722</v>
      </c>
      <c r="CA64" s="435">
        <v>11.60537043619323</v>
      </c>
      <c r="CB64" s="435">
        <v>11.651590643733739</v>
      </c>
      <c r="CC64" s="363">
        <v>11.697810851274246</v>
      </c>
      <c r="CD64" s="435">
        <v>11.735697760312377</v>
      </c>
      <c r="CE64" s="435">
        <v>11.773584669350507</v>
      </c>
      <c r="CF64" s="435">
        <v>11.811471578388637</v>
      </c>
      <c r="CG64" s="435">
        <v>11.849358487426768</v>
      </c>
      <c r="CH64" s="363">
        <v>11.887245396464898</v>
      </c>
      <c r="CI64" s="362">
        <v>10.113602926853151</v>
      </c>
      <c r="CJ64" s="362">
        <v>10.228496416205264</v>
      </c>
      <c r="CK64" s="362">
        <v>10.344695129224053</v>
      </c>
      <c r="CL64" s="363">
        <v>10.276683297434545</v>
      </c>
      <c r="CM64" s="363">
        <v>10.209118613599186</v>
      </c>
      <c r="CN64" s="363">
        <v>10.176517593387231</v>
      </c>
      <c r="CO64" s="363">
        <v>10.144020678785084</v>
      </c>
      <c r="CP64" s="363">
        <v>10.111627537349834</v>
      </c>
      <c r="CQ64" s="363">
        <v>10.079337837700171</v>
      </c>
      <c r="CR64" s="363">
        <v>10.047151249512991</v>
      </c>
      <c r="CS64" s="363">
        <v>10.121469704103538</v>
      </c>
      <c r="CT64" s="363">
        <v>10.196337889911975</v>
      </c>
      <c r="CU64" s="363">
        <v>10.271759873282438</v>
      </c>
      <c r="CV64" s="363">
        <v>10.347739750637679</v>
      </c>
      <c r="CW64" s="363">
        <v>10.424281648701552</v>
      </c>
      <c r="CX64" s="435">
        <v>10.466300019192923</v>
      </c>
      <c r="CY64" s="435">
        <v>10.508318389684293</v>
      </c>
      <c r="CZ64" s="435">
        <v>10.550336760175664</v>
      </c>
      <c r="DA64" s="435">
        <v>10.592355130667034</v>
      </c>
      <c r="DB64" s="363">
        <v>10.634373501158406</v>
      </c>
      <c r="DC64" s="435">
        <v>10.668816145738525</v>
      </c>
      <c r="DD64" s="435">
        <v>10.703258790318642</v>
      </c>
      <c r="DE64" s="435">
        <v>10.737701434898762</v>
      </c>
      <c r="DF64" s="435">
        <v>10.772144079478879</v>
      </c>
      <c r="DG64" s="363">
        <v>10.806586724058999</v>
      </c>
      <c r="DH64" s="362">
        <v>0</v>
      </c>
      <c r="DI64" s="362">
        <v>0</v>
      </c>
      <c r="DJ64" s="362">
        <v>0</v>
      </c>
      <c r="DK64" s="363">
        <v>0</v>
      </c>
      <c r="DL64" s="363">
        <v>0</v>
      </c>
      <c r="DM64" s="363">
        <v>0</v>
      </c>
      <c r="DN64" s="363">
        <v>0</v>
      </c>
      <c r="DO64" s="363">
        <v>0</v>
      </c>
      <c r="DP64" s="363">
        <v>0</v>
      </c>
      <c r="DQ64" s="363">
        <v>0</v>
      </c>
      <c r="DR64" s="363">
        <v>0</v>
      </c>
      <c r="DS64" s="363">
        <v>0</v>
      </c>
      <c r="DT64" s="363">
        <v>0</v>
      </c>
      <c r="DU64" s="363">
        <v>0</v>
      </c>
      <c r="DV64" s="363">
        <v>0</v>
      </c>
      <c r="DW64" s="435">
        <v>0</v>
      </c>
      <c r="DX64" s="435">
        <v>0</v>
      </c>
      <c r="DY64" s="435">
        <v>0</v>
      </c>
      <c r="DZ64" s="435">
        <v>0</v>
      </c>
      <c r="EA64" s="363">
        <v>0</v>
      </c>
      <c r="EB64" s="435">
        <v>0</v>
      </c>
      <c r="EC64" s="435">
        <v>0</v>
      </c>
      <c r="ED64" s="435">
        <v>0</v>
      </c>
      <c r="EE64" s="435">
        <v>0</v>
      </c>
      <c r="EF64" s="363">
        <v>0</v>
      </c>
      <c r="EG64" s="364">
        <v>0</v>
      </c>
      <c r="EH64" s="364">
        <v>0</v>
      </c>
      <c r="EI64" s="364">
        <v>0</v>
      </c>
      <c r="EJ64" s="365">
        <v>0</v>
      </c>
      <c r="EK64" s="365">
        <v>0</v>
      </c>
      <c r="EL64" s="365">
        <v>0</v>
      </c>
      <c r="EM64" s="365">
        <v>0</v>
      </c>
      <c r="EN64" s="365">
        <v>0</v>
      </c>
      <c r="EO64" s="365">
        <v>0</v>
      </c>
      <c r="EP64" s="365">
        <v>0</v>
      </c>
      <c r="EQ64" s="365">
        <v>0</v>
      </c>
      <c r="ER64" s="365">
        <v>0</v>
      </c>
      <c r="ES64" s="365">
        <v>0</v>
      </c>
      <c r="ET64" s="365">
        <v>0</v>
      </c>
      <c r="EU64" s="365">
        <v>0</v>
      </c>
      <c r="EV64" s="436">
        <v>0</v>
      </c>
      <c r="EW64" s="436">
        <v>0</v>
      </c>
      <c r="EX64" s="436">
        <v>0</v>
      </c>
      <c r="EY64" s="436">
        <v>0</v>
      </c>
      <c r="EZ64" s="365">
        <v>0</v>
      </c>
      <c r="FA64" s="436">
        <v>0</v>
      </c>
      <c r="FB64" s="436">
        <v>0</v>
      </c>
      <c r="FC64" s="436">
        <v>0</v>
      </c>
      <c r="FD64" s="436">
        <v>0</v>
      </c>
      <c r="FE64" s="365">
        <v>0</v>
      </c>
      <c r="FF64" s="364">
        <v>0</v>
      </c>
      <c r="FG64" s="364">
        <v>0</v>
      </c>
      <c r="FH64" s="364">
        <v>0</v>
      </c>
      <c r="FI64" s="365">
        <v>0</v>
      </c>
      <c r="FJ64" s="365">
        <v>0</v>
      </c>
      <c r="FK64" s="365">
        <v>0</v>
      </c>
      <c r="FL64" s="365">
        <v>0</v>
      </c>
      <c r="FM64" s="365">
        <v>0</v>
      </c>
      <c r="FN64" s="365">
        <v>0</v>
      </c>
      <c r="FO64" s="365">
        <v>0</v>
      </c>
      <c r="FP64" s="365">
        <v>0</v>
      </c>
      <c r="FQ64" s="365">
        <v>0</v>
      </c>
      <c r="FR64" s="365">
        <v>0</v>
      </c>
      <c r="FS64" s="365">
        <v>0</v>
      </c>
      <c r="FT64" s="365">
        <v>0</v>
      </c>
      <c r="FU64" s="436">
        <v>0</v>
      </c>
      <c r="FV64" s="436">
        <v>0</v>
      </c>
      <c r="FW64" s="436">
        <v>0</v>
      </c>
      <c r="FX64" s="436">
        <v>0</v>
      </c>
      <c r="FY64" s="365">
        <v>0</v>
      </c>
      <c r="FZ64" s="436">
        <v>0</v>
      </c>
      <c r="GA64" s="436">
        <v>0</v>
      </c>
      <c r="GB64" s="436">
        <v>0</v>
      </c>
      <c r="GC64" s="436">
        <v>0</v>
      </c>
      <c r="GD64" s="365">
        <v>0</v>
      </c>
    </row>
    <row r="65" spans="1:186" ht="15" x14ac:dyDescent="0.25">
      <c r="A65" s="357">
        <v>131</v>
      </c>
      <c r="B65" s="357">
        <v>81</v>
      </c>
      <c r="C65" s="357" t="s">
        <v>974</v>
      </c>
      <c r="D65" s="2">
        <v>99702</v>
      </c>
      <c r="E65" s="268" t="s">
        <v>19</v>
      </c>
      <c r="F65" s="358" t="s">
        <v>915</v>
      </c>
      <c r="G65" s="49">
        <v>428</v>
      </c>
      <c r="H65" s="49">
        <v>2</v>
      </c>
      <c r="I65" s="49">
        <v>2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834.49503068156923</v>
      </c>
      <c r="T65" s="49">
        <v>834.49503068156923</v>
      </c>
      <c r="U65" s="49">
        <v>1408.3846153846155</v>
      </c>
      <c r="V65" s="49">
        <v>0</v>
      </c>
      <c r="W65" s="49">
        <v>0</v>
      </c>
      <c r="X65" s="49">
        <v>1365.173957061457</v>
      </c>
      <c r="Y65" s="434">
        <v>0</v>
      </c>
      <c r="Z65" s="434">
        <v>0</v>
      </c>
      <c r="AA65" s="49">
        <v>4.5824670824670823E-2</v>
      </c>
      <c r="AB65" s="49">
        <v>1.9515765765765767</v>
      </c>
      <c r="AC65" s="49">
        <v>2.5987525987525989E-3</v>
      </c>
      <c r="AD65" s="285">
        <v>0</v>
      </c>
      <c r="AE65" s="285">
        <v>0</v>
      </c>
      <c r="AF65" s="359">
        <v>2</v>
      </c>
      <c r="AG65" s="360">
        <v>4.5824670824670823E-2</v>
      </c>
      <c r="AH65" s="360">
        <v>1.9515765765765767</v>
      </c>
      <c r="AI65" s="361">
        <v>1.9974012474012475</v>
      </c>
      <c r="AJ65" s="360">
        <v>2.5987525987525989E-3</v>
      </c>
      <c r="AK65" s="360">
        <v>5.1152666892547924E-2</v>
      </c>
      <c r="AL65" s="360">
        <v>2.1784847493803636</v>
      </c>
      <c r="AM65" s="360">
        <v>2.2296374162729116</v>
      </c>
      <c r="AN65" s="360">
        <v>2.900907385210658E-3</v>
      </c>
      <c r="AO65" s="360">
        <v>5.3445563870625996E-2</v>
      </c>
      <c r="AP65" s="360">
        <v>2.2761344204940137</v>
      </c>
      <c r="AQ65" s="360">
        <v>2.3295799843646399</v>
      </c>
      <c r="AR65" s="360">
        <v>3.0309393499409832E-3</v>
      </c>
      <c r="AS65" s="360">
        <v>0</v>
      </c>
      <c r="AT65" s="360">
        <v>0</v>
      </c>
      <c r="AU65" s="360">
        <v>2.4888754898456762</v>
      </c>
      <c r="AV65" s="360">
        <v>2.3556930862496688</v>
      </c>
      <c r="AW65" s="360">
        <v>2.2296374162729116</v>
      </c>
      <c r="AX65" s="360">
        <v>2.1103271207365002</v>
      </c>
      <c r="AY65" s="360">
        <v>1.9974012474012475</v>
      </c>
      <c r="AZ65" s="360">
        <v>2.7170018595979002</v>
      </c>
      <c r="BA65" s="360">
        <v>2.515844420786145</v>
      </c>
      <c r="BB65" s="360">
        <v>2.3295799843646399</v>
      </c>
      <c r="BC65" s="360">
        <v>2.1571059238458621</v>
      </c>
      <c r="BD65" s="360">
        <v>1.9974012474012475</v>
      </c>
      <c r="BE65" s="360">
        <v>0</v>
      </c>
      <c r="BF65" s="360">
        <v>0</v>
      </c>
      <c r="BG65" s="360">
        <v>0</v>
      </c>
      <c r="BH65" s="360">
        <v>0</v>
      </c>
      <c r="BI65" s="360">
        <v>0</v>
      </c>
      <c r="BJ65" s="362">
        <v>2.0054217288137806</v>
      </c>
      <c r="BK65" s="362">
        <v>2.0134744161349518</v>
      </c>
      <c r="BL65" s="362">
        <v>2.0215594386862459</v>
      </c>
      <c r="BM65" s="363">
        <v>2.008268572326346</v>
      </c>
      <c r="BN65" s="363">
        <v>1.9950650875814588</v>
      </c>
      <c r="BO65" s="363">
        <v>1.9886941989958595</v>
      </c>
      <c r="BP65" s="363">
        <v>1.9823436547196378</v>
      </c>
      <c r="BQ65" s="363">
        <v>1.9760133897868288</v>
      </c>
      <c r="BR65" s="363">
        <v>1.9697033394389247</v>
      </c>
      <c r="BS65" s="363">
        <v>1.9634134391242133</v>
      </c>
      <c r="BT65" s="363">
        <v>1.9779367451732881</v>
      </c>
      <c r="BU65" s="363">
        <v>1.9925674796500144</v>
      </c>
      <c r="BV65" s="363">
        <v>2.0073064371990159</v>
      </c>
      <c r="BW65" s="363">
        <v>2.0221544183428772</v>
      </c>
      <c r="BX65" s="363">
        <v>2.0371122295256208</v>
      </c>
      <c r="BY65" s="435">
        <v>2.0453234558985547</v>
      </c>
      <c r="BZ65" s="435">
        <v>2.0535346822714886</v>
      </c>
      <c r="CA65" s="435">
        <v>2.061745908644423</v>
      </c>
      <c r="CB65" s="435">
        <v>2.0699571350173569</v>
      </c>
      <c r="CC65" s="363">
        <v>2.0781683613902908</v>
      </c>
      <c r="CD65" s="435">
        <v>2.0848991400526367</v>
      </c>
      <c r="CE65" s="435">
        <v>2.0916299187149825</v>
      </c>
      <c r="CF65" s="435">
        <v>2.0983606973773283</v>
      </c>
      <c r="CG65" s="435">
        <v>2.1050914760396742</v>
      </c>
      <c r="CH65" s="363">
        <v>2.11182225470202</v>
      </c>
      <c r="CI65" s="362">
        <v>2.0054217288137806</v>
      </c>
      <c r="CJ65" s="362">
        <v>2.0134744161349518</v>
      </c>
      <c r="CK65" s="362">
        <v>2.0215594386862459</v>
      </c>
      <c r="CL65" s="363">
        <v>2.008268572326346</v>
      </c>
      <c r="CM65" s="363">
        <v>1.9950650875814588</v>
      </c>
      <c r="CN65" s="363">
        <v>1.9886941989958595</v>
      </c>
      <c r="CO65" s="363">
        <v>1.9823436547196378</v>
      </c>
      <c r="CP65" s="363">
        <v>1.9760133897868288</v>
      </c>
      <c r="CQ65" s="363">
        <v>1.9697033394389247</v>
      </c>
      <c r="CR65" s="363">
        <v>1.9634134391242133</v>
      </c>
      <c r="CS65" s="363">
        <v>1.9779367451732881</v>
      </c>
      <c r="CT65" s="363">
        <v>1.9925674796500144</v>
      </c>
      <c r="CU65" s="363">
        <v>2.0073064371990159</v>
      </c>
      <c r="CV65" s="363">
        <v>2.0221544183428772</v>
      </c>
      <c r="CW65" s="363">
        <v>2.0371122295256208</v>
      </c>
      <c r="CX65" s="435">
        <v>2.0453234558985547</v>
      </c>
      <c r="CY65" s="435">
        <v>2.0535346822714886</v>
      </c>
      <c r="CZ65" s="435">
        <v>2.061745908644423</v>
      </c>
      <c r="DA65" s="435">
        <v>2.0699571350173569</v>
      </c>
      <c r="DB65" s="363">
        <v>2.0781683613902908</v>
      </c>
      <c r="DC65" s="435">
        <v>2.0848991400526367</v>
      </c>
      <c r="DD65" s="435">
        <v>2.0916299187149825</v>
      </c>
      <c r="DE65" s="435">
        <v>2.0983606973773283</v>
      </c>
      <c r="DF65" s="435">
        <v>2.1050914760396742</v>
      </c>
      <c r="DG65" s="363">
        <v>2.11182225470202</v>
      </c>
      <c r="DH65" s="362">
        <v>0</v>
      </c>
      <c r="DI65" s="362">
        <v>0</v>
      </c>
      <c r="DJ65" s="362">
        <v>0</v>
      </c>
      <c r="DK65" s="363">
        <v>0</v>
      </c>
      <c r="DL65" s="363">
        <v>0</v>
      </c>
      <c r="DM65" s="363">
        <v>0</v>
      </c>
      <c r="DN65" s="363">
        <v>0</v>
      </c>
      <c r="DO65" s="363">
        <v>0</v>
      </c>
      <c r="DP65" s="363">
        <v>0</v>
      </c>
      <c r="DQ65" s="363">
        <v>0</v>
      </c>
      <c r="DR65" s="363">
        <v>0</v>
      </c>
      <c r="DS65" s="363">
        <v>0</v>
      </c>
      <c r="DT65" s="363">
        <v>0</v>
      </c>
      <c r="DU65" s="363">
        <v>0</v>
      </c>
      <c r="DV65" s="363">
        <v>0</v>
      </c>
      <c r="DW65" s="435">
        <v>0</v>
      </c>
      <c r="DX65" s="435">
        <v>0</v>
      </c>
      <c r="DY65" s="435">
        <v>0</v>
      </c>
      <c r="DZ65" s="435">
        <v>0</v>
      </c>
      <c r="EA65" s="363">
        <v>0</v>
      </c>
      <c r="EB65" s="435">
        <v>0</v>
      </c>
      <c r="EC65" s="435">
        <v>0</v>
      </c>
      <c r="ED65" s="435">
        <v>0</v>
      </c>
      <c r="EE65" s="435">
        <v>0</v>
      </c>
      <c r="EF65" s="363">
        <v>0</v>
      </c>
      <c r="EG65" s="364">
        <v>2.6091877814386944E-3</v>
      </c>
      <c r="EH65" s="364">
        <v>2.6196648661656937E-3</v>
      </c>
      <c r="EI65" s="364">
        <v>2.6301840211894949E-3</v>
      </c>
      <c r="EJ65" s="365">
        <v>2.6128917152307388E-3</v>
      </c>
      <c r="EK65" s="365">
        <v>2.5957130985967457E-3</v>
      </c>
      <c r="EL65" s="365">
        <v>2.587424146494743E-3</v>
      </c>
      <c r="EM65" s="365">
        <v>2.5791616636997631E-3</v>
      </c>
      <c r="EN65" s="365">
        <v>2.5709255656867405E-3</v>
      </c>
      <c r="EO65" s="365">
        <v>2.5627157682005263E-3</v>
      </c>
      <c r="EP65" s="365">
        <v>2.5545321872550266E-3</v>
      </c>
      <c r="EQ65" s="365">
        <v>2.5734279796686028E-3</v>
      </c>
      <c r="ER65" s="365">
        <v>2.5924635436508124E-3</v>
      </c>
      <c r="ES65" s="365">
        <v>2.6116399130874522E-3</v>
      </c>
      <c r="ET65" s="365">
        <v>2.6309581295119399E-3</v>
      </c>
      <c r="EU65" s="365">
        <v>2.6504192421618797E-3</v>
      </c>
      <c r="EV65" s="436">
        <v>2.6611025967974949E-3</v>
      </c>
      <c r="EW65" s="436">
        <v>2.6717859514331106E-3</v>
      </c>
      <c r="EX65" s="436">
        <v>2.6824693060687257E-3</v>
      </c>
      <c r="EY65" s="436">
        <v>2.6931526607043414E-3</v>
      </c>
      <c r="EZ65" s="365">
        <v>2.7038360153399566E-3</v>
      </c>
      <c r="FA65" s="436">
        <v>2.7125932084993971E-3</v>
      </c>
      <c r="FB65" s="436">
        <v>2.7213504016588373E-3</v>
      </c>
      <c r="FC65" s="436">
        <v>2.7301075948182778E-3</v>
      </c>
      <c r="FD65" s="436">
        <v>2.7388647879777179E-3</v>
      </c>
      <c r="FE65" s="365">
        <v>2.7476219811371585E-3</v>
      </c>
      <c r="FF65" s="364">
        <v>0</v>
      </c>
      <c r="FG65" s="364">
        <v>0</v>
      </c>
      <c r="FH65" s="364">
        <v>0</v>
      </c>
      <c r="FI65" s="365">
        <v>0</v>
      </c>
      <c r="FJ65" s="365">
        <v>0</v>
      </c>
      <c r="FK65" s="365">
        <v>0</v>
      </c>
      <c r="FL65" s="365">
        <v>0</v>
      </c>
      <c r="FM65" s="365">
        <v>0</v>
      </c>
      <c r="FN65" s="365">
        <v>0</v>
      </c>
      <c r="FO65" s="365">
        <v>0</v>
      </c>
      <c r="FP65" s="365">
        <v>0</v>
      </c>
      <c r="FQ65" s="365">
        <v>0</v>
      </c>
      <c r="FR65" s="365">
        <v>0</v>
      </c>
      <c r="FS65" s="365">
        <v>0</v>
      </c>
      <c r="FT65" s="365">
        <v>0</v>
      </c>
      <c r="FU65" s="436">
        <v>0</v>
      </c>
      <c r="FV65" s="436">
        <v>0</v>
      </c>
      <c r="FW65" s="436">
        <v>0</v>
      </c>
      <c r="FX65" s="436">
        <v>0</v>
      </c>
      <c r="FY65" s="365">
        <v>0</v>
      </c>
      <c r="FZ65" s="436">
        <v>0</v>
      </c>
      <c r="GA65" s="436">
        <v>0</v>
      </c>
      <c r="GB65" s="436">
        <v>0</v>
      </c>
      <c r="GC65" s="436">
        <v>0</v>
      </c>
      <c r="GD65" s="365">
        <v>0</v>
      </c>
    </row>
    <row r="66" spans="1:186" ht="15" x14ac:dyDescent="0.25">
      <c r="A66" s="357">
        <v>132</v>
      </c>
      <c r="B66" s="357">
        <v>81</v>
      </c>
      <c r="C66" s="357" t="s">
        <v>975</v>
      </c>
      <c r="D66" s="2">
        <v>99702</v>
      </c>
      <c r="E66" s="268" t="s">
        <v>19</v>
      </c>
      <c r="F66" s="358" t="s">
        <v>915</v>
      </c>
      <c r="G66" s="49">
        <v>1798</v>
      </c>
      <c r="H66" s="49">
        <v>718</v>
      </c>
      <c r="I66" s="49">
        <v>522</v>
      </c>
      <c r="J66" s="49">
        <v>196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834.49503068156923</v>
      </c>
      <c r="T66" s="49">
        <v>834.49503068156923</v>
      </c>
      <c r="U66" s="49">
        <v>1408.3846153846155</v>
      </c>
      <c r="V66" s="49">
        <v>0</v>
      </c>
      <c r="W66" s="49">
        <v>0</v>
      </c>
      <c r="X66" s="49">
        <v>1365.173957061457</v>
      </c>
      <c r="Y66" s="434">
        <v>0</v>
      </c>
      <c r="Z66" s="434">
        <v>0</v>
      </c>
      <c r="AA66" s="49">
        <v>16.451056826056828</v>
      </c>
      <c r="AB66" s="49">
        <v>700.61599099099101</v>
      </c>
      <c r="AC66" s="49">
        <v>0.93295218295218296</v>
      </c>
      <c r="AD66" s="285">
        <v>0</v>
      </c>
      <c r="AE66" s="285">
        <v>0</v>
      </c>
      <c r="AF66" s="359">
        <v>718</v>
      </c>
      <c r="AG66" s="360">
        <v>11.960239085239087</v>
      </c>
      <c r="AH66" s="360">
        <v>509.36148648648646</v>
      </c>
      <c r="AI66" s="361">
        <v>521.32172557172555</v>
      </c>
      <c r="AJ66" s="360">
        <v>0.6782744282744283</v>
      </c>
      <c r="AK66" s="360">
        <v>18.363807414424709</v>
      </c>
      <c r="AL66" s="360">
        <v>782.07602502755049</v>
      </c>
      <c r="AM66" s="360">
        <v>800.43983244197523</v>
      </c>
      <c r="AN66" s="360">
        <v>1.0414257512906262</v>
      </c>
      <c r="AO66" s="360">
        <v>13.949292170233388</v>
      </c>
      <c r="AP66" s="360">
        <v>594.07108374893755</v>
      </c>
      <c r="AQ66" s="360">
        <v>608.02037591917099</v>
      </c>
      <c r="AR66" s="360">
        <v>0.79107517033459662</v>
      </c>
      <c r="AS66" s="360">
        <v>0</v>
      </c>
      <c r="AT66" s="360">
        <v>0</v>
      </c>
      <c r="AU66" s="360">
        <v>893.50630085459773</v>
      </c>
      <c r="AV66" s="360">
        <v>845.69381796363109</v>
      </c>
      <c r="AW66" s="360">
        <v>800.43983244197523</v>
      </c>
      <c r="AX66" s="360">
        <v>757.60743634440371</v>
      </c>
      <c r="AY66" s="360">
        <v>717.06704781704786</v>
      </c>
      <c r="AZ66" s="360">
        <v>709.13748535505192</v>
      </c>
      <c r="BA66" s="360">
        <v>656.63539382518377</v>
      </c>
      <c r="BB66" s="360">
        <v>608.02037591917087</v>
      </c>
      <c r="BC66" s="360">
        <v>563.00464612376993</v>
      </c>
      <c r="BD66" s="360">
        <v>521.32172557172555</v>
      </c>
      <c r="BE66" s="360">
        <v>0</v>
      </c>
      <c r="BF66" s="360">
        <v>0</v>
      </c>
      <c r="BG66" s="360">
        <v>0</v>
      </c>
      <c r="BH66" s="360">
        <v>0</v>
      </c>
      <c r="BI66" s="360">
        <v>0</v>
      </c>
      <c r="BJ66" s="362">
        <v>719.94640064414716</v>
      </c>
      <c r="BK66" s="362">
        <v>722.83731539244775</v>
      </c>
      <c r="BL66" s="362">
        <v>725.73983848836224</v>
      </c>
      <c r="BM66" s="363">
        <v>720.96841746515815</v>
      </c>
      <c r="BN66" s="363">
        <v>716.22836644174367</v>
      </c>
      <c r="BO66" s="363">
        <v>713.94121743951348</v>
      </c>
      <c r="BP66" s="363">
        <v>711.66137204434995</v>
      </c>
      <c r="BQ66" s="363">
        <v>709.38880693347153</v>
      </c>
      <c r="BR66" s="363">
        <v>707.12349885857395</v>
      </c>
      <c r="BS66" s="363">
        <v>704.86542464559261</v>
      </c>
      <c r="BT66" s="363">
        <v>710.07929151721044</v>
      </c>
      <c r="BU66" s="363">
        <v>715.33172519435516</v>
      </c>
      <c r="BV66" s="363">
        <v>720.62301095444661</v>
      </c>
      <c r="BW66" s="363">
        <v>725.95343618509287</v>
      </c>
      <c r="BX66" s="363">
        <v>731.32329039969784</v>
      </c>
      <c r="BY66" s="435">
        <v>734.27112066758116</v>
      </c>
      <c r="BZ66" s="435">
        <v>737.21895093546448</v>
      </c>
      <c r="CA66" s="435">
        <v>740.16678120334768</v>
      </c>
      <c r="CB66" s="435">
        <v>743.114611471231</v>
      </c>
      <c r="CC66" s="363">
        <v>746.06244173911432</v>
      </c>
      <c r="CD66" s="435">
        <v>748.47879127889655</v>
      </c>
      <c r="CE66" s="435">
        <v>750.89514081867867</v>
      </c>
      <c r="CF66" s="435">
        <v>753.3114903584609</v>
      </c>
      <c r="CG66" s="435">
        <v>755.72783989824302</v>
      </c>
      <c r="CH66" s="363">
        <v>758.14418943802525</v>
      </c>
      <c r="CI66" s="362">
        <v>523.41507122039661</v>
      </c>
      <c r="CJ66" s="362">
        <v>525.51682261122244</v>
      </c>
      <c r="CK66" s="362">
        <v>527.62701349711006</v>
      </c>
      <c r="CL66" s="363">
        <v>524.1580973771762</v>
      </c>
      <c r="CM66" s="363">
        <v>520.71198785876061</v>
      </c>
      <c r="CN66" s="363">
        <v>519.04918593791922</v>
      </c>
      <c r="CO66" s="363">
        <v>517.3916938818254</v>
      </c>
      <c r="CP66" s="363">
        <v>515.73949473436221</v>
      </c>
      <c r="CQ66" s="363">
        <v>514.09257159355923</v>
      </c>
      <c r="CR66" s="363">
        <v>512.45090761141955</v>
      </c>
      <c r="CS66" s="363">
        <v>516.2414904902281</v>
      </c>
      <c r="CT66" s="363">
        <v>520.06011218865365</v>
      </c>
      <c r="CU66" s="363">
        <v>523.906980108943</v>
      </c>
      <c r="CV66" s="363">
        <v>527.78230318749081</v>
      </c>
      <c r="CW66" s="363">
        <v>531.68629190618697</v>
      </c>
      <c r="CX66" s="435">
        <v>533.82942198952276</v>
      </c>
      <c r="CY66" s="435">
        <v>535.97255207285855</v>
      </c>
      <c r="CZ66" s="435">
        <v>538.11568215619423</v>
      </c>
      <c r="DA66" s="435">
        <v>540.25881223953002</v>
      </c>
      <c r="DB66" s="363">
        <v>542.40194232286581</v>
      </c>
      <c r="DC66" s="435">
        <v>544.15867555373802</v>
      </c>
      <c r="DD66" s="435">
        <v>545.91540878461035</v>
      </c>
      <c r="DE66" s="435">
        <v>547.67214201548256</v>
      </c>
      <c r="DF66" s="435">
        <v>549.42887524635489</v>
      </c>
      <c r="DG66" s="363">
        <v>551.18560847722711</v>
      </c>
      <c r="DH66" s="362">
        <v>0</v>
      </c>
      <c r="DI66" s="362">
        <v>0</v>
      </c>
      <c r="DJ66" s="362">
        <v>0</v>
      </c>
      <c r="DK66" s="363">
        <v>0</v>
      </c>
      <c r="DL66" s="363">
        <v>0</v>
      </c>
      <c r="DM66" s="363">
        <v>0</v>
      </c>
      <c r="DN66" s="363">
        <v>0</v>
      </c>
      <c r="DO66" s="363">
        <v>0</v>
      </c>
      <c r="DP66" s="363">
        <v>0</v>
      </c>
      <c r="DQ66" s="363">
        <v>0</v>
      </c>
      <c r="DR66" s="363">
        <v>0</v>
      </c>
      <c r="DS66" s="363">
        <v>0</v>
      </c>
      <c r="DT66" s="363">
        <v>0</v>
      </c>
      <c r="DU66" s="363">
        <v>0</v>
      </c>
      <c r="DV66" s="363">
        <v>0</v>
      </c>
      <c r="DW66" s="435">
        <v>0</v>
      </c>
      <c r="DX66" s="435">
        <v>0</v>
      </c>
      <c r="DY66" s="435">
        <v>0</v>
      </c>
      <c r="DZ66" s="435">
        <v>0</v>
      </c>
      <c r="EA66" s="363">
        <v>0</v>
      </c>
      <c r="EB66" s="435">
        <v>0</v>
      </c>
      <c r="EC66" s="435">
        <v>0</v>
      </c>
      <c r="ED66" s="435">
        <v>0</v>
      </c>
      <c r="EE66" s="435">
        <v>0</v>
      </c>
      <c r="EF66" s="363">
        <v>0</v>
      </c>
      <c r="EG66" s="364">
        <v>0.93669841353649119</v>
      </c>
      <c r="EH66" s="364">
        <v>0.94045968695348392</v>
      </c>
      <c r="EI66" s="364">
        <v>0.94423606360702861</v>
      </c>
      <c r="EJ66" s="365">
        <v>0.93802812576783523</v>
      </c>
      <c r="EK66" s="365">
        <v>0.9318610023962316</v>
      </c>
      <c r="EL66" s="365">
        <v>0.92888526859161269</v>
      </c>
      <c r="EM66" s="365">
        <v>0.92591903726821478</v>
      </c>
      <c r="EN66" s="365">
        <v>0.92296227808153974</v>
      </c>
      <c r="EO66" s="365">
        <v>0.92001496078398892</v>
      </c>
      <c r="EP66" s="365">
        <v>0.9170770552245544</v>
      </c>
      <c r="EQ66" s="365">
        <v>0.92386064470102836</v>
      </c>
      <c r="ER66" s="365">
        <v>0.93069441217064153</v>
      </c>
      <c r="ES66" s="365">
        <v>0.93757872879839532</v>
      </c>
      <c r="ET66" s="365">
        <v>0.94451396849478642</v>
      </c>
      <c r="EU66" s="365">
        <v>0.95150050793611474</v>
      </c>
      <c r="EV66" s="436">
        <v>0.95533583225030072</v>
      </c>
      <c r="EW66" s="436">
        <v>0.95917115656448659</v>
      </c>
      <c r="EX66" s="436">
        <v>0.96300648087867258</v>
      </c>
      <c r="EY66" s="436">
        <v>0.96684180519285845</v>
      </c>
      <c r="EZ66" s="365">
        <v>0.97067712950704443</v>
      </c>
      <c r="FA66" s="436">
        <v>0.97382096185128353</v>
      </c>
      <c r="FB66" s="436">
        <v>0.97696479419552262</v>
      </c>
      <c r="FC66" s="436">
        <v>0.98010862653976172</v>
      </c>
      <c r="FD66" s="436">
        <v>0.98325245888400081</v>
      </c>
      <c r="FE66" s="365">
        <v>0.98639629122823991</v>
      </c>
      <c r="FF66" s="364">
        <v>0</v>
      </c>
      <c r="FG66" s="364">
        <v>0</v>
      </c>
      <c r="FH66" s="364">
        <v>0</v>
      </c>
      <c r="FI66" s="365">
        <v>0</v>
      </c>
      <c r="FJ66" s="365">
        <v>0</v>
      </c>
      <c r="FK66" s="365">
        <v>0</v>
      </c>
      <c r="FL66" s="365">
        <v>0</v>
      </c>
      <c r="FM66" s="365">
        <v>0</v>
      </c>
      <c r="FN66" s="365">
        <v>0</v>
      </c>
      <c r="FO66" s="365">
        <v>0</v>
      </c>
      <c r="FP66" s="365">
        <v>0</v>
      </c>
      <c r="FQ66" s="365">
        <v>0</v>
      </c>
      <c r="FR66" s="365">
        <v>0</v>
      </c>
      <c r="FS66" s="365">
        <v>0</v>
      </c>
      <c r="FT66" s="365">
        <v>0</v>
      </c>
      <c r="FU66" s="436">
        <v>0</v>
      </c>
      <c r="FV66" s="436">
        <v>0</v>
      </c>
      <c r="FW66" s="436">
        <v>0</v>
      </c>
      <c r="FX66" s="436">
        <v>0</v>
      </c>
      <c r="FY66" s="365">
        <v>0</v>
      </c>
      <c r="FZ66" s="436">
        <v>0</v>
      </c>
      <c r="GA66" s="436">
        <v>0</v>
      </c>
      <c r="GB66" s="436">
        <v>0</v>
      </c>
      <c r="GC66" s="436">
        <v>0</v>
      </c>
      <c r="GD66" s="365">
        <v>0</v>
      </c>
    </row>
    <row r="67" spans="1:186" ht="15" x14ac:dyDescent="0.25">
      <c r="A67" s="357">
        <v>133</v>
      </c>
      <c r="B67" s="357">
        <v>81</v>
      </c>
      <c r="C67" s="357" t="s">
        <v>976</v>
      </c>
      <c r="D67" s="2">
        <v>99702</v>
      </c>
      <c r="E67" s="268" t="s">
        <v>19</v>
      </c>
      <c r="F67" s="358" t="s">
        <v>915</v>
      </c>
      <c r="G67" s="49">
        <v>57</v>
      </c>
      <c r="H67" s="49">
        <v>25</v>
      </c>
      <c r="I67" s="49">
        <v>21</v>
      </c>
      <c r="J67" s="49">
        <v>4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834.49503068156923</v>
      </c>
      <c r="T67" s="49">
        <v>834.49503068156923</v>
      </c>
      <c r="U67" s="49">
        <v>1408.3846153846155</v>
      </c>
      <c r="V67" s="49">
        <v>0</v>
      </c>
      <c r="W67" s="49">
        <v>0</v>
      </c>
      <c r="X67" s="49">
        <v>1365.173957061457</v>
      </c>
      <c r="Y67" s="434">
        <v>0</v>
      </c>
      <c r="Z67" s="434">
        <v>0</v>
      </c>
      <c r="AA67" s="49">
        <v>0.57280838530838529</v>
      </c>
      <c r="AB67" s="49">
        <v>24.394707207207208</v>
      </c>
      <c r="AC67" s="49">
        <v>3.2484407484407486E-2</v>
      </c>
      <c r="AD67" s="285">
        <v>0</v>
      </c>
      <c r="AE67" s="285">
        <v>0</v>
      </c>
      <c r="AF67" s="359">
        <v>25</v>
      </c>
      <c r="AG67" s="360">
        <v>0.48115904365904361</v>
      </c>
      <c r="AH67" s="360">
        <v>20.491554054054053</v>
      </c>
      <c r="AI67" s="361">
        <v>20.972713097713097</v>
      </c>
      <c r="AJ67" s="360">
        <v>2.7286902286902288E-2</v>
      </c>
      <c r="AK67" s="360">
        <v>0.63940833615684911</v>
      </c>
      <c r="AL67" s="360">
        <v>27.231059367254545</v>
      </c>
      <c r="AM67" s="360">
        <v>27.870467703411393</v>
      </c>
      <c r="AN67" s="360">
        <v>3.626134231513322E-2</v>
      </c>
      <c r="AO67" s="360">
        <v>0.56117842064157297</v>
      </c>
      <c r="AP67" s="360">
        <v>23.899411415187142</v>
      </c>
      <c r="AQ67" s="360">
        <v>24.460589835828713</v>
      </c>
      <c r="AR67" s="360">
        <v>3.1824863174380325E-2</v>
      </c>
      <c r="AS67" s="360">
        <v>0</v>
      </c>
      <c r="AT67" s="360">
        <v>0</v>
      </c>
      <c r="AU67" s="360">
        <v>31.110943623070952</v>
      </c>
      <c r="AV67" s="360">
        <v>29.44616357812086</v>
      </c>
      <c r="AW67" s="360">
        <v>27.870467703411393</v>
      </c>
      <c r="AX67" s="360">
        <v>26.379089009206254</v>
      </c>
      <c r="AY67" s="360">
        <v>24.967515592515593</v>
      </c>
      <c r="AZ67" s="360">
        <v>28.528519525777948</v>
      </c>
      <c r="BA67" s="360">
        <v>26.416366418254519</v>
      </c>
      <c r="BB67" s="360">
        <v>24.460589835828713</v>
      </c>
      <c r="BC67" s="360">
        <v>22.649612200381551</v>
      </c>
      <c r="BD67" s="360">
        <v>20.972713097713097</v>
      </c>
      <c r="BE67" s="360">
        <v>0</v>
      </c>
      <c r="BF67" s="360">
        <v>0</v>
      </c>
      <c r="BG67" s="360">
        <v>0</v>
      </c>
      <c r="BH67" s="360">
        <v>0</v>
      </c>
      <c r="BI67" s="360">
        <v>0</v>
      </c>
      <c r="BJ67" s="362">
        <v>25.067771610172255</v>
      </c>
      <c r="BK67" s="362">
        <v>25.168430201686899</v>
      </c>
      <c r="BL67" s="362">
        <v>25.269492983578072</v>
      </c>
      <c r="BM67" s="363">
        <v>25.103357154079323</v>
      </c>
      <c r="BN67" s="363">
        <v>24.938313594768232</v>
      </c>
      <c r="BO67" s="363">
        <v>24.858677487448244</v>
      </c>
      <c r="BP67" s="363">
        <v>24.779295683995471</v>
      </c>
      <c r="BQ67" s="363">
        <v>24.700167372335358</v>
      </c>
      <c r="BR67" s="363">
        <v>24.621291742986557</v>
      </c>
      <c r="BS67" s="363">
        <v>24.542667989052667</v>
      </c>
      <c r="BT67" s="363">
        <v>24.724209314666101</v>
      </c>
      <c r="BU67" s="363">
        <v>24.90709349562518</v>
      </c>
      <c r="BV67" s="363">
        <v>25.091330464987696</v>
      </c>
      <c r="BW67" s="363">
        <v>25.276930229285963</v>
      </c>
      <c r="BX67" s="363">
        <v>25.46390286907026</v>
      </c>
      <c r="BY67" s="435">
        <v>25.566543198731935</v>
      </c>
      <c r="BZ67" s="435">
        <v>25.66918352839361</v>
      </c>
      <c r="CA67" s="435">
        <v>25.771823858055285</v>
      </c>
      <c r="CB67" s="435">
        <v>25.87446418771696</v>
      </c>
      <c r="CC67" s="363">
        <v>25.977104517378635</v>
      </c>
      <c r="CD67" s="435">
        <v>26.061239250657959</v>
      </c>
      <c r="CE67" s="435">
        <v>26.145373983937283</v>
      </c>
      <c r="CF67" s="435">
        <v>26.229508717216603</v>
      </c>
      <c r="CG67" s="435">
        <v>26.313643450495928</v>
      </c>
      <c r="CH67" s="363">
        <v>26.397778183775252</v>
      </c>
      <c r="CI67" s="362">
        <v>21.056928152544693</v>
      </c>
      <c r="CJ67" s="362">
        <v>21.141481369416994</v>
      </c>
      <c r="CK67" s="362">
        <v>21.226374106205579</v>
      </c>
      <c r="CL67" s="363">
        <v>21.086820009426631</v>
      </c>
      <c r="CM67" s="363">
        <v>20.948183419605314</v>
      </c>
      <c r="CN67" s="363">
        <v>20.881289089456523</v>
      </c>
      <c r="CO67" s="363">
        <v>20.814608374556194</v>
      </c>
      <c r="CP67" s="363">
        <v>20.7481405927617</v>
      </c>
      <c r="CQ67" s="363">
        <v>20.681885064108709</v>
      </c>
      <c r="CR67" s="363">
        <v>20.615841110804237</v>
      </c>
      <c r="CS67" s="363">
        <v>20.768335824319525</v>
      </c>
      <c r="CT67" s="363">
        <v>20.92195853632515</v>
      </c>
      <c r="CU67" s="363">
        <v>21.076717590589663</v>
      </c>
      <c r="CV67" s="363">
        <v>21.232621392600208</v>
      </c>
      <c r="CW67" s="363">
        <v>21.389678410019016</v>
      </c>
      <c r="CX67" s="435">
        <v>21.475896286934823</v>
      </c>
      <c r="CY67" s="435">
        <v>21.56211416385063</v>
      </c>
      <c r="CZ67" s="435">
        <v>21.648332040766437</v>
      </c>
      <c r="DA67" s="435">
        <v>21.734549917682244</v>
      </c>
      <c r="DB67" s="363">
        <v>21.820767794598051</v>
      </c>
      <c r="DC67" s="435">
        <v>21.891440970552683</v>
      </c>
      <c r="DD67" s="435">
        <v>21.962114146507314</v>
      </c>
      <c r="DE67" s="435">
        <v>22.032787322461946</v>
      </c>
      <c r="DF67" s="435">
        <v>22.103460498416577</v>
      </c>
      <c r="DG67" s="363">
        <v>22.174133674371209</v>
      </c>
      <c r="DH67" s="362">
        <v>0</v>
      </c>
      <c r="DI67" s="362">
        <v>0</v>
      </c>
      <c r="DJ67" s="362">
        <v>0</v>
      </c>
      <c r="DK67" s="363">
        <v>0</v>
      </c>
      <c r="DL67" s="363">
        <v>0</v>
      </c>
      <c r="DM67" s="363">
        <v>0</v>
      </c>
      <c r="DN67" s="363">
        <v>0</v>
      </c>
      <c r="DO67" s="363">
        <v>0</v>
      </c>
      <c r="DP67" s="363">
        <v>0</v>
      </c>
      <c r="DQ67" s="363">
        <v>0</v>
      </c>
      <c r="DR67" s="363">
        <v>0</v>
      </c>
      <c r="DS67" s="363">
        <v>0</v>
      </c>
      <c r="DT67" s="363">
        <v>0</v>
      </c>
      <c r="DU67" s="363">
        <v>0</v>
      </c>
      <c r="DV67" s="363">
        <v>0</v>
      </c>
      <c r="DW67" s="435">
        <v>0</v>
      </c>
      <c r="DX67" s="435">
        <v>0</v>
      </c>
      <c r="DY67" s="435">
        <v>0</v>
      </c>
      <c r="DZ67" s="435">
        <v>0</v>
      </c>
      <c r="EA67" s="363">
        <v>0</v>
      </c>
      <c r="EB67" s="435">
        <v>0</v>
      </c>
      <c r="EC67" s="435">
        <v>0</v>
      </c>
      <c r="ED67" s="435">
        <v>0</v>
      </c>
      <c r="EE67" s="435">
        <v>0</v>
      </c>
      <c r="EF67" s="363">
        <v>0</v>
      </c>
      <c r="EG67" s="364">
        <v>3.2614847267983679E-2</v>
      </c>
      <c r="EH67" s="364">
        <v>3.2745810827071169E-2</v>
      </c>
      <c r="EI67" s="364">
        <v>3.2877300264868688E-2</v>
      </c>
      <c r="EJ67" s="365">
        <v>3.2661146440384238E-2</v>
      </c>
      <c r="EK67" s="365">
        <v>3.2446413732459323E-2</v>
      </c>
      <c r="EL67" s="365">
        <v>3.2342801831184285E-2</v>
      </c>
      <c r="EM67" s="365">
        <v>3.2239520796247041E-2</v>
      </c>
      <c r="EN67" s="365">
        <v>3.2136569571084253E-2</v>
      </c>
      <c r="EO67" s="365">
        <v>3.203394710250658E-2</v>
      </c>
      <c r="EP67" s="365">
        <v>3.193165234068783E-2</v>
      </c>
      <c r="EQ67" s="365">
        <v>3.2167849745857534E-2</v>
      </c>
      <c r="ER67" s="365">
        <v>3.2405794295635157E-2</v>
      </c>
      <c r="ES67" s="365">
        <v>3.2645498913593154E-2</v>
      </c>
      <c r="ET67" s="365">
        <v>3.288697661889925E-2</v>
      </c>
      <c r="EU67" s="365">
        <v>3.31302405270235E-2</v>
      </c>
      <c r="EV67" s="436">
        <v>3.3263782459968694E-2</v>
      </c>
      <c r="EW67" s="436">
        <v>3.3397324392913881E-2</v>
      </c>
      <c r="EX67" s="436">
        <v>3.3530866325859075E-2</v>
      </c>
      <c r="EY67" s="436">
        <v>3.3664408258804263E-2</v>
      </c>
      <c r="EZ67" s="365">
        <v>3.3797950191749457E-2</v>
      </c>
      <c r="FA67" s="436">
        <v>3.3907415106242463E-2</v>
      </c>
      <c r="FB67" s="436">
        <v>3.4016880020735468E-2</v>
      </c>
      <c r="FC67" s="436">
        <v>3.4126344935228474E-2</v>
      </c>
      <c r="FD67" s="436">
        <v>3.423580984972148E-2</v>
      </c>
      <c r="FE67" s="365">
        <v>3.4345274764214485E-2</v>
      </c>
      <c r="FF67" s="364">
        <v>0</v>
      </c>
      <c r="FG67" s="364">
        <v>0</v>
      </c>
      <c r="FH67" s="364">
        <v>0</v>
      </c>
      <c r="FI67" s="365">
        <v>0</v>
      </c>
      <c r="FJ67" s="365">
        <v>0</v>
      </c>
      <c r="FK67" s="365">
        <v>0</v>
      </c>
      <c r="FL67" s="365">
        <v>0</v>
      </c>
      <c r="FM67" s="365">
        <v>0</v>
      </c>
      <c r="FN67" s="365">
        <v>0</v>
      </c>
      <c r="FO67" s="365">
        <v>0</v>
      </c>
      <c r="FP67" s="365">
        <v>0</v>
      </c>
      <c r="FQ67" s="365">
        <v>0</v>
      </c>
      <c r="FR67" s="365">
        <v>0</v>
      </c>
      <c r="FS67" s="365">
        <v>0</v>
      </c>
      <c r="FT67" s="365">
        <v>0</v>
      </c>
      <c r="FU67" s="436">
        <v>0</v>
      </c>
      <c r="FV67" s="436">
        <v>0</v>
      </c>
      <c r="FW67" s="436">
        <v>0</v>
      </c>
      <c r="FX67" s="436">
        <v>0</v>
      </c>
      <c r="FY67" s="365">
        <v>0</v>
      </c>
      <c r="FZ67" s="436">
        <v>0</v>
      </c>
      <c r="GA67" s="436">
        <v>0</v>
      </c>
      <c r="GB67" s="436">
        <v>0</v>
      </c>
      <c r="GC67" s="436">
        <v>0</v>
      </c>
      <c r="GD67" s="365">
        <v>0</v>
      </c>
    </row>
    <row r="68" spans="1:186" ht="15" x14ac:dyDescent="0.25">
      <c r="A68" s="357">
        <v>126</v>
      </c>
      <c r="B68" s="357">
        <v>82</v>
      </c>
      <c r="C68" s="357" t="s">
        <v>977</v>
      </c>
      <c r="D68" s="2">
        <v>99705</v>
      </c>
      <c r="E68" s="268" t="s">
        <v>19</v>
      </c>
      <c r="F68" s="358" t="s">
        <v>915</v>
      </c>
      <c r="G68" s="49">
        <v>6</v>
      </c>
      <c r="H68" s="49">
        <v>6</v>
      </c>
      <c r="I68" s="49">
        <v>4</v>
      </c>
      <c r="J68" s="49">
        <v>2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834.49503068156923</v>
      </c>
      <c r="T68" s="49">
        <v>834.49503068156923</v>
      </c>
      <c r="U68" s="49">
        <v>1408.3846153846155</v>
      </c>
      <c r="V68" s="49">
        <v>0</v>
      </c>
      <c r="W68" s="49">
        <v>0</v>
      </c>
      <c r="X68" s="49">
        <v>1365.173957061457</v>
      </c>
      <c r="Y68" s="434">
        <v>0</v>
      </c>
      <c r="Z68" s="434">
        <v>0</v>
      </c>
      <c r="AA68" s="49">
        <v>0.13747401247401247</v>
      </c>
      <c r="AB68" s="49">
        <v>5.8547297297297298</v>
      </c>
      <c r="AC68" s="49">
        <v>7.7962577962577967E-3</v>
      </c>
      <c r="AD68" s="285">
        <v>0</v>
      </c>
      <c r="AE68" s="285">
        <v>0</v>
      </c>
      <c r="AF68" s="359">
        <v>6</v>
      </c>
      <c r="AG68" s="360">
        <v>9.1649341649341645E-2</v>
      </c>
      <c r="AH68" s="360">
        <v>3.9031531531531534</v>
      </c>
      <c r="AI68" s="361">
        <v>3.9948024948024949</v>
      </c>
      <c r="AJ68" s="360">
        <v>5.1975051975051978E-3</v>
      </c>
      <c r="AK68" s="360">
        <v>0.12759673841393845</v>
      </c>
      <c r="AL68" s="360">
        <v>5.4340773529822677</v>
      </c>
      <c r="AM68" s="360">
        <v>5.5616740913962062</v>
      </c>
      <c r="AN68" s="360">
        <v>7.2361099289568135E-3</v>
      </c>
      <c r="AO68" s="360">
        <v>8.5500796513991215E-2</v>
      </c>
      <c r="AP68" s="360">
        <v>3.6412995173226999</v>
      </c>
      <c r="AQ68" s="360">
        <v>3.7268003138366912</v>
      </c>
      <c r="AR68" s="360">
        <v>4.8488164374664204E-3</v>
      </c>
      <c r="AS68" s="360">
        <v>0</v>
      </c>
      <c r="AT68" s="360">
        <v>0</v>
      </c>
      <c r="AU68" s="360">
        <v>5.1620772640036989</v>
      </c>
      <c r="AV68" s="360">
        <v>5.3581518620691204</v>
      </c>
      <c r="AW68" s="360">
        <v>5.5616740913962062</v>
      </c>
      <c r="AX68" s="360">
        <v>5.7729268402935734</v>
      </c>
      <c r="AY68" s="360">
        <v>5.992203742203742</v>
      </c>
      <c r="AZ68" s="360">
        <v>3.4767777874585355</v>
      </c>
      <c r="BA68" s="360">
        <v>3.599618945033058</v>
      </c>
      <c r="BB68" s="360">
        <v>3.7268003138366907</v>
      </c>
      <c r="BC68" s="360">
        <v>3.8584752417691544</v>
      </c>
      <c r="BD68" s="360">
        <v>3.9948024948024949</v>
      </c>
      <c r="BE68" s="360">
        <v>0</v>
      </c>
      <c r="BF68" s="360">
        <v>0</v>
      </c>
      <c r="BG68" s="360">
        <v>0</v>
      </c>
      <c r="BH68" s="360">
        <v>0</v>
      </c>
      <c r="BI68" s="360">
        <v>0</v>
      </c>
      <c r="BJ68" s="362">
        <v>6.0602769305452169</v>
      </c>
      <c r="BK68" s="362">
        <v>6.1291234502302743</v>
      </c>
      <c r="BL68" s="362">
        <v>6.1987520865293195</v>
      </c>
      <c r="BM68" s="363">
        <v>6.1579980112329968</v>
      </c>
      <c r="BN68" s="363">
        <v>6.1175118761010925</v>
      </c>
      <c r="BO68" s="363">
        <v>6.0979766805697189</v>
      </c>
      <c r="BP68" s="363">
        <v>6.0785038672408129</v>
      </c>
      <c r="BQ68" s="363">
        <v>6.0590932369078088</v>
      </c>
      <c r="BR68" s="363">
        <v>6.0397445910002743</v>
      </c>
      <c r="BS68" s="363">
        <v>6.0204577315818755</v>
      </c>
      <c r="BT68" s="363">
        <v>6.0649908637531027</v>
      </c>
      <c r="BU68" s="363">
        <v>6.1098534060704344</v>
      </c>
      <c r="BV68" s="363">
        <v>6.155047795170125</v>
      </c>
      <c r="BW68" s="363">
        <v>6.2005764857121513</v>
      </c>
      <c r="BX68" s="363">
        <v>6.2464419505135229</v>
      </c>
      <c r="BY68" s="435">
        <v>6.2716202142034927</v>
      </c>
      <c r="BZ68" s="435">
        <v>6.2967984778934625</v>
      </c>
      <c r="CA68" s="435">
        <v>6.3219767415834314</v>
      </c>
      <c r="CB68" s="435">
        <v>6.3471550052734012</v>
      </c>
      <c r="CC68" s="363">
        <v>6.3723332689633709</v>
      </c>
      <c r="CD68" s="435">
        <v>6.3929720033378086</v>
      </c>
      <c r="CE68" s="435">
        <v>6.4136107377122471</v>
      </c>
      <c r="CF68" s="435">
        <v>6.4342494720866847</v>
      </c>
      <c r="CG68" s="435">
        <v>6.4548882064611233</v>
      </c>
      <c r="CH68" s="363">
        <v>6.4755269408355609</v>
      </c>
      <c r="CI68" s="362">
        <v>4.0401846203634788</v>
      </c>
      <c r="CJ68" s="362">
        <v>4.0860823001535165</v>
      </c>
      <c r="CK68" s="362">
        <v>4.1325013910195461</v>
      </c>
      <c r="CL68" s="363">
        <v>4.1053320074886637</v>
      </c>
      <c r="CM68" s="363">
        <v>4.0783412507340611</v>
      </c>
      <c r="CN68" s="363">
        <v>4.0653177870464789</v>
      </c>
      <c r="CO68" s="363">
        <v>4.0523359114938753</v>
      </c>
      <c r="CP68" s="363">
        <v>4.0393954912718719</v>
      </c>
      <c r="CQ68" s="363">
        <v>4.0264963940001826</v>
      </c>
      <c r="CR68" s="363">
        <v>4.0136384877212494</v>
      </c>
      <c r="CS68" s="363">
        <v>4.0433272425020679</v>
      </c>
      <c r="CT68" s="363">
        <v>4.0732356040469559</v>
      </c>
      <c r="CU68" s="363">
        <v>4.103365196780083</v>
      </c>
      <c r="CV68" s="363">
        <v>4.1337176571414345</v>
      </c>
      <c r="CW68" s="363">
        <v>4.1642946336756816</v>
      </c>
      <c r="CX68" s="435">
        <v>4.1810801428023279</v>
      </c>
      <c r="CY68" s="435">
        <v>4.1978656519289741</v>
      </c>
      <c r="CZ68" s="435">
        <v>4.2146511610556212</v>
      </c>
      <c r="DA68" s="435">
        <v>4.2314366701822674</v>
      </c>
      <c r="DB68" s="363">
        <v>4.2482221793089137</v>
      </c>
      <c r="DC68" s="435">
        <v>4.2619813355585388</v>
      </c>
      <c r="DD68" s="435">
        <v>4.2757404918081638</v>
      </c>
      <c r="DE68" s="435">
        <v>4.2894996480577898</v>
      </c>
      <c r="DF68" s="435">
        <v>4.3032588043074149</v>
      </c>
      <c r="DG68" s="363">
        <v>4.31701796055704</v>
      </c>
      <c r="DH68" s="362">
        <v>0</v>
      </c>
      <c r="DI68" s="362">
        <v>0</v>
      </c>
      <c r="DJ68" s="362">
        <v>0</v>
      </c>
      <c r="DK68" s="363">
        <v>0</v>
      </c>
      <c r="DL68" s="363">
        <v>0</v>
      </c>
      <c r="DM68" s="363">
        <v>0</v>
      </c>
      <c r="DN68" s="363">
        <v>0</v>
      </c>
      <c r="DO68" s="363">
        <v>0</v>
      </c>
      <c r="DP68" s="363">
        <v>0</v>
      </c>
      <c r="DQ68" s="363">
        <v>0</v>
      </c>
      <c r="DR68" s="363">
        <v>0</v>
      </c>
      <c r="DS68" s="363">
        <v>0</v>
      </c>
      <c r="DT68" s="363">
        <v>0</v>
      </c>
      <c r="DU68" s="363">
        <v>0</v>
      </c>
      <c r="DV68" s="363">
        <v>0</v>
      </c>
      <c r="DW68" s="435">
        <v>0</v>
      </c>
      <c r="DX68" s="435">
        <v>0</v>
      </c>
      <c r="DY68" s="435">
        <v>0</v>
      </c>
      <c r="DZ68" s="435">
        <v>0</v>
      </c>
      <c r="EA68" s="363">
        <v>0</v>
      </c>
      <c r="EB68" s="435">
        <v>0</v>
      </c>
      <c r="EC68" s="435">
        <v>0</v>
      </c>
      <c r="ED68" s="435">
        <v>0</v>
      </c>
      <c r="EE68" s="435">
        <v>0</v>
      </c>
      <c r="EF68" s="363">
        <v>0</v>
      </c>
      <c r="EG68" s="364">
        <v>7.8848255666734545E-3</v>
      </c>
      <c r="EH68" s="364">
        <v>7.9743994928835223E-3</v>
      </c>
      <c r="EI68" s="364">
        <v>8.0649910051123087E-3</v>
      </c>
      <c r="EJ68" s="365">
        <v>8.0119672277296355E-3</v>
      </c>
      <c r="EK68" s="365">
        <v>7.9592920584193247E-3</v>
      </c>
      <c r="EL68" s="365">
        <v>7.9338754626199839E-3</v>
      </c>
      <c r="EM68" s="365">
        <v>7.9085400302378525E-3</v>
      </c>
      <c r="EN68" s="365">
        <v>7.8832855020918684E-3</v>
      </c>
      <c r="EO68" s="365">
        <v>7.8581116198286165E-3</v>
      </c>
      <c r="EP68" s="365">
        <v>7.8330181259196937E-3</v>
      </c>
      <c r="EQ68" s="365">
        <v>7.8909587090204309E-3</v>
      </c>
      <c r="ER68" s="365">
        <v>7.9493278767505011E-3</v>
      </c>
      <c r="ES68" s="365">
        <v>8.008128799336621E-3</v>
      </c>
      <c r="ET68" s="365">
        <v>8.0673646704555717E-3</v>
      </c>
      <c r="EU68" s="365">
        <v>8.1270387074076546E-3</v>
      </c>
      <c r="EV68" s="436">
        <v>8.159797312260594E-3</v>
      </c>
      <c r="EW68" s="436">
        <v>8.1925559171135351E-3</v>
      </c>
      <c r="EX68" s="436">
        <v>8.2253145219664744E-3</v>
      </c>
      <c r="EY68" s="436">
        <v>8.2580731268194155E-3</v>
      </c>
      <c r="EZ68" s="365">
        <v>8.2908317316723549E-3</v>
      </c>
      <c r="FA68" s="436">
        <v>8.3176841053055027E-3</v>
      </c>
      <c r="FB68" s="436">
        <v>8.3445364789386522E-3</v>
      </c>
      <c r="FC68" s="436">
        <v>8.3713888525718001E-3</v>
      </c>
      <c r="FD68" s="436">
        <v>8.3982412262049496E-3</v>
      </c>
      <c r="FE68" s="365">
        <v>8.4250935998380974E-3</v>
      </c>
      <c r="FF68" s="364">
        <v>0</v>
      </c>
      <c r="FG68" s="364">
        <v>0</v>
      </c>
      <c r="FH68" s="364">
        <v>0</v>
      </c>
      <c r="FI68" s="365">
        <v>0</v>
      </c>
      <c r="FJ68" s="365">
        <v>0</v>
      </c>
      <c r="FK68" s="365">
        <v>0</v>
      </c>
      <c r="FL68" s="365">
        <v>0</v>
      </c>
      <c r="FM68" s="365">
        <v>0</v>
      </c>
      <c r="FN68" s="365">
        <v>0</v>
      </c>
      <c r="FO68" s="365">
        <v>0</v>
      </c>
      <c r="FP68" s="365">
        <v>0</v>
      </c>
      <c r="FQ68" s="365">
        <v>0</v>
      </c>
      <c r="FR68" s="365">
        <v>0</v>
      </c>
      <c r="FS68" s="365">
        <v>0</v>
      </c>
      <c r="FT68" s="365">
        <v>0</v>
      </c>
      <c r="FU68" s="436">
        <v>0</v>
      </c>
      <c r="FV68" s="436">
        <v>0</v>
      </c>
      <c r="FW68" s="436">
        <v>0</v>
      </c>
      <c r="FX68" s="436">
        <v>0</v>
      </c>
      <c r="FY68" s="365">
        <v>0</v>
      </c>
      <c r="FZ68" s="436">
        <v>0</v>
      </c>
      <c r="GA68" s="436">
        <v>0</v>
      </c>
      <c r="GB68" s="436">
        <v>0</v>
      </c>
      <c r="GC68" s="436">
        <v>0</v>
      </c>
      <c r="GD68" s="365">
        <v>0</v>
      </c>
    </row>
    <row r="69" spans="1:186" ht="15" x14ac:dyDescent="0.25">
      <c r="A69" s="357">
        <v>127</v>
      </c>
      <c r="B69" s="357">
        <v>82</v>
      </c>
      <c r="C69" s="357" t="s">
        <v>978</v>
      </c>
      <c r="D69" s="2">
        <v>99705</v>
      </c>
      <c r="E69" s="268" t="s">
        <v>19</v>
      </c>
      <c r="F69" s="358" t="s">
        <v>915</v>
      </c>
      <c r="G69" s="49">
        <v>12</v>
      </c>
      <c r="H69" s="49">
        <v>5</v>
      </c>
      <c r="I69" s="49">
        <v>3</v>
      </c>
      <c r="J69" s="49">
        <v>2</v>
      </c>
      <c r="K69" s="49">
        <v>0</v>
      </c>
      <c r="L69" s="49">
        <v>1</v>
      </c>
      <c r="M69" s="49">
        <v>1</v>
      </c>
      <c r="N69" s="49">
        <v>0</v>
      </c>
      <c r="O69" s="49">
        <v>0</v>
      </c>
      <c r="P69" s="49">
        <v>0</v>
      </c>
      <c r="Q69" s="49">
        <v>1</v>
      </c>
      <c r="R69" s="49">
        <v>0</v>
      </c>
      <c r="S69" s="49">
        <v>4837</v>
      </c>
      <c r="T69" s="49">
        <v>4837</v>
      </c>
      <c r="U69" s="49">
        <v>0</v>
      </c>
      <c r="V69" s="49">
        <v>0</v>
      </c>
      <c r="W69" s="49">
        <v>0</v>
      </c>
      <c r="X69" s="49">
        <v>4837</v>
      </c>
      <c r="Y69" s="434">
        <v>4837</v>
      </c>
      <c r="Z69" s="434">
        <v>0</v>
      </c>
      <c r="AA69" s="49">
        <v>0</v>
      </c>
      <c r="AB69" s="49">
        <v>5</v>
      </c>
      <c r="AC69" s="49">
        <v>0</v>
      </c>
      <c r="AD69" s="285">
        <v>0</v>
      </c>
      <c r="AE69" s="285">
        <v>0</v>
      </c>
      <c r="AF69" s="359">
        <v>5</v>
      </c>
      <c r="AG69" s="360">
        <v>0</v>
      </c>
      <c r="AH69" s="360">
        <v>3</v>
      </c>
      <c r="AI69" s="361">
        <v>3</v>
      </c>
      <c r="AJ69" s="360">
        <v>0</v>
      </c>
      <c r="AK69" s="360">
        <v>0</v>
      </c>
      <c r="AL69" s="360">
        <v>4.6407585011043029</v>
      </c>
      <c r="AM69" s="360">
        <v>4.6407585011043029</v>
      </c>
      <c r="AN69" s="360">
        <v>0</v>
      </c>
      <c r="AO69" s="360">
        <v>0</v>
      </c>
      <c r="AP69" s="360">
        <v>2.798736847705618</v>
      </c>
      <c r="AQ69" s="360">
        <v>2.798736847705618</v>
      </c>
      <c r="AR69" s="360">
        <v>0</v>
      </c>
      <c r="AS69" s="360">
        <v>0</v>
      </c>
      <c r="AT69" s="360">
        <v>0</v>
      </c>
      <c r="AU69" s="360">
        <v>4.3073278931143708</v>
      </c>
      <c r="AV69" s="360">
        <v>4.4709359799726727</v>
      </c>
      <c r="AW69" s="360">
        <v>4.6407585011043029</v>
      </c>
      <c r="AX69" s="360">
        <v>4.8170315034802824</v>
      </c>
      <c r="AY69" s="360">
        <v>5</v>
      </c>
      <c r="AZ69" s="360">
        <v>2.6109759809017263</v>
      </c>
      <c r="BA69" s="360">
        <v>2.703226717503358</v>
      </c>
      <c r="BB69" s="360">
        <v>2.798736847705618</v>
      </c>
      <c r="BC69" s="360">
        <v>2.8976215320701999</v>
      </c>
      <c r="BD69" s="360">
        <v>3</v>
      </c>
      <c r="BE69" s="360">
        <v>0</v>
      </c>
      <c r="BF69" s="360">
        <v>0</v>
      </c>
      <c r="BG69" s="360">
        <v>0</v>
      </c>
      <c r="BH69" s="360">
        <v>0</v>
      </c>
      <c r="BI69" s="360">
        <v>0</v>
      </c>
      <c r="BJ69" s="362">
        <v>5.0568014634265754</v>
      </c>
      <c r="BK69" s="362">
        <v>5.1142482081026319</v>
      </c>
      <c r="BL69" s="362">
        <v>5.1723475646120267</v>
      </c>
      <c r="BM69" s="363">
        <v>5.1383416487172724</v>
      </c>
      <c r="BN69" s="363">
        <v>5.1045593067995929</v>
      </c>
      <c r="BO69" s="363">
        <v>5.0882587966936157</v>
      </c>
      <c r="BP69" s="363">
        <v>5.0720103393925422</v>
      </c>
      <c r="BQ69" s="363">
        <v>5.0558137686749172</v>
      </c>
      <c r="BR69" s="363">
        <v>5.0396689188500856</v>
      </c>
      <c r="BS69" s="363">
        <v>5.0235756247564956</v>
      </c>
      <c r="BT69" s="363">
        <v>5.0607348520517688</v>
      </c>
      <c r="BU69" s="363">
        <v>5.0981689449559875</v>
      </c>
      <c r="BV69" s="363">
        <v>5.1358799366412189</v>
      </c>
      <c r="BW69" s="363">
        <v>5.1738698753188395</v>
      </c>
      <c r="BX69" s="363">
        <v>5.2121408243507759</v>
      </c>
      <c r="BY69" s="435">
        <v>5.2331500095964616</v>
      </c>
      <c r="BZ69" s="435">
        <v>5.2541591948421464</v>
      </c>
      <c r="CA69" s="435">
        <v>5.2751683800878322</v>
      </c>
      <c r="CB69" s="435">
        <v>5.296177565333517</v>
      </c>
      <c r="CC69" s="363">
        <v>5.3171867505792028</v>
      </c>
      <c r="CD69" s="435">
        <v>5.3344080728692624</v>
      </c>
      <c r="CE69" s="435">
        <v>5.3516293951593212</v>
      </c>
      <c r="CF69" s="435">
        <v>5.3688507174493809</v>
      </c>
      <c r="CG69" s="435">
        <v>5.3860720397394397</v>
      </c>
      <c r="CH69" s="363">
        <v>5.4032933620294994</v>
      </c>
      <c r="CI69" s="362">
        <v>3.0340808780559456</v>
      </c>
      <c r="CJ69" s="362">
        <v>3.0685489248615792</v>
      </c>
      <c r="CK69" s="362">
        <v>3.1034085387672157</v>
      </c>
      <c r="CL69" s="363">
        <v>3.0830049892303628</v>
      </c>
      <c r="CM69" s="363">
        <v>3.0627355840797557</v>
      </c>
      <c r="CN69" s="363">
        <v>3.0529552780161691</v>
      </c>
      <c r="CO69" s="363">
        <v>3.043206203635525</v>
      </c>
      <c r="CP69" s="363">
        <v>3.0334882612049499</v>
      </c>
      <c r="CQ69" s="363">
        <v>3.023801351310051</v>
      </c>
      <c r="CR69" s="363">
        <v>3.0141453748538973</v>
      </c>
      <c r="CS69" s="363">
        <v>3.0364409112310611</v>
      </c>
      <c r="CT69" s="363">
        <v>3.0589013669735921</v>
      </c>
      <c r="CU69" s="363">
        <v>3.0815279619847309</v>
      </c>
      <c r="CV69" s="363">
        <v>3.1043219251913032</v>
      </c>
      <c r="CW69" s="363">
        <v>3.127284494610465</v>
      </c>
      <c r="CX69" s="435">
        <v>3.1398900057578762</v>
      </c>
      <c r="CY69" s="435">
        <v>3.1524955169052875</v>
      </c>
      <c r="CZ69" s="435">
        <v>3.1651010280526988</v>
      </c>
      <c r="DA69" s="435">
        <v>3.17770653920011</v>
      </c>
      <c r="DB69" s="363">
        <v>3.1903120503475213</v>
      </c>
      <c r="DC69" s="435">
        <v>3.2006448437215571</v>
      </c>
      <c r="DD69" s="435">
        <v>3.2109776370955925</v>
      </c>
      <c r="DE69" s="435">
        <v>3.2213104304696283</v>
      </c>
      <c r="DF69" s="435">
        <v>3.2316432238436636</v>
      </c>
      <c r="DG69" s="363">
        <v>3.2419760172176995</v>
      </c>
      <c r="DH69" s="362">
        <v>0</v>
      </c>
      <c r="DI69" s="362">
        <v>0</v>
      </c>
      <c r="DJ69" s="362">
        <v>0</v>
      </c>
      <c r="DK69" s="363">
        <v>0</v>
      </c>
      <c r="DL69" s="363">
        <v>0</v>
      </c>
      <c r="DM69" s="363">
        <v>0</v>
      </c>
      <c r="DN69" s="363">
        <v>0</v>
      </c>
      <c r="DO69" s="363">
        <v>0</v>
      </c>
      <c r="DP69" s="363">
        <v>0</v>
      </c>
      <c r="DQ69" s="363">
        <v>0</v>
      </c>
      <c r="DR69" s="363">
        <v>0</v>
      </c>
      <c r="DS69" s="363">
        <v>0</v>
      </c>
      <c r="DT69" s="363">
        <v>0</v>
      </c>
      <c r="DU69" s="363">
        <v>0</v>
      </c>
      <c r="DV69" s="363">
        <v>0</v>
      </c>
      <c r="DW69" s="435">
        <v>0</v>
      </c>
      <c r="DX69" s="435">
        <v>0</v>
      </c>
      <c r="DY69" s="435">
        <v>0</v>
      </c>
      <c r="DZ69" s="435">
        <v>0</v>
      </c>
      <c r="EA69" s="363">
        <v>0</v>
      </c>
      <c r="EB69" s="435">
        <v>0</v>
      </c>
      <c r="EC69" s="435">
        <v>0</v>
      </c>
      <c r="ED69" s="435">
        <v>0</v>
      </c>
      <c r="EE69" s="435">
        <v>0</v>
      </c>
      <c r="EF69" s="363">
        <v>0</v>
      </c>
      <c r="EG69" s="364">
        <v>0</v>
      </c>
      <c r="EH69" s="364">
        <v>0</v>
      </c>
      <c r="EI69" s="364">
        <v>0</v>
      </c>
      <c r="EJ69" s="365">
        <v>0</v>
      </c>
      <c r="EK69" s="365">
        <v>0</v>
      </c>
      <c r="EL69" s="365">
        <v>0</v>
      </c>
      <c r="EM69" s="365">
        <v>0</v>
      </c>
      <c r="EN69" s="365">
        <v>0</v>
      </c>
      <c r="EO69" s="365">
        <v>0</v>
      </c>
      <c r="EP69" s="365">
        <v>0</v>
      </c>
      <c r="EQ69" s="365">
        <v>0</v>
      </c>
      <c r="ER69" s="365">
        <v>0</v>
      </c>
      <c r="ES69" s="365">
        <v>0</v>
      </c>
      <c r="ET69" s="365">
        <v>0</v>
      </c>
      <c r="EU69" s="365">
        <v>0</v>
      </c>
      <c r="EV69" s="436">
        <v>0</v>
      </c>
      <c r="EW69" s="436">
        <v>0</v>
      </c>
      <c r="EX69" s="436">
        <v>0</v>
      </c>
      <c r="EY69" s="436">
        <v>0</v>
      </c>
      <c r="EZ69" s="365">
        <v>0</v>
      </c>
      <c r="FA69" s="436">
        <v>0</v>
      </c>
      <c r="FB69" s="436">
        <v>0</v>
      </c>
      <c r="FC69" s="436">
        <v>0</v>
      </c>
      <c r="FD69" s="436">
        <v>0</v>
      </c>
      <c r="FE69" s="365">
        <v>0</v>
      </c>
      <c r="FF69" s="364">
        <v>0</v>
      </c>
      <c r="FG69" s="364">
        <v>0</v>
      </c>
      <c r="FH69" s="364">
        <v>0</v>
      </c>
      <c r="FI69" s="365">
        <v>0</v>
      </c>
      <c r="FJ69" s="365">
        <v>0</v>
      </c>
      <c r="FK69" s="365">
        <v>0</v>
      </c>
      <c r="FL69" s="365">
        <v>0</v>
      </c>
      <c r="FM69" s="365">
        <v>0</v>
      </c>
      <c r="FN69" s="365">
        <v>0</v>
      </c>
      <c r="FO69" s="365">
        <v>0</v>
      </c>
      <c r="FP69" s="365">
        <v>0</v>
      </c>
      <c r="FQ69" s="365">
        <v>0</v>
      </c>
      <c r="FR69" s="365">
        <v>0</v>
      </c>
      <c r="FS69" s="365">
        <v>0</v>
      </c>
      <c r="FT69" s="365">
        <v>0</v>
      </c>
      <c r="FU69" s="436">
        <v>0</v>
      </c>
      <c r="FV69" s="436">
        <v>0</v>
      </c>
      <c r="FW69" s="436">
        <v>0</v>
      </c>
      <c r="FX69" s="436">
        <v>0</v>
      </c>
      <c r="FY69" s="365">
        <v>0</v>
      </c>
      <c r="FZ69" s="436">
        <v>0</v>
      </c>
      <c r="GA69" s="436">
        <v>0</v>
      </c>
      <c r="GB69" s="436">
        <v>0</v>
      </c>
      <c r="GC69" s="436">
        <v>0</v>
      </c>
      <c r="GD69" s="365">
        <v>0</v>
      </c>
    </row>
    <row r="70" spans="1:186" ht="15" x14ac:dyDescent="0.25">
      <c r="A70" s="357">
        <v>132</v>
      </c>
      <c r="B70" s="357">
        <v>82</v>
      </c>
      <c r="C70" s="357" t="s">
        <v>979</v>
      </c>
      <c r="D70" s="2">
        <v>99702</v>
      </c>
      <c r="E70" s="268" t="s">
        <v>19</v>
      </c>
      <c r="F70" s="358" t="s">
        <v>915</v>
      </c>
      <c r="G70" s="49">
        <v>192</v>
      </c>
      <c r="H70" s="49">
        <v>61</v>
      </c>
      <c r="I70" s="49">
        <v>58</v>
      </c>
      <c r="J70" s="49">
        <v>3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834.49503068156923</v>
      </c>
      <c r="T70" s="49">
        <v>834.49503068156923</v>
      </c>
      <c r="U70" s="49">
        <v>1408.3846153846155</v>
      </c>
      <c r="V70" s="49">
        <v>0</v>
      </c>
      <c r="W70" s="49">
        <v>0</v>
      </c>
      <c r="X70" s="49">
        <v>1365.173957061457</v>
      </c>
      <c r="Y70" s="434">
        <v>0</v>
      </c>
      <c r="Z70" s="434">
        <v>0</v>
      </c>
      <c r="AA70" s="49">
        <v>1.3976524601524603</v>
      </c>
      <c r="AB70" s="49">
        <v>59.523085585585584</v>
      </c>
      <c r="AC70" s="49">
        <v>7.9261954261954259E-2</v>
      </c>
      <c r="AD70" s="285">
        <v>0</v>
      </c>
      <c r="AE70" s="285">
        <v>0</v>
      </c>
      <c r="AF70" s="359">
        <v>60.999999999999993</v>
      </c>
      <c r="AG70" s="360">
        <v>1.328915453915454</v>
      </c>
      <c r="AH70" s="360">
        <v>56.59572072072072</v>
      </c>
      <c r="AI70" s="361">
        <v>57.924636174636177</v>
      </c>
      <c r="AJ70" s="360">
        <v>7.5363825363825354E-2</v>
      </c>
      <c r="AK70" s="360">
        <v>1.5601563402227119</v>
      </c>
      <c r="AL70" s="360">
        <v>66.44378485610109</v>
      </c>
      <c r="AM70" s="360">
        <v>68.003941196323808</v>
      </c>
      <c r="AN70" s="360">
        <v>8.8477675248925053E-2</v>
      </c>
      <c r="AO70" s="360">
        <v>1.5499213522481541</v>
      </c>
      <c r="AP70" s="360">
        <v>66.007898194326401</v>
      </c>
      <c r="AQ70" s="360">
        <v>67.557819546574549</v>
      </c>
      <c r="AR70" s="360">
        <v>8.7897241148288494E-2</v>
      </c>
      <c r="AS70" s="360">
        <v>0</v>
      </c>
      <c r="AT70" s="360">
        <v>0</v>
      </c>
      <c r="AU70" s="360">
        <v>75.910702440293122</v>
      </c>
      <c r="AV70" s="360">
        <v>71.848639130614885</v>
      </c>
      <c r="AW70" s="360">
        <v>68.003941196323794</v>
      </c>
      <c r="AX70" s="360">
        <v>64.36497718246325</v>
      </c>
      <c r="AY70" s="360">
        <v>60.920738045738041</v>
      </c>
      <c r="AZ70" s="360">
        <v>78.793053928339106</v>
      </c>
      <c r="BA70" s="360">
        <v>72.959488202798198</v>
      </c>
      <c r="BB70" s="360">
        <v>67.557819546574549</v>
      </c>
      <c r="BC70" s="360">
        <v>62.556071791530002</v>
      </c>
      <c r="BD70" s="360">
        <v>57.924636174636177</v>
      </c>
      <c r="BE70" s="360">
        <v>0</v>
      </c>
      <c r="BF70" s="360">
        <v>0</v>
      </c>
      <c r="BG70" s="360">
        <v>0</v>
      </c>
      <c r="BH70" s="360">
        <v>0</v>
      </c>
      <c r="BI70" s="360">
        <v>0</v>
      </c>
      <c r="BJ70" s="362">
        <v>61.165362728820298</v>
      </c>
      <c r="BK70" s="362">
        <v>61.410969692116026</v>
      </c>
      <c r="BL70" s="362">
        <v>61.657562879930488</v>
      </c>
      <c r="BM70" s="363">
        <v>61.252191455953543</v>
      </c>
      <c r="BN70" s="363">
        <v>60.849485171234484</v>
      </c>
      <c r="BO70" s="363">
        <v>60.655173069373703</v>
      </c>
      <c r="BP70" s="363">
        <v>60.461481468948946</v>
      </c>
      <c r="BQ70" s="363">
        <v>60.268408388498266</v>
      </c>
      <c r="BR70" s="363">
        <v>60.075951852887194</v>
      </c>
      <c r="BS70" s="363">
        <v>59.884109893288496</v>
      </c>
      <c r="BT70" s="363">
        <v>60.327070727785276</v>
      </c>
      <c r="BU70" s="363">
        <v>60.773308129325429</v>
      </c>
      <c r="BV70" s="363">
        <v>61.222846334569972</v>
      </c>
      <c r="BW70" s="363">
        <v>61.675709759457746</v>
      </c>
      <c r="BX70" s="363">
        <v>62.131923000531422</v>
      </c>
      <c r="BY70" s="435">
        <v>62.382365404905912</v>
      </c>
      <c r="BZ70" s="435">
        <v>62.632807809280401</v>
      </c>
      <c r="CA70" s="435">
        <v>62.883250213654883</v>
      </c>
      <c r="CB70" s="435">
        <v>63.133692618029372</v>
      </c>
      <c r="CC70" s="363">
        <v>63.384135022403861</v>
      </c>
      <c r="CD70" s="435">
        <v>63.589423771605411</v>
      </c>
      <c r="CE70" s="435">
        <v>63.794712520806954</v>
      </c>
      <c r="CF70" s="435">
        <v>64.000001270008497</v>
      </c>
      <c r="CG70" s="435">
        <v>64.205290019210054</v>
      </c>
      <c r="CH70" s="363">
        <v>64.410578768411597</v>
      </c>
      <c r="CI70" s="362">
        <v>58.157230135599633</v>
      </c>
      <c r="CJ70" s="362">
        <v>58.390758067913609</v>
      </c>
      <c r="CK70" s="362">
        <v>58.625223721901129</v>
      </c>
      <c r="CL70" s="363">
        <v>58.239788597464035</v>
      </c>
      <c r="CM70" s="363">
        <v>57.856887539862306</v>
      </c>
      <c r="CN70" s="363">
        <v>57.672131770879922</v>
      </c>
      <c r="CO70" s="363">
        <v>57.487965986869497</v>
      </c>
      <c r="CP70" s="363">
        <v>57.30438830381803</v>
      </c>
      <c r="CQ70" s="363">
        <v>57.121396843728817</v>
      </c>
      <c r="CR70" s="363">
        <v>56.938989734602188</v>
      </c>
      <c r="CS70" s="363">
        <v>57.360165610025355</v>
      </c>
      <c r="CT70" s="363">
        <v>57.784456909850419</v>
      </c>
      <c r="CU70" s="363">
        <v>58.211886678771457</v>
      </c>
      <c r="CV70" s="363">
        <v>58.642478131943435</v>
      </c>
      <c r="CW70" s="363">
        <v>59.076254656243002</v>
      </c>
      <c r="CX70" s="435">
        <v>59.314380221058087</v>
      </c>
      <c r="CY70" s="435">
        <v>59.552505785873173</v>
      </c>
      <c r="CZ70" s="435">
        <v>59.790631350688258</v>
      </c>
      <c r="DA70" s="435">
        <v>60.028756915503344</v>
      </c>
      <c r="DB70" s="363">
        <v>60.266882480318429</v>
      </c>
      <c r="DC70" s="435">
        <v>60.462075061526463</v>
      </c>
      <c r="DD70" s="435">
        <v>60.657267642734489</v>
      </c>
      <c r="DE70" s="435">
        <v>60.852460223942522</v>
      </c>
      <c r="DF70" s="435">
        <v>61.047652805150548</v>
      </c>
      <c r="DG70" s="363">
        <v>61.242845386358582</v>
      </c>
      <c r="DH70" s="362">
        <v>0</v>
      </c>
      <c r="DI70" s="362">
        <v>0</v>
      </c>
      <c r="DJ70" s="362">
        <v>0</v>
      </c>
      <c r="DK70" s="363">
        <v>0</v>
      </c>
      <c r="DL70" s="363">
        <v>0</v>
      </c>
      <c r="DM70" s="363">
        <v>0</v>
      </c>
      <c r="DN70" s="363">
        <v>0</v>
      </c>
      <c r="DO70" s="363">
        <v>0</v>
      </c>
      <c r="DP70" s="363">
        <v>0</v>
      </c>
      <c r="DQ70" s="363">
        <v>0</v>
      </c>
      <c r="DR70" s="363">
        <v>0</v>
      </c>
      <c r="DS70" s="363">
        <v>0</v>
      </c>
      <c r="DT70" s="363">
        <v>0</v>
      </c>
      <c r="DU70" s="363">
        <v>0</v>
      </c>
      <c r="DV70" s="363">
        <v>0</v>
      </c>
      <c r="DW70" s="435">
        <v>0</v>
      </c>
      <c r="DX70" s="435">
        <v>0</v>
      </c>
      <c r="DY70" s="435">
        <v>0</v>
      </c>
      <c r="DZ70" s="435">
        <v>0</v>
      </c>
      <c r="EA70" s="363">
        <v>0</v>
      </c>
      <c r="EB70" s="435">
        <v>0</v>
      </c>
      <c r="EC70" s="435">
        <v>0</v>
      </c>
      <c r="ED70" s="435">
        <v>0</v>
      </c>
      <c r="EE70" s="435">
        <v>0</v>
      </c>
      <c r="EF70" s="363">
        <v>0</v>
      </c>
      <c r="EG70" s="364">
        <v>7.9580227333880163E-2</v>
      </c>
      <c r="EH70" s="364">
        <v>7.9899778418053652E-2</v>
      </c>
      <c r="EI70" s="364">
        <v>8.0220612646279582E-2</v>
      </c>
      <c r="EJ70" s="365">
        <v>7.9693197314537528E-2</v>
      </c>
      <c r="EK70" s="365">
        <v>7.9169249507200737E-2</v>
      </c>
      <c r="EL70" s="365">
        <v>7.8916436468089643E-2</v>
      </c>
      <c r="EM70" s="365">
        <v>7.8664430742842753E-2</v>
      </c>
      <c r="EN70" s="365">
        <v>7.8413229753445571E-2</v>
      </c>
      <c r="EO70" s="365">
        <v>7.8162830930116042E-2</v>
      </c>
      <c r="EP70" s="365">
        <v>7.79132317112783E-2</v>
      </c>
      <c r="EQ70" s="365">
        <v>7.8489553379892371E-2</v>
      </c>
      <c r="ER70" s="365">
        <v>7.9070138081349758E-2</v>
      </c>
      <c r="ES70" s="365">
        <v>7.9655017349167273E-2</v>
      </c>
      <c r="ET70" s="365">
        <v>8.0244222950114158E-2</v>
      </c>
      <c r="EU70" s="365">
        <v>8.0837786885937318E-2</v>
      </c>
      <c r="EV70" s="436">
        <v>8.1163629202323589E-2</v>
      </c>
      <c r="EW70" s="436">
        <v>8.1489471518709861E-2</v>
      </c>
      <c r="EX70" s="436">
        <v>8.1815313835096118E-2</v>
      </c>
      <c r="EY70" s="436">
        <v>8.2141156151482389E-2</v>
      </c>
      <c r="EZ70" s="365">
        <v>8.246699846786866E-2</v>
      </c>
      <c r="FA70" s="436">
        <v>8.2734092859231598E-2</v>
      </c>
      <c r="FB70" s="436">
        <v>8.3001187250594521E-2</v>
      </c>
      <c r="FC70" s="436">
        <v>8.3268281641957459E-2</v>
      </c>
      <c r="FD70" s="436">
        <v>8.3535376033320383E-2</v>
      </c>
      <c r="FE70" s="365">
        <v>8.380247042468332E-2</v>
      </c>
      <c r="FF70" s="364">
        <v>0</v>
      </c>
      <c r="FG70" s="364">
        <v>0</v>
      </c>
      <c r="FH70" s="364">
        <v>0</v>
      </c>
      <c r="FI70" s="365">
        <v>0</v>
      </c>
      <c r="FJ70" s="365">
        <v>0</v>
      </c>
      <c r="FK70" s="365">
        <v>0</v>
      </c>
      <c r="FL70" s="365">
        <v>0</v>
      </c>
      <c r="FM70" s="365">
        <v>0</v>
      </c>
      <c r="FN70" s="365">
        <v>0</v>
      </c>
      <c r="FO70" s="365">
        <v>0</v>
      </c>
      <c r="FP70" s="365">
        <v>0</v>
      </c>
      <c r="FQ70" s="365">
        <v>0</v>
      </c>
      <c r="FR70" s="365">
        <v>0</v>
      </c>
      <c r="FS70" s="365">
        <v>0</v>
      </c>
      <c r="FT70" s="365">
        <v>0</v>
      </c>
      <c r="FU70" s="436">
        <v>0</v>
      </c>
      <c r="FV70" s="436">
        <v>0</v>
      </c>
      <c r="FW70" s="436">
        <v>0</v>
      </c>
      <c r="FX70" s="436">
        <v>0</v>
      </c>
      <c r="FY70" s="365">
        <v>0</v>
      </c>
      <c r="FZ70" s="436">
        <v>0</v>
      </c>
      <c r="GA70" s="436">
        <v>0</v>
      </c>
      <c r="GB70" s="436">
        <v>0</v>
      </c>
      <c r="GC70" s="436">
        <v>0</v>
      </c>
      <c r="GD70" s="365">
        <v>0</v>
      </c>
    </row>
    <row r="71" spans="1:186" ht="15" x14ac:dyDescent="0.25">
      <c r="A71" s="357">
        <v>178</v>
      </c>
      <c r="B71" s="357">
        <v>82</v>
      </c>
      <c r="C71" s="357" t="s">
        <v>980</v>
      </c>
      <c r="D71" s="2">
        <v>99712</v>
      </c>
      <c r="E71" s="268" t="s">
        <v>19</v>
      </c>
      <c r="F71" s="358" t="s">
        <v>915</v>
      </c>
      <c r="G71" s="49">
        <v>0</v>
      </c>
      <c r="H71" s="49">
        <v>6</v>
      </c>
      <c r="I71" s="49">
        <v>0</v>
      </c>
      <c r="J71" s="49">
        <v>6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834.49503068156923</v>
      </c>
      <c r="T71" s="49">
        <v>834.49503068156923</v>
      </c>
      <c r="U71" s="49">
        <v>1408.3846153846155</v>
      </c>
      <c r="V71" s="49">
        <v>0</v>
      </c>
      <c r="W71" s="49">
        <v>0</v>
      </c>
      <c r="X71" s="49">
        <v>1365.173957061457</v>
      </c>
      <c r="Y71" s="434">
        <v>0</v>
      </c>
      <c r="Z71" s="434">
        <v>0</v>
      </c>
      <c r="AA71" s="49">
        <v>0.13747401247401247</v>
      </c>
      <c r="AB71" s="49">
        <v>5.8547297297297298</v>
      </c>
      <c r="AC71" s="49">
        <v>7.7962577962577967E-3</v>
      </c>
      <c r="AD71" s="285">
        <v>0</v>
      </c>
      <c r="AE71" s="285">
        <v>0</v>
      </c>
      <c r="AF71" s="359">
        <v>6</v>
      </c>
      <c r="AG71" s="360">
        <v>0</v>
      </c>
      <c r="AH71" s="360">
        <v>0</v>
      </c>
      <c r="AI71" s="361">
        <v>0</v>
      </c>
      <c r="AJ71" s="360">
        <v>0</v>
      </c>
      <c r="AK71" s="360">
        <v>0.12497958307746765</v>
      </c>
      <c r="AL71" s="360">
        <v>5.3226181987755554</v>
      </c>
      <c r="AM71" s="360">
        <v>5.4475977818530232</v>
      </c>
      <c r="AN71" s="360">
        <v>7.0876890214064837E-3</v>
      </c>
      <c r="AO71" s="360">
        <v>0</v>
      </c>
      <c r="AP71" s="360">
        <v>0</v>
      </c>
      <c r="AQ71" s="360">
        <v>0</v>
      </c>
      <c r="AR71" s="360">
        <v>0</v>
      </c>
      <c r="AS71" s="360">
        <v>0</v>
      </c>
      <c r="AT71" s="360">
        <v>0</v>
      </c>
      <c r="AU71" s="360">
        <v>4.9524887453069084</v>
      </c>
      <c r="AV71" s="360">
        <v>5.1941473509697413</v>
      </c>
      <c r="AW71" s="360">
        <v>5.4475977818530223</v>
      </c>
      <c r="AX71" s="360">
        <v>5.7134154246335429</v>
      </c>
      <c r="AY71" s="360">
        <v>5.992203742203742</v>
      </c>
      <c r="AZ71" s="360">
        <v>0</v>
      </c>
      <c r="BA71" s="360">
        <v>0</v>
      </c>
      <c r="BB71" s="360">
        <v>0</v>
      </c>
      <c r="BC71" s="360">
        <v>0</v>
      </c>
      <c r="BD71" s="360">
        <v>0</v>
      </c>
      <c r="BE71" s="360">
        <v>0</v>
      </c>
      <c r="BF71" s="360">
        <v>0</v>
      </c>
      <c r="BG71" s="360">
        <v>0</v>
      </c>
      <c r="BH71" s="360">
        <v>0</v>
      </c>
      <c r="BI71" s="360">
        <v>0</v>
      </c>
      <c r="BJ71" s="362">
        <v>6.06805170463553</v>
      </c>
      <c r="BK71" s="362">
        <v>6.1448597334556716</v>
      </c>
      <c r="BL71" s="362">
        <v>6.2226399809678075</v>
      </c>
      <c r="BM71" s="363">
        <v>6.1817288532462502</v>
      </c>
      <c r="BN71" s="363">
        <v>6.1410866982399011</v>
      </c>
      <c r="BO71" s="363">
        <v>6.1214762206707602</v>
      </c>
      <c r="BP71" s="363">
        <v>6.1019283657040004</v>
      </c>
      <c r="BQ71" s="363">
        <v>6.0824429333653818</v>
      </c>
      <c r="BR71" s="363">
        <v>6.0630197243192487</v>
      </c>
      <c r="BS71" s="363">
        <v>6.0436585398664873</v>
      </c>
      <c r="BT71" s="363">
        <v>6.0883632876702602</v>
      </c>
      <c r="BU71" s="363">
        <v>6.1333987150554501</v>
      </c>
      <c r="BV71" s="363">
        <v>6.1787672680482855</v>
      </c>
      <c r="BW71" s="363">
        <v>6.2244714107681709</v>
      </c>
      <c r="BX71" s="363">
        <v>6.2705136255615175</v>
      </c>
      <c r="BY71" s="435">
        <v>6.2957889177657389</v>
      </c>
      <c r="BZ71" s="435">
        <v>6.3210642099699603</v>
      </c>
      <c r="CA71" s="435">
        <v>6.3463395021741809</v>
      </c>
      <c r="CB71" s="435">
        <v>6.3716147943784023</v>
      </c>
      <c r="CC71" s="363">
        <v>6.3968900865826237</v>
      </c>
      <c r="CD71" s="435">
        <v>6.4176083556603691</v>
      </c>
      <c r="CE71" s="435">
        <v>6.4383266247381155</v>
      </c>
      <c r="CF71" s="435">
        <v>6.4590448938158609</v>
      </c>
      <c r="CG71" s="435">
        <v>6.4797631628936072</v>
      </c>
      <c r="CH71" s="363">
        <v>6.5004814319713526</v>
      </c>
      <c r="CI71" s="362">
        <v>0</v>
      </c>
      <c r="CJ71" s="362">
        <v>0</v>
      </c>
      <c r="CK71" s="362">
        <v>0</v>
      </c>
      <c r="CL71" s="363">
        <v>0</v>
      </c>
      <c r="CM71" s="363">
        <v>0</v>
      </c>
      <c r="CN71" s="363">
        <v>0</v>
      </c>
      <c r="CO71" s="363">
        <v>0</v>
      </c>
      <c r="CP71" s="363">
        <v>0</v>
      </c>
      <c r="CQ71" s="363">
        <v>0</v>
      </c>
      <c r="CR71" s="363">
        <v>0</v>
      </c>
      <c r="CS71" s="363">
        <v>0</v>
      </c>
      <c r="CT71" s="363">
        <v>0</v>
      </c>
      <c r="CU71" s="363">
        <v>0</v>
      </c>
      <c r="CV71" s="363">
        <v>0</v>
      </c>
      <c r="CW71" s="363">
        <v>0</v>
      </c>
      <c r="CX71" s="435">
        <v>0</v>
      </c>
      <c r="CY71" s="435">
        <v>0</v>
      </c>
      <c r="CZ71" s="435">
        <v>0</v>
      </c>
      <c r="DA71" s="435">
        <v>0</v>
      </c>
      <c r="DB71" s="363">
        <v>0</v>
      </c>
      <c r="DC71" s="435">
        <v>0</v>
      </c>
      <c r="DD71" s="435">
        <v>0</v>
      </c>
      <c r="DE71" s="435">
        <v>0</v>
      </c>
      <c r="DF71" s="435">
        <v>0</v>
      </c>
      <c r="DG71" s="363">
        <v>0</v>
      </c>
      <c r="DH71" s="362">
        <v>0</v>
      </c>
      <c r="DI71" s="362">
        <v>0</v>
      </c>
      <c r="DJ71" s="362">
        <v>0</v>
      </c>
      <c r="DK71" s="363">
        <v>0</v>
      </c>
      <c r="DL71" s="363">
        <v>0</v>
      </c>
      <c r="DM71" s="363">
        <v>0</v>
      </c>
      <c r="DN71" s="363">
        <v>0</v>
      </c>
      <c r="DO71" s="363">
        <v>0</v>
      </c>
      <c r="DP71" s="363">
        <v>0</v>
      </c>
      <c r="DQ71" s="363">
        <v>0</v>
      </c>
      <c r="DR71" s="363">
        <v>0</v>
      </c>
      <c r="DS71" s="363">
        <v>0</v>
      </c>
      <c r="DT71" s="363">
        <v>0</v>
      </c>
      <c r="DU71" s="363">
        <v>0</v>
      </c>
      <c r="DV71" s="363">
        <v>0</v>
      </c>
      <c r="DW71" s="435">
        <v>0</v>
      </c>
      <c r="DX71" s="435">
        <v>0</v>
      </c>
      <c r="DY71" s="435">
        <v>0</v>
      </c>
      <c r="DZ71" s="435">
        <v>0</v>
      </c>
      <c r="EA71" s="363">
        <v>0</v>
      </c>
      <c r="EB71" s="435">
        <v>0</v>
      </c>
      <c r="EC71" s="435">
        <v>0</v>
      </c>
      <c r="ED71" s="435">
        <v>0</v>
      </c>
      <c r="EE71" s="435">
        <v>0</v>
      </c>
      <c r="EF71" s="363">
        <v>0</v>
      </c>
      <c r="EG71" s="364">
        <v>7.8949410677017062E-3</v>
      </c>
      <c r="EH71" s="364">
        <v>7.9948734497211453E-3</v>
      </c>
      <c r="EI71" s="364">
        <v>8.0960707532758362E-3</v>
      </c>
      <c r="EJ71" s="365">
        <v>8.0428426401850765E-3</v>
      </c>
      <c r="EK71" s="365">
        <v>7.9899644785843115E-3</v>
      </c>
      <c r="EL71" s="365">
        <v>7.9644499358193614E-3</v>
      </c>
      <c r="EM71" s="365">
        <v>7.9390168692479845E-3</v>
      </c>
      <c r="EN71" s="365">
        <v>7.9136650186903239E-3</v>
      </c>
      <c r="EO71" s="365">
        <v>7.8883941247973582E-3</v>
      </c>
      <c r="EP71" s="365">
        <v>7.8632039290482542E-3</v>
      </c>
      <c r="EQ71" s="365">
        <v>7.9213677955637003E-3</v>
      </c>
      <c r="ER71" s="365">
        <v>7.9799618983287159E-3</v>
      </c>
      <c r="ES71" s="365">
        <v>8.0389894197869967E-3</v>
      </c>
      <c r="ET71" s="365">
        <v>8.0984535659226788E-3</v>
      </c>
      <c r="EU71" s="365">
        <v>8.1583575664344495E-3</v>
      </c>
      <c r="EV71" s="436">
        <v>8.1912424118731966E-3</v>
      </c>
      <c r="EW71" s="436">
        <v>8.2241272573119438E-3</v>
      </c>
      <c r="EX71" s="436">
        <v>8.257012102750691E-3</v>
      </c>
      <c r="EY71" s="436">
        <v>8.2898969481894381E-3</v>
      </c>
      <c r="EZ71" s="365">
        <v>8.3227817936281853E-3</v>
      </c>
      <c r="FA71" s="436">
        <v>8.3497376472292072E-3</v>
      </c>
      <c r="FB71" s="436">
        <v>8.3766935008302307E-3</v>
      </c>
      <c r="FC71" s="436">
        <v>8.4036493544312526E-3</v>
      </c>
      <c r="FD71" s="436">
        <v>8.4306052080322762E-3</v>
      </c>
      <c r="FE71" s="365">
        <v>8.457561061633298E-3</v>
      </c>
      <c r="FF71" s="364">
        <v>0</v>
      </c>
      <c r="FG71" s="364">
        <v>0</v>
      </c>
      <c r="FH71" s="364">
        <v>0</v>
      </c>
      <c r="FI71" s="365">
        <v>0</v>
      </c>
      <c r="FJ71" s="365">
        <v>0</v>
      </c>
      <c r="FK71" s="365">
        <v>0</v>
      </c>
      <c r="FL71" s="365">
        <v>0</v>
      </c>
      <c r="FM71" s="365">
        <v>0</v>
      </c>
      <c r="FN71" s="365">
        <v>0</v>
      </c>
      <c r="FO71" s="365">
        <v>0</v>
      </c>
      <c r="FP71" s="365">
        <v>0</v>
      </c>
      <c r="FQ71" s="365">
        <v>0</v>
      </c>
      <c r="FR71" s="365">
        <v>0</v>
      </c>
      <c r="FS71" s="365">
        <v>0</v>
      </c>
      <c r="FT71" s="365">
        <v>0</v>
      </c>
      <c r="FU71" s="436">
        <v>0</v>
      </c>
      <c r="FV71" s="436">
        <v>0</v>
      </c>
      <c r="FW71" s="436">
        <v>0</v>
      </c>
      <c r="FX71" s="436">
        <v>0</v>
      </c>
      <c r="FY71" s="365">
        <v>0</v>
      </c>
      <c r="FZ71" s="436">
        <v>0</v>
      </c>
      <c r="GA71" s="436">
        <v>0</v>
      </c>
      <c r="GB71" s="436">
        <v>0</v>
      </c>
      <c r="GC71" s="436">
        <v>0</v>
      </c>
      <c r="GD71" s="365">
        <v>0</v>
      </c>
    </row>
    <row r="72" spans="1:186" ht="15" x14ac:dyDescent="0.25">
      <c r="A72" s="357">
        <v>88</v>
      </c>
      <c r="B72" s="357">
        <v>83</v>
      </c>
      <c r="C72" s="357" t="s">
        <v>981</v>
      </c>
      <c r="D72" s="2">
        <v>99709</v>
      </c>
      <c r="E72" s="268" t="s">
        <v>19</v>
      </c>
      <c r="F72" s="358" t="s">
        <v>915</v>
      </c>
      <c r="G72" s="49">
        <v>0</v>
      </c>
      <c r="H72" s="49">
        <v>11</v>
      </c>
      <c r="I72" s="49">
        <v>0</v>
      </c>
      <c r="J72" s="49">
        <v>11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834.49503068156923</v>
      </c>
      <c r="T72" s="49">
        <v>834.49503068156923</v>
      </c>
      <c r="U72" s="49">
        <v>1408.3846153846155</v>
      </c>
      <c r="V72" s="49">
        <v>0</v>
      </c>
      <c r="W72" s="49">
        <v>0</v>
      </c>
      <c r="X72" s="49">
        <v>1365.173957061457</v>
      </c>
      <c r="Y72" s="434">
        <v>0</v>
      </c>
      <c r="Z72" s="434">
        <v>0</v>
      </c>
      <c r="AA72" s="49">
        <v>0.25203568953568956</v>
      </c>
      <c r="AB72" s="49">
        <v>10.733671171171171</v>
      </c>
      <c r="AC72" s="49">
        <v>1.4293139293139294E-2</v>
      </c>
      <c r="AD72" s="285">
        <v>0</v>
      </c>
      <c r="AE72" s="285">
        <v>0</v>
      </c>
      <c r="AF72" s="359">
        <v>11</v>
      </c>
      <c r="AG72" s="360">
        <v>0</v>
      </c>
      <c r="AH72" s="360">
        <v>0</v>
      </c>
      <c r="AI72" s="361">
        <v>0</v>
      </c>
      <c r="AJ72" s="360">
        <v>0</v>
      </c>
      <c r="AK72" s="360">
        <v>0.23997789763297106</v>
      </c>
      <c r="AL72" s="360">
        <v>10.220155114883184</v>
      </c>
      <c r="AM72" s="360">
        <v>10.460133012516154</v>
      </c>
      <c r="AN72" s="360">
        <v>1.3609332568977565E-2</v>
      </c>
      <c r="AO72" s="360">
        <v>0</v>
      </c>
      <c r="AP72" s="360">
        <v>0</v>
      </c>
      <c r="AQ72" s="360">
        <v>0</v>
      </c>
      <c r="AR72" s="360">
        <v>0</v>
      </c>
      <c r="AS72" s="360">
        <v>0</v>
      </c>
      <c r="AT72" s="360">
        <v>0</v>
      </c>
      <c r="AU72" s="360">
        <v>9.9597034607648514</v>
      </c>
      <c r="AV72" s="360">
        <v>10.206851765594415</v>
      </c>
      <c r="AW72" s="360">
        <v>10.460133012516156</v>
      </c>
      <c r="AX72" s="360">
        <v>10.719699389418766</v>
      </c>
      <c r="AY72" s="360">
        <v>10.985706860706861</v>
      </c>
      <c r="AZ72" s="360">
        <v>0</v>
      </c>
      <c r="BA72" s="360">
        <v>0</v>
      </c>
      <c r="BB72" s="360">
        <v>0</v>
      </c>
      <c r="BC72" s="360">
        <v>0</v>
      </c>
      <c r="BD72" s="360">
        <v>0</v>
      </c>
      <c r="BE72" s="360">
        <v>0</v>
      </c>
      <c r="BF72" s="360">
        <v>0</v>
      </c>
      <c r="BG72" s="360">
        <v>0</v>
      </c>
      <c r="BH72" s="360">
        <v>0</v>
      </c>
      <c r="BI72" s="360">
        <v>0</v>
      </c>
      <c r="BJ72" s="362">
        <v>11.04198256137976</v>
      </c>
      <c r="BK72" s="362">
        <v>11.098546541589551</v>
      </c>
      <c r="BL72" s="362">
        <v>11.155400278085349</v>
      </c>
      <c r="BM72" s="363">
        <v>11.082058415635053</v>
      </c>
      <c r="BN72" s="363">
        <v>11.00919874375198</v>
      </c>
      <c r="BO72" s="363">
        <v>10.974042808715199</v>
      </c>
      <c r="BP72" s="363">
        <v>10.938999137958234</v>
      </c>
      <c r="BQ72" s="363">
        <v>10.904067372984899</v>
      </c>
      <c r="BR72" s="363">
        <v>10.869247156443809</v>
      </c>
      <c r="BS72" s="363">
        <v>10.834538132124713</v>
      </c>
      <c r="BT72" s="363">
        <v>10.914680862156859</v>
      </c>
      <c r="BU72" s="363">
        <v>10.995416405384978</v>
      </c>
      <c r="BV72" s="363">
        <v>11.076749146829211</v>
      </c>
      <c r="BW72" s="363">
        <v>11.158683503945555</v>
      </c>
      <c r="BX72" s="363">
        <v>11.241223926865777</v>
      </c>
      <c r="BY72" s="435">
        <v>11.286535242086652</v>
      </c>
      <c r="BZ72" s="435">
        <v>11.331846557307529</v>
      </c>
      <c r="CA72" s="435">
        <v>11.377157872528404</v>
      </c>
      <c r="CB72" s="435">
        <v>11.422469187749281</v>
      </c>
      <c r="CC72" s="363">
        <v>11.467780502970156</v>
      </c>
      <c r="CD72" s="435">
        <v>11.504922388944312</v>
      </c>
      <c r="CE72" s="435">
        <v>11.542064274918468</v>
      </c>
      <c r="CF72" s="435">
        <v>11.579206160892625</v>
      </c>
      <c r="CG72" s="435">
        <v>11.616348046866781</v>
      </c>
      <c r="CH72" s="363">
        <v>11.653489932840937</v>
      </c>
      <c r="CI72" s="362">
        <v>0</v>
      </c>
      <c r="CJ72" s="362">
        <v>0</v>
      </c>
      <c r="CK72" s="362">
        <v>0</v>
      </c>
      <c r="CL72" s="363">
        <v>0</v>
      </c>
      <c r="CM72" s="363">
        <v>0</v>
      </c>
      <c r="CN72" s="363">
        <v>0</v>
      </c>
      <c r="CO72" s="363">
        <v>0</v>
      </c>
      <c r="CP72" s="363">
        <v>0</v>
      </c>
      <c r="CQ72" s="363">
        <v>0</v>
      </c>
      <c r="CR72" s="363">
        <v>0</v>
      </c>
      <c r="CS72" s="363">
        <v>0</v>
      </c>
      <c r="CT72" s="363">
        <v>0</v>
      </c>
      <c r="CU72" s="363">
        <v>0</v>
      </c>
      <c r="CV72" s="363">
        <v>0</v>
      </c>
      <c r="CW72" s="363">
        <v>0</v>
      </c>
      <c r="CX72" s="435">
        <v>0</v>
      </c>
      <c r="CY72" s="435">
        <v>0</v>
      </c>
      <c r="CZ72" s="435">
        <v>0</v>
      </c>
      <c r="DA72" s="435">
        <v>0</v>
      </c>
      <c r="DB72" s="363">
        <v>0</v>
      </c>
      <c r="DC72" s="435">
        <v>0</v>
      </c>
      <c r="DD72" s="435">
        <v>0</v>
      </c>
      <c r="DE72" s="435">
        <v>0</v>
      </c>
      <c r="DF72" s="435">
        <v>0</v>
      </c>
      <c r="DG72" s="363">
        <v>0</v>
      </c>
      <c r="DH72" s="362">
        <v>0</v>
      </c>
      <c r="DI72" s="362">
        <v>0</v>
      </c>
      <c r="DJ72" s="362">
        <v>0</v>
      </c>
      <c r="DK72" s="363">
        <v>0</v>
      </c>
      <c r="DL72" s="363">
        <v>0</v>
      </c>
      <c r="DM72" s="363">
        <v>0</v>
      </c>
      <c r="DN72" s="363">
        <v>0</v>
      </c>
      <c r="DO72" s="363">
        <v>0</v>
      </c>
      <c r="DP72" s="363">
        <v>0</v>
      </c>
      <c r="DQ72" s="363">
        <v>0</v>
      </c>
      <c r="DR72" s="363">
        <v>0</v>
      </c>
      <c r="DS72" s="363">
        <v>0</v>
      </c>
      <c r="DT72" s="363">
        <v>0</v>
      </c>
      <c r="DU72" s="363">
        <v>0</v>
      </c>
      <c r="DV72" s="363">
        <v>0</v>
      </c>
      <c r="DW72" s="435">
        <v>0</v>
      </c>
      <c r="DX72" s="435">
        <v>0</v>
      </c>
      <c r="DY72" s="435">
        <v>0</v>
      </c>
      <c r="DZ72" s="435">
        <v>0</v>
      </c>
      <c r="EA72" s="363">
        <v>0</v>
      </c>
      <c r="EB72" s="435">
        <v>0</v>
      </c>
      <c r="EC72" s="435">
        <v>0</v>
      </c>
      <c r="ED72" s="435">
        <v>0</v>
      </c>
      <c r="EE72" s="435">
        <v>0</v>
      </c>
      <c r="EF72" s="363">
        <v>0</v>
      </c>
      <c r="EG72" s="364">
        <v>1.4366357743143066E-2</v>
      </c>
      <c r="EH72" s="364">
        <v>1.443995126410298E-2</v>
      </c>
      <c r="EI72" s="364">
        <v>1.4513921777368398E-2</v>
      </c>
      <c r="EJ72" s="365">
        <v>1.441849910959544E-2</v>
      </c>
      <c r="EK72" s="365">
        <v>1.4323703803996854E-2</v>
      </c>
      <c r="EL72" s="365">
        <v>1.4277963581466564E-2</v>
      </c>
      <c r="EM72" s="365">
        <v>1.4232369422271969E-2</v>
      </c>
      <c r="EN72" s="365">
        <v>1.4186920859985561E-2</v>
      </c>
      <c r="EO72" s="365">
        <v>1.4141617429669283E-2</v>
      </c>
      <c r="EP72" s="365">
        <v>1.4096458667869781E-2</v>
      </c>
      <c r="EQ72" s="365">
        <v>1.4200729719173641E-2</v>
      </c>
      <c r="ER72" s="365">
        <v>1.4305772060089747E-2</v>
      </c>
      <c r="ES72" s="365">
        <v>1.4411591395822551E-2</v>
      </c>
      <c r="ET72" s="365">
        <v>1.4518193473777722E-2</v>
      </c>
      <c r="EU72" s="365">
        <v>1.4625584083874288E-2</v>
      </c>
      <c r="EV72" s="436">
        <v>1.4684537135163484E-2</v>
      </c>
      <c r="EW72" s="436">
        <v>1.4743490186452679E-2</v>
      </c>
      <c r="EX72" s="436">
        <v>1.4802443237741877E-2</v>
      </c>
      <c r="EY72" s="436">
        <v>1.4861396289031072E-2</v>
      </c>
      <c r="EZ72" s="365">
        <v>1.4920349340320268E-2</v>
      </c>
      <c r="FA72" s="436">
        <v>1.4968673417830229E-2</v>
      </c>
      <c r="FB72" s="436">
        <v>1.5016997495340191E-2</v>
      </c>
      <c r="FC72" s="436">
        <v>1.5065321572850152E-2</v>
      </c>
      <c r="FD72" s="436">
        <v>1.5113645650360115E-2</v>
      </c>
      <c r="FE72" s="365">
        <v>1.5161969727870076E-2</v>
      </c>
      <c r="FF72" s="364">
        <v>0</v>
      </c>
      <c r="FG72" s="364">
        <v>0</v>
      </c>
      <c r="FH72" s="364">
        <v>0</v>
      </c>
      <c r="FI72" s="365">
        <v>0</v>
      </c>
      <c r="FJ72" s="365">
        <v>0</v>
      </c>
      <c r="FK72" s="365">
        <v>0</v>
      </c>
      <c r="FL72" s="365">
        <v>0</v>
      </c>
      <c r="FM72" s="365">
        <v>0</v>
      </c>
      <c r="FN72" s="365">
        <v>0</v>
      </c>
      <c r="FO72" s="365">
        <v>0</v>
      </c>
      <c r="FP72" s="365">
        <v>0</v>
      </c>
      <c r="FQ72" s="365">
        <v>0</v>
      </c>
      <c r="FR72" s="365">
        <v>0</v>
      </c>
      <c r="FS72" s="365">
        <v>0</v>
      </c>
      <c r="FT72" s="365">
        <v>0</v>
      </c>
      <c r="FU72" s="436">
        <v>0</v>
      </c>
      <c r="FV72" s="436">
        <v>0</v>
      </c>
      <c r="FW72" s="436">
        <v>0</v>
      </c>
      <c r="FX72" s="436">
        <v>0</v>
      </c>
      <c r="FY72" s="365">
        <v>0</v>
      </c>
      <c r="FZ72" s="436">
        <v>0</v>
      </c>
      <c r="GA72" s="436">
        <v>0</v>
      </c>
      <c r="GB72" s="436">
        <v>0</v>
      </c>
      <c r="GC72" s="436">
        <v>0</v>
      </c>
      <c r="GD72" s="365">
        <v>0</v>
      </c>
    </row>
    <row r="73" spans="1:186" ht="15" x14ac:dyDescent="0.25">
      <c r="A73" s="357">
        <v>129</v>
      </c>
      <c r="B73" s="357">
        <v>83</v>
      </c>
      <c r="C73" s="357" t="s">
        <v>982</v>
      </c>
      <c r="D73" s="2">
        <v>99705</v>
      </c>
      <c r="E73" s="268" t="s">
        <v>19</v>
      </c>
      <c r="F73" s="358" t="s">
        <v>915</v>
      </c>
      <c r="G73" s="49">
        <v>98</v>
      </c>
      <c r="H73" s="49">
        <v>42</v>
      </c>
      <c r="I73" s="49">
        <v>33</v>
      </c>
      <c r="J73" s="49">
        <v>9</v>
      </c>
      <c r="K73" s="49">
        <v>5</v>
      </c>
      <c r="L73" s="49">
        <v>29</v>
      </c>
      <c r="M73" s="49">
        <v>34</v>
      </c>
      <c r="N73" s="49">
        <v>5</v>
      </c>
      <c r="O73" s="49">
        <v>0</v>
      </c>
      <c r="P73" s="49">
        <v>0</v>
      </c>
      <c r="Q73" s="49">
        <v>39</v>
      </c>
      <c r="R73" s="49">
        <v>4566.2</v>
      </c>
      <c r="S73" s="49">
        <v>1846.7931034482758</v>
      </c>
      <c r="T73" s="49">
        <v>2246.705882352941</v>
      </c>
      <c r="U73" s="49">
        <v>5453.2</v>
      </c>
      <c r="V73" s="49">
        <v>0</v>
      </c>
      <c r="W73" s="49">
        <v>0</v>
      </c>
      <c r="X73" s="49">
        <v>2657.7948717948716</v>
      </c>
      <c r="Y73" s="434">
        <v>76388</v>
      </c>
      <c r="Z73" s="434">
        <v>27266</v>
      </c>
      <c r="AA73" s="49">
        <v>6.1764705882352944</v>
      </c>
      <c r="AB73" s="49">
        <v>35.823529411764703</v>
      </c>
      <c r="AC73" s="49">
        <v>0</v>
      </c>
      <c r="AD73" s="285">
        <v>5</v>
      </c>
      <c r="AE73" s="285">
        <v>0</v>
      </c>
      <c r="AF73" s="359">
        <v>47</v>
      </c>
      <c r="AG73" s="360">
        <v>4.8529411764705888</v>
      </c>
      <c r="AH73" s="360">
        <v>28.147058823529409</v>
      </c>
      <c r="AI73" s="361">
        <v>33</v>
      </c>
      <c r="AJ73" s="360">
        <v>0</v>
      </c>
      <c r="AK73" s="360">
        <v>5.7327016778347266</v>
      </c>
      <c r="AL73" s="360">
        <v>33.249669731441415</v>
      </c>
      <c r="AM73" s="360">
        <v>38.982371409276141</v>
      </c>
      <c r="AN73" s="360">
        <v>0</v>
      </c>
      <c r="AO73" s="360">
        <v>4.5273684301120296</v>
      </c>
      <c r="AP73" s="360">
        <v>26.258736894649765</v>
      </c>
      <c r="AQ73" s="360">
        <v>30.786105324761795</v>
      </c>
      <c r="AR73" s="360">
        <v>0</v>
      </c>
      <c r="AS73" s="360">
        <v>4.7005383366745468</v>
      </c>
      <c r="AT73" s="360">
        <v>0</v>
      </c>
      <c r="AU73" s="360">
        <v>36.181554302160713</v>
      </c>
      <c r="AV73" s="360">
        <v>37.555862231770448</v>
      </c>
      <c r="AW73" s="360">
        <v>38.982371409276141</v>
      </c>
      <c r="AX73" s="360">
        <v>40.463064629234374</v>
      </c>
      <c r="AY73" s="360">
        <v>42</v>
      </c>
      <c r="AZ73" s="360">
        <v>28.720735789918987</v>
      </c>
      <c r="BA73" s="360">
        <v>29.73549389253694</v>
      </c>
      <c r="BB73" s="360">
        <v>30.786105324761795</v>
      </c>
      <c r="BC73" s="360">
        <v>31.8738368527722</v>
      </c>
      <c r="BD73" s="360">
        <v>33</v>
      </c>
      <c r="BE73" s="360">
        <v>4.4190121309094232</v>
      </c>
      <c r="BF73" s="360">
        <v>4.5576019935454681</v>
      </c>
      <c r="BG73" s="360">
        <v>4.7005383366745468</v>
      </c>
      <c r="BH73" s="360">
        <v>4.8479574754088688</v>
      </c>
      <c r="BI73" s="360">
        <v>5</v>
      </c>
      <c r="BJ73" s="362">
        <v>42.477132292783239</v>
      </c>
      <c r="BK73" s="362">
        <v>42.959684948062105</v>
      </c>
      <c r="BL73" s="362">
        <v>43.447719542741019</v>
      </c>
      <c r="BM73" s="363">
        <v>43.162069849225077</v>
      </c>
      <c r="BN73" s="363">
        <v>42.878298177116577</v>
      </c>
      <c r="BO73" s="363">
        <v>42.74137389222637</v>
      </c>
      <c r="BP73" s="363">
        <v>42.604886850897351</v>
      </c>
      <c r="BQ73" s="363">
        <v>42.468835656869302</v>
      </c>
      <c r="BR73" s="363">
        <v>42.333218918340712</v>
      </c>
      <c r="BS73" s="363">
        <v>42.198035247954564</v>
      </c>
      <c r="BT73" s="363">
        <v>42.510172757234855</v>
      </c>
      <c r="BU73" s="363">
        <v>42.824619137630293</v>
      </c>
      <c r="BV73" s="363">
        <v>43.141391467786228</v>
      </c>
      <c r="BW73" s="363">
        <v>43.460506952678244</v>
      </c>
      <c r="BX73" s="363">
        <v>43.781982924546512</v>
      </c>
      <c r="BY73" s="435">
        <v>43.958460080610266</v>
      </c>
      <c r="BZ73" s="435">
        <v>44.134937236674027</v>
      </c>
      <c r="CA73" s="435">
        <v>44.311414392737781</v>
      </c>
      <c r="CB73" s="435">
        <v>44.487891548801542</v>
      </c>
      <c r="CC73" s="363">
        <v>44.664368704865296</v>
      </c>
      <c r="CD73" s="435">
        <v>44.809027812101796</v>
      </c>
      <c r="CE73" s="435">
        <v>44.953686919338296</v>
      </c>
      <c r="CF73" s="435">
        <v>45.098346026574788</v>
      </c>
      <c r="CG73" s="435">
        <v>45.243005133811288</v>
      </c>
      <c r="CH73" s="363">
        <v>45.387664241047787</v>
      </c>
      <c r="CI73" s="362">
        <v>33.374889658615402</v>
      </c>
      <c r="CJ73" s="362">
        <v>33.754038173477369</v>
      </c>
      <c r="CK73" s="362">
        <v>34.137493926439376</v>
      </c>
      <c r="CL73" s="363">
        <v>33.913054881533995</v>
      </c>
      <c r="CM73" s="363">
        <v>33.690091424877316</v>
      </c>
      <c r="CN73" s="363">
        <v>33.582508058177865</v>
      </c>
      <c r="CO73" s="363">
        <v>33.475268239990783</v>
      </c>
      <c r="CP73" s="363">
        <v>33.368370873254456</v>
      </c>
      <c r="CQ73" s="363">
        <v>33.261814864410567</v>
      </c>
      <c r="CR73" s="363">
        <v>33.155599123392875</v>
      </c>
      <c r="CS73" s="363">
        <v>33.400850023541679</v>
      </c>
      <c r="CT73" s="363">
        <v>33.64791503670952</v>
      </c>
      <c r="CU73" s="363">
        <v>33.896807581832043</v>
      </c>
      <c r="CV73" s="363">
        <v>34.147541177104344</v>
      </c>
      <c r="CW73" s="363">
        <v>34.400129440715119</v>
      </c>
      <c r="CX73" s="435">
        <v>34.538790063336641</v>
      </c>
      <c r="CY73" s="435">
        <v>34.677450685958163</v>
      </c>
      <c r="CZ73" s="435">
        <v>34.816111308579693</v>
      </c>
      <c r="DA73" s="435">
        <v>34.954771931201215</v>
      </c>
      <c r="DB73" s="363">
        <v>35.093432553822737</v>
      </c>
      <c r="DC73" s="435">
        <v>35.20709328093713</v>
      </c>
      <c r="DD73" s="435">
        <v>35.320754008051523</v>
      </c>
      <c r="DE73" s="435">
        <v>35.434414735165909</v>
      </c>
      <c r="DF73" s="435">
        <v>35.548075462280302</v>
      </c>
      <c r="DG73" s="363">
        <v>35.661736189394695</v>
      </c>
      <c r="DH73" s="362">
        <v>5.0568014634265754</v>
      </c>
      <c r="DI73" s="362">
        <v>5.1142482081026319</v>
      </c>
      <c r="DJ73" s="362">
        <v>5.1723475646120267</v>
      </c>
      <c r="DK73" s="363">
        <v>5.1383416487172724</v>
      </c>
      <c r="DL73" s="363">
        <v>5.1045593067995929</v>
      </c>
      <c r="DM73" s="363">
        <v>5.0882587966936157</v>
      </c>
      <c r="DN73" s="363">
        <v>5.0720103393925422</v>
      </c>
      <c r="DO73" s="363">
        <v>5.0558137686749172</v>
      </c>
      <c r="DP73" s="363">
        <v>5.0396689188500856</v>
      </c>
      <c r="DQ73" s="363">
        <v>5.0235756247564956</v>
      </c>
      <c r="DR73" s="363">
        <v>5.0607348520517688</v>
      </c>
      <c r="DS73" s="363">
        <v>5.0981689449559875</v>
      </c>
      <c r="DT73" s="363">
        <v>5.1358799366412189</v>
      </c>
      <c r="DU73" s="363">
        <v>5.1738698753188395</v>
      </c>
      <c r="DV73" s="363">
        <v>5.2121408243507759</v>
      </c>
      <c r="DW73" s="435">
        <v>5.2331500095964616</v>
      </c>
      <c r="DX73" s="435">
        <v>5.2541591948421464</v>
      </c>
      <c r="DY73" s="435">
        <v>5.2751683800878322</v>
      </c>
      <c r="DZ73" s="435">
        <v>5.296177565333517</v>
      </c>
      <c r="EA73" s="363">
        <v>5.3171867505792028</v>
      </c>
      <c r="EB73" s="435">
        <v>5.3344080728692624</v>
      </c>
      <c r="EC73" s="435">
        <v>5.3516293951593212</v>
      </c>
      <c r="ED73" s="435">
        <v>5.3688507174493809</v>
      </c>
      <c r="EE73" s="435">
        <v>5.3860720397394397</v>
      </c>
      <c r="EF73" s="363">
        <v>5.4032933620294994</v>
      </c>
      <c r="EG73" s="364">
        <v>0</v>
      </c>
      <c r="EH73" s="364">
        <v>0</v>
      </c>
      <c r="EI73" s="364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0</v>
      </c>
      <c r="EU73" s="365">
        <v>0</v>
      </c>
      <c r="EV73" s="436">
        <v>0</v>
      </c>
      <c r="EW73" s="436">
        <v>0</v>
      </c>
      <c r="EX73" s="436">
        <v>0</v>
      </c>
      <c r="EY73" s="436">
        <v>0</v>
      </c>
      <c r="EZ73" s="365">
        <v>0</v>
      </c>
      <c r="FA73" s="436">
        <v>0</v>
      </c>
      <c r="FB73" s="436">
        <v>0</v>
      </c>
      <c r="FC73" s="436">
        <v>0</v>
      </c>
      <c r="FD73" s="436">
        <v>0</v>
      </c>
      <c r="FE73" s="365">
        <v>0</v>
      </c>
      <c r="FF73" s="364">
        <v>0</v>
      </c>
      <c r="FG73" s="364">
        <v>0</v>
      </c>
      <c r="FH73" s="364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5">
        <v>0</v>
      </c>
      <c r="FP73" s="365">
        <v>0</v>
      </c>
      <c r="FQ73" s="365">
        <v>0</v>
      </c>
      <c r="FR73" s="365">
        <v>0</v>
      </c>
      <c r="FS73" s="365">
        <v>0</v>
      </c>
      <c r="FT73" s="365">
        <v>0</v>
      </c>
      <c r="FU73" s="436">
        <v>0</v>
      </c>
      <c r="FV73" s="436">
        <v>0</v>
      </c>
      <c r="FW73" s="436">
        <v>0</v>
      </c>
      <c r="FX73" s="436">
        <v>0</v>
      </c>
      <c r="FY73" s="365">
        <v>0</v>
      </c>
      <c r="FZ73" s="436">
        <v>0</v>
      </c>
      <c r="GA73" s="436">
        <v>0</v>
      </c>
      <c r="GB73" s="436">
        <v>0</v>
      </c>
      <c r="GC73" s="436">
        <v>0</v>
      </c>
      <c r="GD73" s="365">
        <v>0</v>
      </c>
    </row>
    <row r="74" spans="1:186" ht="15" x14ac:dyDescent="0.25">
      <c r="A74" s="357">
        <v>130</v>
      </c>
      <c r="B74" s="357">
        <v>83</v>
      </c>
      <c r="C74" s="357" t="s">
        <v>983</v>
      </c>
      <c r="D74" s="2">
        <v>99705</v>
      </c>
      <c r="E74" s="268" t="s">
        <v>19</v>
      </c>
      <c r="F74" s="358" t="s">
        <v>915</v>
      </c>
      <c r="G74" s="49">
        <v>139</v>
      </c>
      <c r="H74" s="49">
        <v>69</v>
      </c>
      <c r="I74" s="49">
        <v>65</v>
      </c>
      <c r="J74" s="49">
        <v>4</v>
      </c>
      <c r="K74" s="49">
        <v>3</v>
      </c>
      <c r="L74" s="49">
        <v>11</v>
      </c>
      <c r="M74" s="49">
        <v>14</v>
      </c>
      <c r="N74" s="49">
        <v>2</v>
      </c>
      <c r="O74" s="49">
        <v>0</v>
      </c>
      <c r="P74" s="49">
        <v>0</v>
      </c>
      <c r="Q74" s="49">
        <v>16</v>
      </c>
      <c r="R74" s="49">
        <v>5424</v>
      </c>
      <c r="S74" s="49">
        <v>2372.6363636363635</v>
      </c>
      <c r="T74" s="49">
        <v>3026.5</v>
      </c>
      <c r="U74" s="49">
        <v>3908</v>
      </c>
      <c r="V74" s="49">
        <v>0</v>
      </c>
      <c r="W74" s="49">
        <v>0</v>
      </c>
      <c r="X74" s="49">
        <v>3136.6875</v>
      </c>
      <c r="Y74" s="434">
        <v>42371</v>
      </c>
      <c r="Z74" s="434">
        <v>7816</v>
      </c>
      <c r="AA74" s="49">
        <v>14.785714285714286</v>
      </c>
      <c r="AB74" s="49">
        <v>54.214285714285715</v>
      </c>
      <c r="AC74" s="49">
        <v>0</v>
      </c>
      <c r="AD74" s="285">
        <v>2</v>
      </c>
      <c r="AE74" s="285">
        <v>0</v>
      </c>
      <c r="AF74" s="359">
        <v>71</v>
      </c>
      <c r="AG74" s="360">
        <v>13.928571428571431</v>
      </c>
      <c r="AH74" s="360">
        <v>51.071428571428577</v>
      </c>
      <c r="AI74" s="361">
        <v>65</v>
      </c>
      <c r="AJ74" s="360">
        <v>0</v>
      </c>
      <c r="AK74" s="360">
        <v>13.723385853265581</v>
      </c>
      <c r="AL74" s="360">
        <v>50.319081461973795</v>
      </c>
      <c r="AM74" s="360">
        <v>64.042467315239378</v>
      </c>
      <c r="AN74" s="360">
        <v>0</v>
      </c>
      <c r="AO74" s="360">
        <v>12.994135364347514</v>
      </c>
      <c r="AP74" s="360">
        <v>47.645163002607546</v>
      </c>
      <c r="AQ74" s="360">
        <v>60.63929836695506</v>
      </c>
      <c r="AR74" s="360">
        <v>0</v>
      </c>
      <c r="AS74" s="360">
        <v>1.8802153346698185</v>
      </c>
      <c r="AT74" s="360">
        <v>0</v>
      </c>
      <c r="AU74" s="360">
        <v>59.441124924978318</v>
      </c>
      <c r="AV74" s="360">
        <v>61.698916523622884</v>
      </c>
      <c r="AW74" s="360">
        <v>64.042467315239378</v>
      </c>
      <c r="AX74" s="360">
        <v>66.475034748027895</v>
      </c>
      <c r="AY74" s="360">
        <v>69</v>
      </c>
      <c r="AZ74" s="360">
        <v>56.571146252870733</v>
      </c>
      <c r="BA74" s="360">
        <v>58.56991221257276</v>
      </c>
      <c r="BB74" s="360">
        <v>60.639298366955053</v>
      </c>
      <c r="BC74" s="360">
        <v>62.781799861521002</v>
      </c>
      <c r="BD74" s="360">
        <v>65</v>
      </c>
      <c r="BE74" s="360">
        <v>1.7676048523637691</v>
      </c>
      <c r="BF74" s="360">
        <v>1.823040797418187</v>
      </c>
      <c r="BG74" s="360">
        <v>1.8802153346698185</v>
      </c>
      <c r="BH74" s="360">
        <v>1.9391829901635476</v>
      </c>
      <c r="BI74" s="360">
        <v>2</v>
      </c>
      <c r="BJ74" s="362">
        <v>70.482732770880915</v>
      </c>
      <c r="BK74" s="362">
        <v>71.997327809440719</v>
      </c>
      <c r="BL74" s="362">
        <v>73.544469800149614</v>
      </c>
      <c r="BM74" s="363">
        <v>73.060947178495354</v>
      </c>
      <c r="BN74" s="363">
        <v>72.580603505935258</v>
      </c>
      <c r="BO74" s="363">
        <v>72.348830146113485</v>
      </c>
      <c r="BP74" s="363">
        <v>72.117796913649826</v>
      </c>
      <c r="BQ74" s="363">
        <v>71.887501445078058</v>
      </c>
      <c r="BR74" s="363">
        <v>71.657941384479287</v>
      </c>
      <c r="BS74" s="363">
        <v>71.429114383457801</v>
      </c>
      <c r="BT74" s="363">
        <v>71.95747324478252</v>
      </c>
      <c r="BU74" s="363">
        <v>72.489740359607936</v>
      </c>
      <c r="BV74" s="363">
        <v>73.025944637159455</v>
      </c>
      <c r="BW74" s="363">
        <v>73.566115200503148</v>
      </c>
      <c r="BX74" s="363">
        <v>74.110281388127362</v>
      </c>
      <c r="BY74" s="435">
        <v>74.409006361754095</v>
      </c>
      <c r="BZ74" s="435">
        <v>74.707731335380842</v>
      </c>
      <c r="CA74" s="435">
        <v>75.006456309007575</v>
      </c>
      <c r="CB74" s="435">
        <v>75.305181282634322</v>
      </c>
      <c r="CC74" s="363">
        <v>75.603906256261055</v>
      </c>
      <c r="CD74" s="435">
        <v>75.848772441539325</v>
      </c>
      <c r="CE74" s="435">
        <v>76.093638626817594</v>
      </c>
      <c r="CF74" s="435">
        <v>76.338504812095877</v>
      </c>
      <c r="CG74" s="435">
        <v>76.583370997374146</v>
      </c>
      <c r="CH74" s="363">
        <v>76.828237182652416</v>
      </c>
      <c r="CI74" s="362">
        <v>66.396777247931297</v>
      </c>
      <c r="CJ74" s="362">
        <v>67.823569675560094</v>
      </c>
      <c r="CK74" s="362">
        <v>69.281022275503261</v>
      </c>
      <c r="CL74" s="363">
        <v>68.825529950756504</v>
      </c>
      <c r="CM74" s="363">
        <v>68.37303228819988</v>
      </c>
      <c r="CN74" s="363">
        <v>68.154695065179368</v>
      </c>
      <c r="CO74" s="363">
        <v>67.937055063583173</v>
      </c>
      <c r="CP74" s="363">
        <v>67.720110056957594</v>
      </c>
      <c r="CQ74" s="363">
        <v>67.503857825958747</v>
      </c>
      <c r="CR74" s="363">
        <v>67.288296158329814</v>
      </c>
      <c r="CS74" s="363">
        <v>67.786025520447311</v>
      </c>
      <c r="CT74" s="363">
        <v>68.287436570645156</v>
      </c>
      <c r="CU74" s="363">
        <v>68.79255654225166</v>
      </c>
      <c r="CV74" s="363">
        <v>69.301412870039201</v>
      </c>
      <c r="CW74" s="363">
        <v>69.814033191714174</v>
      </c>
      <c r="CX74" s="435">
        <v>70.09544077556545</v>
      </c>
      <c r="CY74" s="435">
        <v>70.376848359416726</v>
      </c>
      <c r="CZ74" s="435">
        <v>70.658255943268003</v>
      </c>
      <c r="DA74" s="435">
        <v>70.939663527119279</v>
      </c>
      <c r="DB74" s="363">
        <v>71.221071110970556</v>
      </c>
      <c r="DC74" s="435">
        <v>71.451742155073276</v>
      </c>
      <c r="DD74" s="435">
        <v>71.682413199175997</v>
      </c>
      <c r="DE74" s="435">
        <v>71.913084243278718</v>
      </c>
      <c r="DF74" s="435">
        <v>72.143755287381438</v>
      </c>
      <c r="DG74" s="363">
        <v>72.374426331484159</v>
      </c>
      <c r="DH74" s="362">
        <v>2.042977761474809</v>
      </c>
      <c r="DI74" s="362">
        <v>2.0868790669403108</v>
      </c>
      <c r="DJ74" s="362">
        <v>2.1317237623231771</v>
      </c>
      <c r="DK74" s="363">
        <v>2.1177086138694303</v>
      </c>
      <c r="DL74" s="363">
        <v>2.1037856088676885</v>
      </c>
      <c r="DM74" s="363">
        <v>2.0970675404670573</v>
      </c>
      <c r="DN74" s="363">
        <v>2.0903709250333282</v>
      </c>
      <c r="DO74" s="363">
        <v>2.0836956940602334</v>
      </c>
      <c r="DP74" s="363">
        <v>2.0770417792602691</v>
      </c>
      <c r="DQ74" s="363">
        <v>2.0704091125639943</v>
      </c>
      <c r="DR74" s="363">
        <v>2.0857238621676091</v>
      </c>
      <c r="DS74" s="363">
        <v>2.1011518944813892</v>
      </c>
      <c r="DT74" s="363">
        <v>2.1166940474538971</v>
      </c>
      <c r="DU74" s="363">
        <v>2.1323511652319751</v>
      </c>
      <c r="DV74" s="363">
        <v>2.1481240982065897</v>
      </c>
      <c r="DW74" s="435">
        <v>2.1567827930943211</v>
      </c>
      <c r="DX74" s="435">
        <v>2.1654414879820529</v>
      </c>
      <c r="DY74" s="435">
        <v>2.1741001828697843</v>
      </c>
      <c r="DZ74" s="435">
        <v>2.1827588777575162</v>
      </c>
      <c r="EA74" s="363">
        <v>2.1914175726452476</v>
      </c>
      <c r="EB74" s="435">
        <v>2.1985151432330237</v>
      </c>
      <c r="EC74" s="435">
        <v>2.2056127138207997</v>
      </c>
      <c r="ED74" s="435">
        <v>2.2127102844085758</v>
      </c>
      <c r="EE74" s="435">
        <v>2.2198078549963518</v>
      </c>
      <c r="EF74" s="363">
        <v>2.2269054255841279</v>
      </c>
      <c r="EG74" s="364">
        <v>0</v>
      </c>
      <c r="EH74" s="364">
        <v>0</v>
      </c>
      <c r="EI74" s="364">
        <v>0</v>
      </c>
      <c r="EJ74" s="365">
        <v>0</v>
      </c>
      <c r="EK74" s="365">
        <v>0</v>
      </c>
      <c r="EL74" s="365">
        <v>0</v>
      </c>
      <c r="EM74" s="365">
        <v>0</v>
      </c>
      <c r="EN74" s="365">
        <v>0</v>
      </c>
      <c r="EO74" s="365">
        <v>0</v>
      </c>
      <c r="EP74" s="365">
        <v>0</v>
      </c>
      <c r="EQ74" s="365">
        <v>0</v>
      </c>
      <c r="ER74" s="365">
        <v>0</v>
      </c>
      <c r="ES74" s="365">
        <v>0</v>
      </c>
      <c r="ET74" s="365">
        <v>0</v>
      </c>
      <c r="EU74" s="365">
        <v>0</v>
      </c>
      <c r="EV74" s="436">
        <v>0</v>
      </c>
      <c r="EW74" s="436">
        <v>0</v>
      </c>
      <c r="EX74" s="436">
        <v>0</v>
      </c>
      <c r="EY74" s="436">
        <v>0</v>
      </c>
      <c r="EZ74" s="365">
        <v>0</v>
      </c>
      <c r="FA74" s="436">
        <v>0</v>
      </c>
      <c r="FB74" s="436">
        <v>0</v>
      </c>
      <c r="FC74" s="436">
        <v>0</v>
      </c>
      <c r="FD74" s="436">
        <v>0</v>
      </c>
      <c r="FE74" s="365">
        <v>0</v>
      </c>
      <c r="FF74" s="364">
        <v>0</v>
      </c>
      <c r="FG74" s="364">
        <v>0</v>
      </c>
      <c r="FH74" s="364">
        <v>0</v>
      </c>
      <c r="FI74" s="365">
        <v>0</v>
      </c>
      <c r="FJ74" s="365">
        <v>0</v>
      </c>
      <c r="FK74" s="365">
        <v>0</v>
      </c>
      <c r="FL74" s="365">
        <v>0</v>
      </c>
      <c r="FM74" s="365">
        <v>0</v>
      </c>
      <c r="FN74" s="365">
        <v>0</v>
      </c>
      <c r="FO74" s="365">
        <v>0</v>
      </c>
      <c r="FP74" s="365">
        <v>0</v>
      </c>
      <c r="FQ74" s="365">
        <v>0</v>
      </c>
      <c r="FR74" s="365">
        <v>0</v>
      </c>
      <c r="FS74" s="365">
        <v>0</v>
      </c>
      <c r="FT74" s="365">
        <v>0</v>
      </c>
      <c r="FU74" s="436">
        <v>0</v>
      </c>
      <c r="FV74" s="436">
        <v>0</v>
      </c>
      <c r="FW74" s="436">
        <v>0</v>
      </c>
      <c r="FX74" s="436">
        <v>0</v>
      </c>
      <c r="FY74" s="365">
        <v>0</v>
      </c>
      <c r="FZ74" s="436">
        <v>0</v>
      </c>
      <c r="GA74" s="436">
        <v>0</v>
      </c>
      <c r="GB74" s="436">
        <v>0</v>
      </c>
      <c r="GC74" s="436">
        <v>0</v>
      </c>
      <c r="GD74" s="365">
        <v>0</v>
      </c>
    </row>
    <row r="75" spans="1:186" ht="15" x14ac:dyDescent="0.25">
      <c r="A75" s="357">
        <v>124</v>
      </c>
      <c r="B75" s="357">
        <v>84</v>
      </c>
      <c r="C75" s="357" t="s">
        <v>984</v>
      </c>
      <c r="D75" s="2">
        <v>99705</v>
      </c>
      <c r="E75" s="268" t="s">
        <v>218</v>
      </c>
      <c r="F75" s="358" t="s">
        <v>985</v>
      </c>
      <c r="G75" s="49">
        <v>36</v>
      </c>
      <c r="H75" s="49">
        <v>13</v>
      </c>
      <c r="I75" s="49">
        <v>13</v>
      </c>
      <c r="J75" s="49">
        <v>0</v>
      </c>
      <c r="K75" s="49">
        <v>0</v>
      </c>
      <c r="L75" s="49">
        <v>32</v>
      </c>
      <c r="M75" s="49">
        <v>32</v>
      </c>
      <c r="N75" s="49">
        <v>3</v>
      </c>
      <c r="O75" s="49">
        <v>0</v>
      </c>
      <c r="P75" s="49">
        <v>0</v>
      </c>
      <c r="Q75" s="49">
        <v>35</v>
      </c>
      <c r="R75" s="49">
        <v>0</v>
      </c>
      <c r="S75" s="49">
        <v>2107</v>
      </c>
      <c r="T75" s="49">
        <v>2107</v>
      </c>
      <c r="U75" s="49">
        <v>4266.666666666667</v>
      </c>
      <c r="V75" s="49">
        <v>0</v>
      </c>
      <c r="W75" s="49">
        <v>0</v>
      </c>
      <c r="X75" s="49">
        <v>2292.1142857142859</v>
      </c>
      <c r="Y75" s="434">
        <v>67424</v>
      </c>
      <c r="Z75" s="434">
        <v>12800</v>
      </c>
      <c r="AA75" s="49">
        <v>0</v>
      </c>
      <c r="AB75" s="49">
        <v>13</v>
      </c>
      <c r="AC75" s="49">
        <v>0</v>
      </c>
      <c r="AD75" s="285">
        <v>3</v>
      </c>
      <c r="AE75" s="285">
        <v>0</v>
      </c>
      <c r="AF75" s="359">
        <v>16</v>
      </c>
      <c r="AG75" s="360">
        <v>0</v>
      </c>
      <c r="AH75" s="360">
        <v>13</v>
      </c>
      <c r="AI75" s="361">
        <v>13</v>
      </c>
      <c r="AJ75" s="360">
        <v>0</v>
      </c>
      <c r="AK75" s="360">
        <v>0</v>
      </c>
      <c r="AL75" s="360">
        <v>12.065972102871187</v>
      </c>
      <c r="AM75" s="360">
        <v>12.065972102871187</v>
      </c>
      <c r="AN75" s="360">
        <v>0</v>
      </c>
      <c r="AO75" s="360">
        <v>0</v>
      </c>
      <c r="AP75" s="360">
        <v>12.127859673391011</v>
      </c>
      <c r="AQ75" s="360">
        <v>12.127859673391011</v>
      </c>
      <c r="AR75" s="360">
        <v>0</v>
      </c>
      <c r="AS75" s="360">
        <v>2.8203230020047281</v>
      </c>
      <c r="AT75" s="360">
        <v>0</v>
      </c>
      <c r="AU75" s="360">
        <v>11.199052522097364</v>
      </c>
      <c r="AV75" s="360">
        <v>11.624433547928948</v>
      </c>
      <c r="AW75" s="360">
        <v>12.065972102871187</v>
      </c>
      <c r="AX75" s="360">
        <v>12.524281909048735</v>
      </c>
      <c r="AY75" s="360">
        <v>13</v>
      </c>
      <c r="AZ75" s="360">
        <v>11.314229250574147</v>
      </c>
      <c r="BA75" s="360">
        <v>11.713982442514551</v>
      </c>
      <c r="BB75" s="360">
        <v>12.127859673391011</v>
      </c>
      <c r="BC75" s="360">
        <v>12.5563599723042</v>
      </c>
      <c r="BD75" s="360">
        <v>13</v>
      </c>
      <c r="BE75" s="360">
        <v>2.6514072785456535</v>
      </c>
      <c r="BF75" s="360">
        <v>2.7345611961272809</v>
      </c>
      <c r="BG75" s="360">
        <v>2.8203230020047281</v>
      </c>
      <c r="BH75" s="360">
        <v>2.9087744852453215</v>
      </c>
      <c r="BI75" s="360">
        <v>3</v>
      </c>
      <c r="BJ75" s="362">
        <v>13.054017268816354</v>
      </c>
      <c r="BK75" s="362">
        <v>13.108258988811967</v>
      </c>
      <c r="BL75" s="362">
        <v>13.162726092620662</v>
      </c>
      <c r="BM75" s="363">
        <v>13.076186943644325</v>
      </c>
      <c r="BN75" s="363">
        <v>12.990216751603873</v>
      </c>
      <c r="BO75" s="363">
        <v>12.948734784853816</v>
      </c>
      <c r="BP75" s="363">
        <v>12.90738528345044</v>
      </c>
      <c r="BQ75" s="363">
        <v>12.866167824389015</v>
      </c>
      <c r="BR75" s="363">
        <v>12.825081986015604</v>
      </c>
      <c r="BS75" s="363">
        <v>12.78412734802275</v>
      </c>
      <c r="BT75" s="363">
        <v>12.878691126769471</v>
      </c>
      <c r="BU75" s="363">
        <v>12.973954390745602</v>
      </c>
      <c r="BV75" s="363">
        <v>13.069922314020888</v>
      </c>
      <c r="BW75" s="363">
        <v>13.166600108937496</v>
      </c>
      <c r="BX75" s="363">
        <v>13.263993026393113</v>
      </c>
      <c r="BY75" s="435">
        <v>13.317457753456331</v>
      </c>
      <c r="BZ75" s="435">
        <v>13.37092248051955</v>
      </c>
      <c r="CA75" s="435">
        <v>13.424387207582768</v>
      </c>
      <c r="CB75" s="435">
        <v>13.477851934645987</v>
      </c>
      <c r="CC75" s="363">
        <v>13.531316661709205</v>
      </c>
      <c r="CD75" s="435">
        <v>13.57514193551866</v>
      </c>
      <c r="CE75" s="435">
        <v>13.618967209328117</v>
      </c>
      <c r="CF75" s="435">
        <v>13.662792483137572</v>
      </c>
      <c r="CG75" s="435">
        <v>13.706617756947029</v>
      </c>
      <c r="CH75" s="363">
        <v>13.750443030756484</v>
      </c>
      <c r="CI75" s="362">
        <v>13.054017268816354</v>
      </c>
      <c r="CJ75" s="362">
        <v>13.108258988811967</v>
      </c>
      <c r="CK75" s="362">
        <v>13.162726092620662</v>
      </c>
      <c r="CL75" s="363">
        <v>13.076186943644325</v>
      </c>
      <c r="CM75" s="363">
        <v>12.990216751603873</v>
      </c>
      <c r="CN75" s="363">
        <v>12.948734784853816</v>
      </c>
      <c r="CO75" s="363">
        <v>12.90738528345044</v>
      </c>
      <c r="CP75" s="363">
        <v>12.866167824389015</v>
      </c>
      <c r="CQ75" s="363">
        <v>12.825081986015604</v>
      </c>
      <c r="CR75" s="363">
        <v>12.78412734802275</v>
      </c>
      <c r="CS75" s="363">
        <v>12.878691126769471</v>
      </c>
      <c r="CT75" s="363">
        <v>12.973954390745602</v>
      </c>
      <c r="CU75" s="363">
        <v>13.069922314020888</v>
      </c>
      <c r="CV75" s="363">
        <v>13.166600108937496</v>
      </c>
      <c r="CW75" s="363">
        <v>13.263993026393113</v>
      </c>
      <c r="CX75" s="435">
        <v>13.317457753456331</v>
      </c>
      <c r="CY75" s="435">
        <v>13.37092248051955</v>
      </c>
      <c r="CZ75" s="435">
        <v>13.424387207582768</v>
      </c>
      <c r="DA75" s="435">
        <v>13.477851934645987</v>
      </c>
      <c r="DB75" s="363">
        <v>13.531316661709205</v>
      </c>
      <c r="DC75" s="435">
        <v>13.57514193551866</v>
      </c>
      <c r="DD75" s="435">
        <v>13.618967209328117</v>
      </c>
      <c r="DE75" s="435">
        <v>13.662792483137572</v>
      </c>
      <c r="DF75" s="435">
        <v>13.706617756947029</v>
      </c>
      <c r="DG75" s="363">
        <v>13.750443030756484</v>
      </c>
      <c r="DH75" s="362">
        <v>3.0124655235730047</v>
      </c>
      <c r="DI75" s="362">
        <v>3.0249828435719923</v>
      </c>
      <c r="DJ75" s="362">
        <v>3.0375521752201529</v>
      </c>
      <c r="DK75" s="363">
        <v>3.0175816023794599</v>
      </c>
      <c r="DL75" s="363">
        <v>2.9977423272932016</v>
      </c>
      <c r="DM75" s="363">
        <v>2.9881695657354959</v>
      </c>
      <c r="DN75" s="363">
        <v>2.9786273731039477</v>
      </c>
      <c r="DO75" s="363">
        <v>2.9691156517820803</v>
      </c>
      <c r="DP75" s="363">
        <v>2.9596343044651396</v>
      </c>
      <c r="DQ75" s="363">
        <v>2.9501832341590961</v>
      </c>
      <c r="DR75" s="363">
        <v>2.9720056446391085</v>
      </c>
      <c r="DS75" s="363">
        <v>2.9939894747874467</v>
      </c>
      <c r="DT75" s="363">
        <v>3.0161359186202046</v>
      </c>
      <c r="DU75" s="363">
        <v>3.0384461789855761</v>
      </c>
      <c r="DV75" s="363">
        <v>3.0609214676291798</v>
      </c>
      <c r="DW75" s="435">
        <v>3.0732594815668457</v>
      </c>
      <c r="DX75" s="435">
        <v>3.0855974955045116</v>
      </c>
      <c r="DY75" s="435">
        <v>3.097935509442177</v>
      </c>
      <c r="DZ75" s="435">
        <v>3.1102735233798429</v>
      </c>
      <c r="EA75" s="363">
        <v>3.1226115373175087</v>
      </c>
      <c r="EB75" s="435">
        <v>3.1327250620427676</v>
      </c>
      <c r="EC75" s="435">
        <v>3.1428385867680269</v>
      </c>
      <c r="ED75" s="435">
        <v>3.1529521114932857</v>
      </c>
      <c r="EE75" s="435">
        <v>3.163065636218545</v>
      </c>
      <c r="EF75" s="363">
        <v>3.1731791609438038</v>
      </c>
      <c r="EG75" s="364">
        <v>0</v>
      </c>
      <c r="EH75" s="364">
        <v>0</v>
      </c>
      <c r="EI75" s="364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436">
        <v>0</v>
      </c>
      <c r="EW75" s="436">
        <v>0</v>
      </c>
      <c r="EX75" s="436">
        <v>0</v>
      </c>
      <c r="EY75" s="436">
        <v>0</v>
      </c>
      <c r="EZ75" s="365">
        <v>0</v>
      </c>
      <c r="FA75" s="436">
        <v>0</v>
      </c>
      <c r="FB75" s="436">
        <v>0</v>
      </c>
      <c r="FC75" s="436">
        <v>0</v>
      </c>
      <c r="FD75" s="436">
        <v>0</v>
      </c>
      <c r="FE75" s="365">
        <v>0</v>
      </c>
      <c r="FF75" s="364">
        <v>0</v>
      </c>
      <c r="FG75" s="364">
        <v>0</v>
      </c>
      <c r="FH75" s="364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5">
        <v>0</v>
      </c>
      <c r="FP75" s="365">
        <v>0</v>
      </c>
      <c r="FQ75" s="365">
        <v>0</v>
      </c>
      <c r="FR75" s="365">
        <v>0</v>
      </c>
      <c r="FS75" s="365">
        <v>0</v>
      </c>
      <c r="FT75" s="365">
        <v>0</v>
      </c>
      <c r="FU75" s="436">
        <v>0</v>
      </c>
      <c r="FV75" s="436">
        <v>0</v>
      </c>
      <c r="FW75" s="436">
        <v>0</v>
      </c>
      <c r="FX75" s="436">
        <v>0</v>
      </c>
      <c r="FY75" s="365">
        <v>0</v>
      </c>
      <c r="FZ75" s="436">
        <v>0</v>
      </c>
      <c r="GA75" s="436">
        <v>0</v>
      </c>
      <c r="GB75" s="436">
        <v>0</v>
      </c>
      <c r="GC75" s="436">
        <v>0</v>
      </c>
      <c r="GD75" s="365">
        <v>0</v>
      </c>
    </row>
    <row r="76" spans="1:186" ht="15" x14ac:dyDescent="0.25">
      <c r="A76" s="357">
        <v>125</v>
      </c>
      <c r="B76" s="357">
        <v>84</v>
      </c>
      <c r="C76" s="357" t="s">
        <v>986</v>
      </c>
      <c r="D76" s="2">
        <v>99705</v>
      </c>
      <c r="E76" s="268" t="s">
        <v>218</v>
      </c>
      <c r="F76" s="358" t="s">
        <v>985</v>
      </c>
      <c r="G76" s="49">
        <v>91</v>
      </c>
      <c r="H76" s="49">
        <v>33</v>
      </c>
      <c r="I76" s="49">
        <v>30</v>
      </c>
      <c r="J76" s="49">
        <v>3</v>
      </c>
      <c r="K76" s="49">
        <v>0</v>
      </c>
      <c r="L76" s="49">
        <v>16</v>
      </c>
      <c r="M76" s="49">
        <v>16</v>
      </c>
      <c r="N76" s="49">
        <v>0</v>
      </c>
      <c r="O76" s="49">
        <v>0</v>
      </c>
      <c r="P76" s="49">
        <v>0</v>
      </c>
      <c r="Q76" s="49">
        <v>16</v>
      </c>
      <c r="R76" s="49">
        <v>0</v>
      </c>
      <c r="S76" s="49">
        <v>2302.8125</v>
      </c>
      <c r="T76" s="49">
        <v>2302.8125</v>
      </c>
      <c r="U76" s="49">
        <v>0</v>
      </c>
      <c r="V76" s="49">
        <v>0</v>
      </c>
      <c r="W76" s="49">
        <v>0</v>
      </c>
      <c r="X76" s="49">
        <v>2302.8125</v>
      </c>
      <c r="Y76" s="434">
        <v>36845</v>
      </c>
      <c r="Z76" s="434">
        <v>0</v>
      </c>
      <c r="AA76" s="49">
        <v>0</v>
      </c>
      <c r="AB76" s="49">
        <v>33</v>
      </c>
      <c r="AC76" s="49">
        <v>0</v>
      </c>
      <c r="AD76" s="285">
        <v>0</v>
      </c>
      <c r="AE76" s="285">
        <v>0</v>
      </c>
      <c r="AF76" s="359">
        <v>33</v>
      </c>
      <c r="AG76" s="360">
        <v>0</v>
      </c>
      <c r="AH76" s="360">
        <v>30</v>
      </c>
      <c r="AI76" s="361">
        <v>30</v>
      </c>
      <c r="AJ76" s="360">
        <v>0</v>
      </c>
      <c r="AK76" s="360">
        <v>0</v>
      </c>
      <c r="AL76" s="360">
        <v>30.629006107288397</v>
      </c>
      <c r="AM76" s="360">
        <v>30.629006107288397</v>
      </c>
      <c r="AN76" s="360">
        <v>0</v>
      </c>
      <c r="AO76" s="360">
        <v>0</v>
      </c>
      <c r="AP76" s="360">
        <v>27.987368477056179</v>
      </c>
      <c r="AQ76" s="360">
        <v>27.987368477056179</v>
      </c>
      <c r="AR76" s="360">
        <v>0</v>
      </c>
      <c r="AS76" s="360">
        <v>0</v>
      </c>
      <c r="AT76" s="360">
        <v>0</v>
      </c>
      <c r="AU76" s="360">
        <v>28.428364094554848</v>
      </c>
      <c r="AV76" s="360">
        <v>29.508177467819639</v>
      </c>
      <c r="AW76" s="360">
        <v>30.629006107288397</v>
      </c>
      <c r="AX76" s="360">
        <v>31.792407922969865</v>
      </c>
      <c r="AY76" s="360">
        <v>33</v>
      </c>
      <c r="AZ76" s="360">
        <v>26.109759809017262</v>
      </c>
      <c r="BA76" s="360">
        <v>27.032267175033581</v>
      </c>
      <c r="BB76" s="360">
        <v>27.987368477056179</v>
      </c>
      <c r="BC76" s="360">
        <v>28.976215320702</v>
      </c>
      <c r="BD76" s="360">
        <v>30</v>
      </c>
      <c r="BE76" s="360">
        <v>0</v>
      </c>
      <c r="BF76" s="360">
        <v>0</v>
      </c>
      <c r="BG76" s="360">
        <v>0</v>
      </c>
      <c r="BH76" s="360">
        <v>0</v>
      </c>
      <c r="BI76" s="360">
        <v>0</v>
      </c>
      <c r="BJ76" s="362">
        <v>33.374889658615402</v>
      </c>
      <c r="BK76" s="362">
        <v>33.754038173477369</v>
      </c>
      <c r="BL76" s="362">
        <v>34.137493926439376</v>
      </c>
      <c r="BM76" s="363">
        <v>33.913054881533995</v>
      </c>
      <c r="BN76" s="363">
        <v>33.690091424877316</v>
      </c>
      <c r="BO76" s="363">
        <v>33.582508058177865</v>
      </c>
      <c r="BP76" s="363">
        <v>33.475268239990783</v>
      </c>
      <c r="BQ76" s="363">
        <v>33.368370873254456</v>
      </c>
      <c r="BR76" s="363">
        <v>33.261814864410567</v>
      </c>
      <c r="BS76" s="363">
        <v>33.155599123392875</v>
      </c>
      <c r="BT76" s="363">
        <v>33.400850023541679</v>
      </c>
      <c r="BU76" s="363">
        <v>33.64791503670952</v>
      </c>
      <c r="BV76" s="363">
        <v>33.896807581832043</v>
      </c>
      <c r="BW76" s="363">
        <v>34.147541177104344</v>
      </c>
      <c r="BX76" s="363">
        <v>34.400129440715119</v>
      </c>
      <c r="BY76" s="435">
        <v>34.538790063336641</v>
      </c>
      <c r="BZ76" s="435">
        <v>34.677450685958163</v>
      </c>
      <c r="CA76" s="435">
        <v>34.816111308579693</v>
      </c>
      <c r="CB76" s="435">
        <v>34.954771931201215</v>
      </c>
      <c r="CC76" s="363">
        <v>35.093432553822737</v>
      </c>
      <c r="CD76" s="435">
        <v>35.20709328093713</v>
      </c>
      <c r="CE76" s="435">
        <v>35.320754008051523</v>
      </c>
      <c r="CF76" s="435">
        <v>35.434414735165909</v>
      </c>
      <c r="CG76" s="435">
        <v>35.548075462280302</v>
      </c>
      <c r="CH76" s="363">
        <v>35.661736189394695</v>
      </c>
      <c r="CI76" s="362">
        <v>30.340808780559453</v>
      </c>
      <c r="CJ76" s="362">
        <v>30.685489248615792</v>
      </c>
      <c r="CK76" s="362">
        <v>31.03408538767216</v>
      </c>
      <c r="CL76" s="363">
        <v>30.830049892303631</v>
      </c>
      <c r="CM76" s="363">
        <v>30.627355840797559</v>
      </c>
      <c r="CN76" s="363">
        <v>30.529552780161694</v>
      </c>
      <c r="CO76" s="363">
        <v>30.432062036355255</v>
      </c>
      <c r="CP76" s="363">
        <v>30.334882612049505</v>
      </c>
      <c r="CQ76" s="363">
        <v>30.238013513100515</v>
      </c>
      <c r="CR76" s="363">
        <v>30.141453748538975</v>
      </c>
      <c r="CS76" s="363">
        <v>30.364409112310614</v>
      </c>
      <c r="CT76" s="363">
        <v>30.589013669735923</v>
      </c>
      <c r="CU76" s="363">
        <v>30.81527961984731</v>
      </c>
      <c r="CV76" s="363">
        <v>31.043219251913037</v>
      </c>
      <c r="CW76" s="363">
        <v>31.272844946104655</v>
      </c>
      <c r="CX76" s="435">
        <v>31.398900057578768</v>
      </c>
      <c r="CY76" s="435">
        <v>31.52495516905288</v>
      </c>
      <c r="CZ76" s="435">
        <v>31.651010280526993</v>
      </c>
      <c r="DA76" s="435">
        <v>31.777065392001106</v>
      </c>
      <c r="DB76" s="363">
        <v>31.903120503475218</v>
      </c>
      <c r="DC76" s="435">
        <v>32.006448437215575</v>
      </c>
      <c r="DD76" s="435">
        <v>32.109776370955927</v>
      </c>
      <c r="DE76" s="435">
        <v>32.213104304696287</v>
      </c>
      <c r="DF76" s="435">
        <v>32.316432238436647</v>
      </c>
      <c r="DG76" s="363">
        <v>32.419760172177</v>
      </c>
      <c r="DH76" s="362">
        <v>0</v>
      </c>
      <c r="DI76" s="362">
        <v>0</v>
      </c>
      <c r="DJ76" s="362">
        <v>0</v>
      </c>
      <c r="DK76" s="363">
        <v>0</v>
      </c>
      <c r="DL76" s="363">
        <v>0</v>
      </c>
      <c r="DM76" s="363">
        <v>0</v>
      </c>
      <c r="DN76" s="363">
        <v>0</v>
      </c>
      <c r="DO76" s="363">
        <v>0</v>
      </c>
      <c r="DP76" s="363">
        <v>0</v>
      </c>
      <c r="DQ76" s="363">
        <v>0</v>
      </c>
      <c r="DR76" s="363">
        <v>0</v>
      </c>
      <c r="DS76" s="363">
        <v>0</v>
      </c>
      <c r="DT76" s="363">
        <v>0</v>
      </c>
      <c r="DU76" s="363">
        <v>0</v>
      </c>
      <c r="DV76" s="363">
        <v>0</v>
      </c>
      <c r="DW76" s="435">
        <v>0</v>
      </c>
      <c r="DX76" s="435">
        <v>0</v>
      </c>
      <c r="DY76" s="435">
        <v>0</v>
      </c>
      <c r="DZ76" s="435">
        <v>0</v>
      </c>
      <c r="EA76" s="363">
        <v>0</v>
      </c>
      <c r="EB76" s="435">
        <v>0</v>
      </c>
      <c r="EC76" s="435">
        <v>0</v>
      </c>
      <c r="ED76" s="435">
        <v>0</v>
      </c>
      <c r="EE76" s="435">
        <v>0</v>
      </c>
      <c r="EF76" s="363">
        <v>0</v>
      </c>
      <c r="EG76" s="364">
        <v>0</v>
      </c>
      <c r="EH76" s="364">
        <v>0</v>
      </c>
      <c r="EI76" s="364">
        <v>0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436">
        <v>0</v>
      </c>
      <c r="EW76" s="436">
        <v>0</v>
      </c>
      <c r="EX76" s="436">
        <v>0</v>
      </c>
      <c r="EY76" s="436">
        <v>0</v>
      </c>
      <c r="EZ76" s="365">
        <v>0</v>
      </c>
      <c r="FA76" s="436">
        <v>0</v>
      </c>
      <c r="FB76" s="436">
        <v>0</v>
      </c>
      <c r="FC76" s="436">
        <v>0</v>
      </c>
      <c r="FD76" s="436">
        <v>0</v>
      </c>
      <c r="FE76" s="365">
        <v>0</v>
      </c>
      <c r="FF76" s="364">
        <v>0</v>
      </c>
      <c r="FG76" s="364">
        <v>0</v>
      </c>
      <c r="FH76" s="364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5">
        <v>0</v>
      </c>
      <c r="FP76" s="365">
        <v>0</v>
      </c>
      <c r="FQ76" s="365">
        <v>0</v>
      </c>
      <c r="FR76" s="365">
        <v>0</v>
      </c>
      <c r="FS76" s="365">
        <v>0</v>
      </c>
      <c r="FT76" s="365">
        <v>0</v>
      </c>
      <c r="FU76" s="436">
        <v>0</v>
      </c>
      <c r="FV76" s="436">
        <v>0</v>
      </c>
      <c r="FW76" s="436">
        <v>0</v>
      </c>
      <c r="FX76" s="436">
        <v>0</v>
      </c>
      <c r="FY76" s="365">
        <v>0</v>
      </c>
      <c r="FZ76" s="436">
        <v>0</v>
      </c>
      <c r="GA76" s="436">
        <v>0</v>
      </c>
      <c r="GB76" s="436">
        <v>0</v>
      </c>
      <c r="GC76" s="436">
        <v>0</v>
      </c>
      <c r="GD76" s="365">
        <v>0</v>
      </c>
    </row>
    <row r="77" spans="1:186" ht="15" x14ac:dyDescent="0.25">
      <c r="A77" s="357">
        <v>128</v>
      </c>
      <c r="B77" s="357">
        <v>84</v>
      </c>
      <c r="C77" s="357" t="s">
        <v>987</v>
      </c>
      <c r="D77" s="2">
        <v>99705</v>
      </c>
      <c r="E77" s="268" t="s">
        <v>19</v>
      </c>
      <c r="F77" s="358" t="s">
        <v>915</v>
      </c>
      <c r="G77" s="49">
        <v>215</v>
      </c>
      <c r="H77" s="49">
        <v>87</v>
      </c>
      <c r="I77" s="49">
        <v>80</v>
      </c>
      <c r="J77" s="49">
        <v>7</v>
      </c>
      <c r="K77" s="49">
        <v>2</v>
      </c>
      <c r="L77" s="49">
        <v>55</v>
      </c>
      <c r="M77" s="49">
        <v>57</v>
      </c>
      <c r="N77" s="49">
        <v>4</v>
      </c>
      <c r="O77" s="49">
        <v>0</v>
      </c>
      <c r="P77" s="49">
        <v>0</v>
      </c>
      <c r="Q77" s="49">
        <v>61</v>
      </c>
      <c r="R77" s="49">
        <v>7079.5</v>
      </c>
      <c r="S77" s="49">
        <v>1760.2</v>
      </c>
      <c r="T77" s="49">
        <v>1946.8421052631579</v>
      </c>
      <c r="U77" s="49">
        <v>3928.5</v>
      </c>
      <c r="V77" s="49">
        <v>0</v>
      </c>
      <c r="W77" s="49">
        <v>0</v>
      </c>
      <c r="X77" s="49">
        <v>2076.7868852459014</v>
      </c>
      <c r="Y77" s="434">
        <v>110970</v>
      </c>
      <c r="Z77" s="434">
        <v>15714</v>
      </c>
      <c r="AA77" s="49">
        <v>3.0526315789473686</v>
      </c>
      <c r="AB77" s="49">
        <v>83.94736842105263</v>
      </c>
      <c r="AC77" s="49">
        <v>0</v>
      </c>
      <c r="AD77" s="285">
        <v>4</v>
      </c>
      <c r="AE77" s="285">
        <v>0</v>
      </c>
      <c r="AF77" s="359">
        <v>91</v>
      </c>
      <c r="AG77" s="360">
        <v>2.8070175438596494</v>
      </c>
      <c r="AH77" s="360">
        <v>77.192982456140342</v>
      </c>
      <c r="AI77" s="361">
        <v>79.999999999999986</v>
      </c>
      <c r="AJ77" s="360">
        <v>0</v>
      </c>
      <c r="AK77" s="360">
        <v>2.8333051901478901</v>
      </c>
      <c r="AL77" s="360">
        <v>77.915892729066968</v>
      </c>
      <c r="AM77" s="360">
        <v>80.749197919214865</v>
      </c>
      <c r="AN77" s="360">
        <v>0</v>
      </c>
      <c r="AO77" s="360">
        <v>2.6187011440520402</v>
      </c>
      <c r="AP77" s="360">
        <v>72.014281461431096</v>
      </c>
      <c r="AQ77" s="360">
        <v>74.632982605483136</v>
      </c>
      <c r="AR77" s="360">
        <v>0</v>
      </c>
      <c r="AS77" s="360">
        <v>3.760430669339637</v>
      </c>
      <c r="AT77" s="360">
        <v>0</v>
      </c>
      <c r="AU77" s="360">
        <v>74.947505340190048</v>
      </c>
      <c r="AV77" s="360">
        <v>77.794286051524509</v>
      </c>
      <c r="AW77" s="360">
        <v>80.749197919214865</v>
      </c>
      <c r="AX77" s="360">
        <v>83.816348160556913</v>
      </c>
      <c r="AY77" s="360">
        <v>87</v>
      </c>
      <c r="AZ77" s="360">
        <v>69.626026157379357</v>
      </c>
      <c r="BA77" s="360">
        <v>72.086045800089536</v>
      </c>
      <c r="BB77" s="360">
        <v>74.632982605483136</v>
      </c>
      <c r="BC77" s="360">
        <v>77.269907521871986</v>
      </c>
      <c r="BD77" s="360">
        <v>79.999999999999986</v>
      </c>
      <c r="BE77" s="360">
        <v>3.5352097047275381</v>
      </c>
      <c r="BF77" s="360">
        <v>3.6460815948363741</v>
      </c>
      <c r="BG77" s="360">
        <v>3.760430669339637</v>
      </c>
      <c r="BH77" s="360">
        <v>3.8783659803270951</v>
      </c>
      <c r="BI77" s="360">
        <v>4</v>
      </c>
      <c r="BJ77" s="362">
        <v>88.869532624154189</v>
      </c>
      <c r="BK77" s="362">
        <v>90.779239411903518</v>
      </c>
      <c r="BL77" s="362">
        <v>92.729983661058199</v>
      </c>
      <c r="BM77" s="363">
        <v>92.120324703320222</v>
      </c>
      <c r="BN77" s="363">
        <v>91.514673985744437</v>
      </c>
      <c r="BO77" s="363">
        <v>91.222438010316992</v>
      </c>
      <c r="BP77" s="363">
        <v>90.931135238949778</v>
      </c>
      <c r="BQ77" s="363">
        <v>90.640762691620154</v>
      </c>
      <c r="BR77" s="363">
        <v>90.351317397821688</v>
      </c>
      <c r="BS77" s="363">
        <v>90.062796396533741</v>
      </c>
      <c r="BT77" s="363">
        <v>90.728988004290997</v>
      </c>
      <c r="BU77" s="363">
        <v>91.400107409940432</v>
      </c>
      <c r="BV77" s="363">
        <v>92.076191064244526</v>
      </c>
      <c r="BW77" s="363">
        <v>92.757275687590919</v>
      </c>
      <c r="BX77" s="363">
        <v>93.443398271986652</v>
      </c>
      <c r="BY77" s="435">
        <v>93.820051499602982</v>
      </c>
      <c r="BZ77" s="435">
        <v>94.196704727219299</v>
      </c>
      <c r="CA77" s="435">
        <v>94.573357954835629</v>
      </c>
      <c r="CB77" s="435">
        <v>94.950011182451945</v>
      </c>
      <c r="CC77" s="363">
        <v>95.326664410068275</v>
      </c>
      <c r="CD77" s="435">
        <v>95.635408730636527</v>
      </c>
      <c r="CE77" s="435">
        <v>95.944153051204793</v>
      </c>
      <c r="CF77" s="435">
        <v>96.252897371773045</v>
      </c>
      <c r="CG77" s="435">
        <v>96.561641692341311</v>
      </c>
      <c r="CH77" s="363">
        <v>96.870386012909563</v>
      </c>
      <c r="CI77" s="362">
        <v>81.719110458992347</v>
      </c>
      <c r="CJ77" s="362">
        <v>83.475162677612417</v>
      </c>
      <c r="CK77" s="362">
        <v>85.268950492927061</v>
      </c>
      <c r="CL77" s="363">
        <v>84.708344554777199</v>
      </c>
      <c r="CM77" s="363">
        <v>84.151424354707515</v>
      </c>
      <c r="CN77" s="363">
        <v>83.882701618682276</v>
      </c>
      <c r="CO77" s="363">
        <v>83.6148370013331</v>
      </c>
      <c r="CP77" s="363">
        <v>83.347827762409324</v>
      </c>
      <c r="CQ77" s="363">
        <v>83.081671170410729</v>
      </c>
      <c r="CR77" s="363">
        <v>82.816364502559736</v>
      </c>
      <c r="CS77" s="363">
        <v>83.428954486704356</v>
      </c>
      <c r="CT77" s="363">
        <v>84.046075779255546</v>
      </c>
      <c r="CU77" s="363">
        <v>84.66776189815586</v>
      </c>
      <c r="CV77" s="363">
        <v>85.294046609278979</v>
      </c>
      <c r="CW77" s="363">
        <v>85.92496392826358</v>
      </c>
      <c r="CX77" s="435">
        <v>86.27131172377284</v>
      </c>
      <c r="CY77" s="435">
        <v>86.6176595192821</v>
      </c>
      <c r="CZ77" s="435">
        <v>86.964007314791374</v>
      </c>
      <c r="DA77" s="435">
        <v>87.310355110300634</v>
      </c>
      <c r="DB77" s="363">
        <v>87.656702905809894</v>
      </c>
      <c r="DC77" s="435">
        <v>87.940605729320936</v>
      </c>
      <c r="DD77" s="435">
        <v>88.224508552831978</v>
      </c>
      <c r="DE77" s="435">
        <v>88.508411376343005</v>
      </c>
      <c r="DF77" s="435">
        <v>88.792314199854047</v>
      </c>
      <c r="DG77" s="363">
        <v>89.076217023365089</v>
      </c>
      <c r="DH77" s="362">
        <v>4.0859555229496181</v>
      </c>
      <c r="DI77" s="362">
        <v>4.1737581338806216</v>
      </c>
      <c r="DJ77" s="362">
        <v>4.2634475246463541</v>
      </c>
      <c r="DK77" s="363">
        <v>4.2354172277388606</v>
      </c>
      <c r="DL77" s="363">
        <v>4.207571217735377</v>
      </c>
      <c r="DM77" s="363">
        <v>4.1941350809341147</v>
      </c>
      <c r="DN77" s="363">
        <v>4.1807418500666564</v>
      </c>
      <c r="DO77" s="363">
        <v>4.1673913881204667</v>
      </c>
      <c r="DP77" s="363">
        <v>4.1540835585205382</v>
      </c>
      <c r="DQ77" s="363">
        <v>4.1408182251279886</v>
      </c>
      <c r="DR77" s="363">
        <v>4.1714477243352182</v>
      </c>
      <c r="DS77" s="363">
        <v>4.2023037889627783</v>
      </c>
      <c r="DT77" s="363">
        <v>4.2333880949077942</v>
      </c>
      <c r="DU77" s="363">
        <v>4.2647023304639502</v>
      </c>
      <c r="DV77" s="363">
        <v>4.2962481964131793</v>
      </c>
      <c r="DW77" s="435">
        <v>4.3135655861886422</v>
      </c>
      <c r="DX77" s="435">
        <v>4.3308829759641059</v>
      </c>
      <c r="DY77" s="435">
        <v>4.3482003657395687</v>
      </c>
      <c r="DZ77" s="435">
        <v>4.3655177555150324</v>
      </c>
      <c r="EA77" s="363">
        <v>4.3828351452904952</v>
      </c>
      <c r="EB77" s="435">
        <v>4.3970302864660473</v>
      </c>
      <c r="EC77" s="435">
        <v>4.4112254276415994</v>
      </c>
      <c r="ED77" s="435">
        <v>4.4254205688171515</v>
      </c>
      <c r="EE77" s="435">
        <v>4.4396157099927036</v>
      </c>
      <c r="EF77" s="363">
        <v>4.4538108511682557</v>
      </c>
      <c r="EG77" s="364">
        <v>0</v>
      </c>
      <c r="EH77" s="364">
        <v>0</v>
      </c>
      <c r="EI77" s="364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436">
        <v>0</v>
      </c>
      <c r="EW77" s="436">
        <v>0</v>
      </c>
      <c r="EX77" s="436">
        <v>0</v>
      </c>
      <c r="EY77" s="436">
        <v>0</v>
      </c>
      <c r="EZ77" s="365">
        <v>0</v>
      </c>
      <c r="FA77" s="436">
        <v>0</v>
      </c>
      <c r="FB77" s="436">
        <v>0</v>
      </c>
      <c r="FC77" s="436">
        <v>0</v>
      </c>
      <c r="FD77" s="436">
        <v>0</v>
      </c>
      <c r="FE77" s="365">
        <v>0</v>
      </c>
      <c r="FF77" s="364">
        <v>0</v>
      </c>
      <c r="FG77" s="364">
        <v>0</v>
      </c>
      <c r="FH77" s="364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5">
        <v>0</v>
      </c>
      <c r="FP77" s="365">
        <v>0</v>
      </c>
      <c r="FQ77" s="365">
        <v>0</v>
      </c>
      <c r="FR77" s="365">
        <v>0</v>
      </c>
      <c r="FS77" s="365">
        <v>0</v>
      </c>
      <c r="FT77" s="365">
        <v>0</v>
      </c>
      <c r="FU77" s="436">
        <v>0</v>
      </c>
      <c r="FV77" s="436">
        <v>0</v>
      </c>
      <c r="FW77" s="436">
        <v>0</v>
      </c>
      <c r="FX77" s="436">
        <v>0</v>
      </c>
      <c r="FY77" s="365">
        <v>0</v>
      </c>
      <c r="FZ77" s="436">
        <v>0</v>
      </c>
      <c r="GA77" s="436">
        <v>0</v>
      </c>
      <c r="GB77" s="436">
        <v>0</v>
      </c>
      <c r="GC77" s="436">
        <v>0</v>
      </c>
      <c r="GD77" s="365">
        <v>0</v>
      </c>
    </row>
    <row r="78" spans="1:186" ht="15" x14ac:dyDescent="0.25">
      <c r="A78" s="357">
        <v>129</v>
      </c>
      <c r="B78" s="357">
        <v>84</v>
      </c>
      <c r="C78" s="357" t="s">
        <v>988</v>
      </c>
      <c r="D78" s="2">
        <v>99705</v>
      </c>
      <c r="E78" s="268" t="s">
        <v>19</v>
      </c>
      <c r="F78" s="358" t="s">
        <v>915</v>
      </c>
      <c r="G78" s="49">
        <v>295</v>
      </c>
      <c r="H78" s="49">
        <v>134</v>
      </c>
      <c r="I78" s="49">
        <v>127</v>
      </c>
      <c r="J78" s="49">
        <v>7</v>
      </c>
      <c r="K78" s="49">
        <v>6</v>
      </c>
      <c r="L78" s="49">
        <v>53</v>
      </c>
      <c r="M78" s="49">
        <v>59</v>
      </c>
      <c r="N78" s="49">
        <v>0</v>
      </c>
      <c r="O78" s="49">
        <v>0</v>
      </c>
      <c r="P78" s="49">
        <v>0</v>
      </c>
      <c r="Q78" s="49">
        <v>59</v>
      </c>
      <c r="R78" s="49">
        <v>54341.333333333336</v>
      </c>
      <c r="S78" s="49">
        <v>1797.2830188679245</v>
      </c>
      <c r="T78" s="49">
        <v>7140.7457627118647</v>
      </c>
      <c r="U78" s="49">
        <v>0</v>
      </c>
      <c r="V78" s="49">
        <v>0</v>
      </c>
      <c r="W78" s="49">
        <v>0</v>
      </c>
      <c r="X78" s="49">
        <v>7140.7457627118647</v>
      </c>
      <c r="Y78" s="434">
        <v>421304</v>
      </c>
      <c r="Z78" s="434">
        <v>0</v>
      </c>
      <c r="AA78" s="49">
        <v>13.627118644067796</v>
      </c>
      <c r="AB78" s="49">
        <v>120.37288135593221</v>
      </c>
      <c r="AC78" s="49">
        <v>0</v>
      </c>
      <c r="AD78" s="285">
        <v>0</v>
      </c>
      <c r="AE78" s="285">
        <v>0</v>
      </c>
      <c r="AF78" s="359">
        <v>134</v>
      </c>
      <c r="AG78" s="360">
        <v>12.915254237288135</v>
      </c>
      <c r="AH78" s="360">
        <v>114.08474576271188</v>
      </c>
      <c r="AI78" s="361">
        <v>127.00000000000001</v>
      </c>
      <c r="AJ78" s="360">
        <v>0</v>
      </c>
      <c r="AK78" s="360">
        <v>12.648033338602913</v>
      </c>
      <c r="AL78" s="360">
        <v>111.72429449099241</v>
      </c>
      <c r="AM78" s="360">
        <v>124.37232782959532</v>
      </c>
      <c r="AN78" s="360">
        <v>0</v>
      </c>
      <c r="AO78" s="360">
        <v>12.048799310461472</v>
      </c>
      <c r="AP78" s="360">
        <v>106.43106057574303</v>
      </c>
      <c r="AQ78" s="360">
        <v>118.47985988620451</v>
      </c>
      <c r="AR78" s="360">
        <v>0</v>
      </c>
      <c r="AS78" s="360">
        <v>0</v>
      </c>
      <c r="AT78" s="360">
        <v>0</v>
      </c>
      <c r="AU78" s="360">
        <v>115.43638753546514</v>
      </c>
      <c r="AV78" s="360">
        <v>119.82108426326762</v>
      </c>
      <c r="AW78" s="360">
        <v>124.37232782959531</v>
      </c>
      <c r="AX78" s="360">
        <v>129.09644429327159</v>
      </c>
      <c r="AY78" s="360">
        <v>134</v>
      </c>
      <c r="AZ78" s="360">
        <v>110.53131652483975</v>
      </c>
      <c r="BA78" s="360">
        <v>114.43659770764218</v>
      </c>
      <c r="BB78" s="360">
        <v>118.47985988620451</v>
      </c>
      <c r="BC78" s="360">
        <v>122.66597819097181</v>
      </c>
      <c r="BD78" s="360">
        <v>127.00000000000001</v>
      </c>
      <c r="BE78" s="360">
        <v>0</v>
      </c>
      <c r="BF78" s="360">
        <v>0</v>
      </c>
      <c r="BG78" s="360">
        <v>0</v>
      </c>
      <c r="BH78" s="360">
        <v>0</v>
      </c>
      <c r="BI78" s="360">
        <v>0</v>
      </c>
      <c r="BJ78" s="362">
        <v>136.8795100188122</v>
      </c>
      <c r="BK78" s="362">
        <v>139.82089748500081</v>
      </c>
      <c r="BL78" s="362">
        <v>142.82549207565287</v>
      </c>
      <c r="BM78" s="363">
        <v>141.88647712925186</v>
      </c>
      <c r="BN78" s="363">
        <v>140.95363579413512</v>
      </c>
      <c r="BO78" s="363">
        <v>140.50352521129284</v>
      </c>
      <c r="BP78" s="363">
        <v>140.054851977233</v>
      </c>
      <c r="BQ78" s="363">
        <v>139.60761150203567</v>
      </c>
      <c r="BR78" s="363">
        <v>139.16179921043803</v>
      </c>
      <c r="BS78" s="363">
        <v>138.71741054178761</v>
      </c>
      <c r="BT78" s="363">
        <v>139.74349876522984</v>
      </c>
      <c r="BU78" s="363">
        <v>140.77717693025309</v>
      </c>
      <c r="BV78" s="363">
        <v>141.81850117941113</v>
      </c>
      <c r="BW78" s="363">
        <v>142.86752807054233</v>
      </c>
      <c r="BX78" s="363">
        <v>143.92431457984154</v>
      </c>
      <c r="BY78" s="435">
        <v>144.50444713731954</v>
      </c>
      <c r="BZ78" s="435">
        <v>145.08457969479755</v>
      </c>
      <c r="CA78" s="435">
        <v>145.66471225227559</v>
      </c>
      <c r="CB78" s="435">
        <v>146.2448448097536</v>
      </c>
      <c r="CC78" s="363">
        <v>146.82497736723161</v>
      </c>
      <c r="CD78" s="435">
        <v>147.3005145966126</v>
      </c>
      <c r="CE78" s="435">
        <v>147.77605182599359</v>
      </c>
      <c r="CF78" s="435">
        <v>148.25158905537461</v>
      </c>
      <c r="CG78" s="435">
        <v>148.7271262847556</v>
      </c>
      <c r="CH78" s="363">
        <v>149.20266351413659</v>
      </c>
      <c r="CI78" s="362">
        <v>129.72908785365038</v>
      </c>
      <c r="CJ78" s="362">
        <v>132.51682075070974</v>
      </c>
      <c r="CK78" s="362">
        <v>135.36445890752177</v>
      </c>
      <c r="CL78" s="363">
        <v>134.47449698070886</v>
      </c>
      <c r="CM78" s="363">
        <v>133.59038616309823</v>
      </c>
      <c r="CN78" s="363">
        <v>133.16378881965815</v>
      </c>
      <c r="CO78" s="363">
        <v>132.73855373961635</v>
      </c>
      <c r="CP78" s="363">
        <v>132.31467657282485</v>
      </c>
      <c r="CQ78" s="363">
        <v>131.8921529830271</v>
      </c>
      <c r="CR78" s="363">
        <v>131.47097864781364</v>
      </c>
      <c r="CS78" s="363">
        <v>132.44346524764322</v>
      </c>
      <c r="CT78" s="363">
        <v>133.42314529956823</v>
      </c>
      <c r="CU78" s="363">
        <v>134.41007201332249</v>
      </c>
      <c r="CV78" s="363">
        <v>135.40429899223045</v>
      </c>
      <c r="CW78" s="363">
        <v>136.40588023611849</v>
      </c>
      <c r="CX78" s="435">
        <v>136.95570736148943</v>
      </c>
      <c r="CY78" s="435">
        <v>137.5055344868604</v>
      </c>
      <c r="CZ78" s="435">
        <v>138.05536161223134</v>
      </c>
      <c r="DA78" s="435">
        <v>138.6051887376023</v>
      </c>
      <c r="DB78" s="363">
        <v>139.15501586297324</v>
      </c>
      <c r="DC78" s="435">
        <v>139.60571159529704</v>
      </c>
      <c r="DD78" s="435">
        <v>140.0564073276208</v>
      </c>
      <c r="DE78" s="435">
        <v>140.5071030599446</v>
      </c>
      <c r="DF78" s="435">
        <v>140.95779879226836</v>
      </c>
      <c r="DG78" s="363">
        <v>141.40849452459216</v>
      </c>
      <c r="DH78" s="362">
        <v>0</v>
      </c>
      <c r="DI78" s="362">
        <v>0</v>
      </c>
      <c r="DJ78" s="362">
        <v>0</v>
      </c>
      <c r="DK78" s="363">
        <v>0</v>
      </c>
      <c r="DL78" s="363">
        <v>0</v>
      </c>
      <c r="DM78" s="363">
        <v>0</v>
      </c>
      <c r="DN78" s="363">
        <v>0</v>
      </c>
      <c r="DO78" s="363">
        <v>0</v>
      </c>
      <c r="DP78" s="363">
        <v>0</v>
      </c>
      <c r="DQ78" s="363">
        <v>0</v>
      </c>
      <c r="DR78" s="363">
        <v>0</v>
      </c>
      <c r="DS78" s="363">
        <v>0</v>
      </c>
      <c r="DT78" s="363">
        <v>0</v>
      </c>
      <c r="DU78" s="363">
        <v>0</v>
      </c>
      <c r="DV78" s="363">
        <v>0</v>
      </c>
      <c r="DW78" s="435">
        <v>0</v>
      </c>
      <c r="DX78" s="435">
        <v>0</v>
      </c>
      <c r="DY78" s="435">
        <v>0</v>
      </c>
      <c r="DZ78" s="435">
        <v>0</v>
      </c>
      <c r="EA78" s="363">
        <v>0</v>
      </c>
      <c r="EB78" s="435">
        <v>0</v>
      </c>
      <c r="EC78" s="435">
        <v>0</v>
      </c>
      <c r="ED78" s="435">
        <v>0</v>
      </c>
      <c r="EE78" s="435">
        <v>0</v>
      </c>
      <c r="EF78" s="363">
        <v>0</v>
      </c>
      <c r="EG78" s="364">
        <v>0</v>
      </c>
      <c r="EH78" s="364">
        <v>0</v>
      </c>
      <c r="EI78" s="364">
        <v>0</v>
      </c>
      <c r="EJ78" s="365">
        <v>0</v>
      </c>
      <c r="EK78" s="365">
        <v>0</v>
      </c>
      <c r="EL78" s="365">
        <v>0</v>
      </c>
      <c r="EM78" s="365">
        <v>0</v>
      </c>
      <c r="EN78" s="365">
        <v>0</v>
      </c>
      <c r="EO78" s="365">
        <v>0</v>
      </c>
      <c r="EP78" s="365">
        <v>0</v>
      </c>
      <c r="EQ78" s="365">
        <v>0</v>
      </c>
      <c r="ER78" s="365">
        <v>0</v>
      </c>
      <c r="ES78" s="365">
        <v>0</v>
      </c>
      <c r="ET78" s="365">
        <v>0</v>
      </c>
      <c r="EU78" s="365">
        <v>0</v>
      </c>
      <c r="EV78" s="436">
        <v>0</v>
      </c>
      <c r="EW78" s="436">
        <v>0</v>
      </c>
      <c r="EX78" s="436">
        <v>0</v>
      </c>
      <c r="EY78" s="436">
        <v>0</v>
      </c>
      <c r="EZ78" s="365">
        <v>0</v>
      </c>
      <c r="FA78" s="436">
        <v>0</v>
      </c>
      <c r="FB78" s="436">
        <v>0</v>
      </c>
      <c r="FC78" s="436">
        <v>0</v>
      </c>
      <c r="FD78" s="436">
        <v>0</v>
      </c>
      <c r="FE78" s="365">
        <v>0</v>
      </c>
      <c r="FF78" s="364">
        <v>0</v>
      </c>
      <c r="FG78" s="364">
        <v>0</v>
      </c>
      <c r="FH78" s="364">
        <v>0</v>
      </c>
      <c r="FI78" s="365">
        <v>0</v>
      </c>
      <c r="FJ78" s="365">
        <v>0</v>
      </c>
      <c r="FK78" s="365">
        <v>0</v>
      </c>
      <c r="FL78" s="365">
        <v>0</v>
      </c>
      <c r="FM78" s="365">
        <v>0</v>
      </c>
      <c r="FN78" s="365">
        <v>0</v>
      </c>
      <c r="FO78" s="365">
        <v>0</v>
      </c>
      <c r="FP78" s="365">
        <v>0</v>
      </c>
      <c r="FQ78" s="365">
        <v>0</v>
      </c>
      <c r="FR78" s="365">
        <v>0</v>
      </c>
      <c r="FS78" s="365">
        <v>0</v>
      </c>
      <c r="FT78" s="365">
        <v>0</v>
      </c>
      <c r="FU78" s="436">
        <v>0</v>
      </c>
      <c r="FV78" s="436">
        <v>0</v>
      </c>
      <c r="FW78" s="436">
        <v>0</v>
      </c>
      <c r="FX78" s="436">
        <v>0</v>
      </c>
      <c r="FY78" s="365">
        <v>0</v>
      </c>
      <c r="FZ78" s="436">
        <v>0</v>
      </c>
      <c r="GA78" s="436">
        <v>0</v>
      </c>
      <c r="GB78" s="436">
        <v>0</v>
      </c>
      <c r="GC78" s="436">
        <v>0</v>
      </c>
      <c r="GD78" s="365">
        <v>0</v>
      </c>
    </row>
    <row r="79" spans="1:186" ht="15" x14ac:dyDescent="0.25">
      <c r="A79" s="357">
        <v>122</v>
      </c>
      <c r="B79" s="357">
        <v>85</v>
      </c>
      <c r="C79" s="357" t="s">
        <v>989</v>
      </c>
      <c r="D79" s="2">
        <v>99705</v>
      </c>
      <c r="E79" s="268" t="s">
        <v>218</v>
      </c>
      <c r="F79" s="358" t="s">
        <v>985</v>
      </c>
      <c r="G79" s="49">
        <v>3</v>
      </c>
      <c r="H79" s="49">
        <v>1</v>
      </c>
      <c r="I79" s="49">
        <v>1</v>
      </c>
      <c r="J79" s="49">
        <v>0</v>
      </c>
      <c r="K79" s="49">
        <v>0</v>
      </c>
      <c r="L79" s="49">
        <v>0</v>
      </c>
      <c r="M79" s="49">
        <v>0</v>
      </c>
      <c r="N79" s="49">
        <v>1</v>
      </c>
      <c r="O79" s="49">
        <v>0</v>
      </c>
      <c r="P79" s="49">
        <v>0</v>
      </c>
      <c r="Q79" s="49">
        <v>1</v>
      </c>
      <c r="R79" s="49">
        <v>0</v>
      </c>
      <c r="S79" s="49">
        <v>0</v>
      </c>
      <c r="T79" s="49">
        <v>0</v>
      </c>
      <c r="U79" s="49">
        <v>10931</v>
      </c>
      <c r="V79" s="49">
        <v>0</v>
      </c>
      <c r="W79" s="49">
        <v>0</v>
      </c>
      <c r="X79" s="49">
        <v>10931</v>
      </c>
      <c r="Y79" s="434">
        <v>0</v>
      </c>
      <c r="Z79" s="434">
        <v>10931</v>
      </c>
      <c r="AA79" s="49">
        <v>2.2912335412335411E-2</v>
      </c>
      <c r="AB79" s="49">
        <v>0.97578828828828834</v>
      </c>
      <c r="AC79" s="49">
        <v>1.2993762993762994E-3</v>
      </c>
      <c r="AD79" s="285">
        <v>1</v>
      </c>
      <c r="AE79" s="285">
        <v>0</v>
      </c>
      <c r="AF79" s="359">
        <v>2</v>
      </c>
      <c r="AG79" s="360">
        <v>2.2912335412335411E-2</v>
      </c>
      <c r="AH79" s="360">
        <v>0.97578828828828834</v>
      </c>
      <c r="AI79" s="361">
        <v>0.99870062370062374</v>
      </c>
      <c r="AJ79" s="360">
        <v>1.2993762993762994E-3</v>
      </c>
      <c r="AK79" s="360">
        <v>2.1266123068989742E-2</v>
      </c>
      <c r="AL79" s="360">
        <v>0.90567955883037798</v>
      </c>
      <c r="AM79" s="360">
        <v>0.92694568189936777</v>
      </c>
      <c r="AN79" s="360">
        <v>1.2060183214928021E-3</v>
      </c>
      <c r="AO79" s="360">
        <v>2.1375199128497804E-2</v>
      </c>
      <c r="AP79" s="360">
        <v>0.91032487933067496</v>
      </c>
      <c r="AQ79" s="360">
        <v>0.9317000784591728</v>
      </c>
      <c r="AR79" s="360">
        <v>1.2122041093666051E-3</v>
      </c>
      <c r="AS79" s="360">
        <v>0.94010766733490925</v>
      </c>
      <c r="AT79" s="360">
        <v>0</v>
      </c>
      <c r="AU79" s="360">
        <v>0.86034621066728312</v>
      </c>
      <c r="AV79" s="360">
        <v>0.89302531034485355</v>
      </c>
      <c r="AW79" s="360">
        <v>0.92694568189936777</v>
      </c>
      <c r="AX79" s="360">
        <v>0.96215447338226234</v>
      </c>
      <c r="AY79" s="360">
        <v>0.99870062370062374</v>
      </c>
      <c r="AZ79" s="360">
        <v>0.86919444686463387</v>
      </c>
      <c r="BA79" s="360">
        <v>0.8999047362582645</v>
      </c>
      <c r="BB79" s="360">
        <v>0.93170007845917269</v>
      </c>
      <c r="BC79" s="360">
        <v>0.96461881044228859</v>
      </c>
      <c r="BD79" s="360">
        <v>0.99870062370062374</v>
      </c>
      <c r="BE79" s="360">
        <v>0.88380242618188454</v>
      </c>
      <c r="BF79" s="360">
        <v>0.91152039870909352</v>
      </c>
      <c r="BG79" s="360">
        <v>0.94010766733490925</v>
      </c>
      <c r="BH79" s="360">
        <v>0.96959149508177378</v>
      </c>
      <c r="BI79" s="360">
        <v>1</v>
      </c>
      <c r="BJ79" s="362">
        <v>1.0214468128158165</v>
      </c>
      <c r="BK79" s="362">
        <v>1.0447110642081177</v>
      </c>
      <c r="BL79" s="362">
        <v>1.0685051771517533</v>
      </c>
      <c r="BM79" s="363">
        <v>1.061480224413478</v>
      </c>
      <c r="BN79" s="363">
        <v>1.0545014576572929</v>
      </c>
      <c r="BO79" s="363">
        <v>1.0511340931828681</v>
      </c>
      <c r="BP79" s="363">
        <v>1.047777481793156</v>
      </c>
      <c r="BQ79" s="363">
        <v>1.0444315891500764</v>
      </c>
      <c r="BR79" s="363">
        <v>1.0410963810252016</v>
      </c>
      <c r="BS79" s="363">
        <v>1.0377718232994069</v>
      </c>
      <c r="BT79" s="363">
        <v>1.0454481880927571</v>
      </c>
      <c r="BU79" s="363">
        <v>1.0531813347095462</v>
      </c>
      <c r="BV79" s="363">
        <v>1.0609716831630958</v>
      </c>
      <c r="BW79" s="363">
        <v>1.0688196565735524</v>
      </c>
      <c r="BX79" s="363">
        <v>1.0767256811908679</v>
      </c>
      <c r="BY79" s="435">
        <v>1.0810657652479296</v>
      </c>
      <c r="BZ79" s="435">
        <v>1.0854058493049914</v>
      </c>
      <c r="CA79" s="435">
        <v>1.0897459333620534</v>
      </c>
      <c r="CB79" s="435">
        <v>1.0940860174191152</v>
      </c>
      <c r="CC79" s="363">
        <v>1.0984261014761769</v>
      </c>
      <c r="CD79" s="435">
        <v>1.1019836876195024</v>
      </c>
      <c r="CE79" s="435">
        <v>1.1055412737628278</v>
      </c>
      <c r="CF79" s="435">
        <v>1.1090988599061535</v>
      </c>
      <c r="CG79" s="435">
        <v>1.112656446049479</v>
      </c>
      <c r="CH79" s="363">
        <v>1.1162140321928045</v>
      </c>
      <c r="CI79" s="362">
        <v>1.0214468128158165</v>
      </c>
      <c r="CJ79" s="362">
        <v>1.0447110642081177</v>
      </c>
      <c r="CK79" s="362">
        <v>1.0685051771517533</v>
      </c>
      <c r="CL79" s="363">
        <v>1.061480224413478</v>
      </c>
      <c r="CM79" s="363">
        <v>1.0545014576572929</v>
      </c>
      <c r="CN79" s="363">
        <v>1.0511340931828681</v>
      </c>
      <c r="CO79" s="363">
        <v>1.047777481793156</v>
      </c>
      <c r="CP79" s="363">
        <v>1.0444315891500764</v>
      </c>
      <c r="CQ79" s="363">
        <v>1.0410963810252016</v>
      </c>
      <c r="CR79" s="363">
        <v>1.0377718232994069</v>
      </c>
      <c r="CS79" s="363">
        <v>1.0454481880927571</v>
      </c>
      <c r="CT79" s="363">
        <v>1.0531813347095462</v>
      </c>
      <c r="CU79" s="363">
        <v>1.0609716831630958</v>
      </c>
      <c r="CV79" s="363">
        <v>1.0688196565735524</v>
      </c>
      <c r="CW79" s="363">
        <v>1.0767256811908679</v>
      </c>
      <c r="CX79" s="435">
        <v>1.0810657652479296</v>
      </c>
      <c r="CY79" s="435">
        <v>1.0854058493049914</v>
      </c>
      <c r="CZ79" s="435">
        <v>1.0897459333620534</v>
      </c>
      <c r="DA79" s="435">
        <v>1.0940860174191152</v>
      </c>
      <c r="DB79" s="363">
        <v>1.0984261014761769</v>
      </c>
      <c r="DC79" s="435">
        <v>1.1019836876195024</v>
      </c>
      <c r="DD79" s="435">
        <v>1.1055412737628278</v>
      </c>
      <c r="DE79" s="435">
        <v>1.1090988599061535</v>
      </c>
      <c r="DF79" s="435">
        <v>1.112656446049479</v>
      </c>
      <c r="DG79" s="363">
        <v>1.1162140321928045</v>
      </c>
      <c r="DH79" s="362">
        <v>1.0227757834283793</v>
      </c>
      <c r="DI79" s="362">
        <v>1.0460703031675349</v>
      </c>
      <c r="DJ79" s="362">
        <v>1.0698953738433377</v>
      </c>
      <c r="DK79" s="363">
        <v>1.0628612811717573</v>
      </c>
      <c r="DL79" s="363">
        <v>1.0558734345733183</v>
      </c>
      <c r="DM79" s="363">
        <v>1.0525016889325205</v>
      </c>
      <c r="DN79" s="363">
        <v>1.0491407103669177</v>
      </c>
      <c r="DO79" s="363">
        <v>1.0457904644937532</v>
      </c>
      <c r="DP79" s="363">
        <v>1.0424509170400664</v>
      </c>
      <c r="DQ79" s="363">
        <v>1.0391220338423413</v>
      </c>
      <c r="DR79" s="363">
        <v>1.0468083860996431</v>
      </c>
      <c r="DS79" s="363">
        <v>1.0545515940573338</v>
      </c>
      <c r="DT79" s="363">
        <v>1.0623520782751996</v>
      </c>
      <c r="DU79" s="363">
        <v>1.0702102624238952</v>
      </c>
      <c r="DV79" s="363">
        <v>1.0781265733079521</v>
      </c>
      <c r="DW79" s="435">
        <v>1.0824723041046145</v>
      </c>
      <c r="DX79" s="435">
        <v>1.086818034901277</v>
      </c>
      <c r="DY79" s="435">
        <v>1.0911637656979394</v>
      </c>
      <c r="DZ79" s="435">
        <v>1.0955094964946019</v>
      </c>
      <c r="EA79" s="363">
        <v>1.0998552272912643</v>
      </c>
      <c r="EB79" s="435">
        <v>1.1034174420920753</v>
      </c>
      <c r="EC79" s="435">
        <v>1.1069796568928862</v>
      </c>
      <c r="ED79" s="435">
        <v>1.1105418716936972</v>
      </c>
      <c r="EE79" s="435">
        <v>1.1141040864945082</v>
      </c>
      <c r="EF79" s="363">
        <v>1.1176663012953192</v>
      </c>
      <c r="EG79" s="364">
        <v>1.3289706125628629E-3</v>
      </c>
      <c r="EH79" s="364">
        <v>1.3592389594172753E-3</v>
      </c>
      <c r="EI79" s="364">
        <v>1.3901966915843785E-3</v>
      </c>
      <c r="EJ79" s="365">
        <v>1.3810567582793105E-3</v>
      </c>
      <c r="EK79" s="365">
        <v>1.3719769160256217E-3</v>
      </c>
      <c r="EL79" s="365">
        <v>1.3675957496524437E-3</v>
      </c>
      <c r="EM79" s="365">
        <v>1.3632285737615875E-3</v>
      </c>
      <c r="EN79" s="365">
        <v>1.3588753436769142E-3</v>
      </c>
      <c r="EO79" s="365">
        <v>1.3545360148649512E-3</v>
      </c>
      <c r="EP79" s="365">
        <v>1.3502105429344352E-3</v>
      </c>
      <c r="EQ79" s="365">
        <v>1.3601980068862309E-3</v>
      </c>
      <c r="ER79" s="365">
        <v>1.3702593477875958E-3</v>
      </c>
      <c r="ES79" s="365">
        <v>1.3803951121039496E-3</v>
      </c>
      <c r="ET79" s="365">
        <v>1.3906058503428992E-3</v>
      </c>
      <c r="EU79" s="365">
        <v>1.4008921170841372E-3</v>
      </c>
      <c r="EV79" s="436">
        <v>1.4065388566847901E-3</v>
      </c>
      <c r="EW79" s="436">
        <v>1.4121855962854429E-3</v>
      </c>
      <c r="EX79" s="436">
        <v>1.417832335886096E-3</v>
      </c>
      <c r="EY79" s="436">
        <v>1.4234790754867489E-3</v>
      </c>
      <c r="EZ79" s="365">
        <v>1.4291258150874017E-3</v>
      </c>
      <c r="FA79" s="436">
        <v>1.433754472572863E-3</v>
      </c>
      <c r="FB79" s="436">
        <v>1.4383831300583242E-3</v>
      </c>
      <c r="FC79" s="436">
        <v>1.4430117875437855E-3</v>
      </c>
      <c r="FD79" s="436">
        <v>1.4476404450292468E-3</v>
      </c>
      <c r="FE79" s="365">
        <v>1.452269102514708E-3</v>
      </c>
      <c r="FF79" s="364">
        <v>0</v>
      </c>
      <c r="FG79" s="364">
        <v>0</v>
      </c>
      <c r="FH79" s="364">
        <v>0</v>
      </c>
      <c r="FI79" s="365">
        <v>0</v>
      </c>
      <c r="FJ79" s="365">
        <v>0</v>
      </c>
      <c r="FK79" s="365">
        <v>0</v>
      </c>
      <c r="FL79" s="365">
        <v>0</v>
      </c>
      <c r="FM79" s="365">
        <v>0</v>
      </c>
      <c r="FN79" s="365">
        <v>0</v>
      </c>
      <c r="FO79" s="365">
        <v>0</v>
      </c>
      <c r="FP79" s="365">
        <v>0</v>
      </c>
      <c r="FQ79" s="365">
        <v>0</v>
      </c>
      <c r="FR79" s="365">
        <v>0</v>
      </c>
      <c r="FS79" s="365">
        <v>0</v>
      </c>
      <c r="FT79" s="365">
        <v>0</v>
      </c>
      <c r="FU79" s="436">
        <v>0</v>
      </c>
      <c r="FV79" s="436">
        <v>0</v>
      </c>
      <c r="FW79" s="436">
        <v>0</v>
      </c>
      <c r="FX79" s="436">
        <v>0</v>
      </c>
      <c r="FY79" s="365">
        <v>0</v>
      </c>
      <c r="FZ79" s="436">
        <v>0</v>
      </c>
      <c r="GA79" s="436">
        <v>0</v>
      </c>
      <c r="GB79" s="436">
        <v>0</v>
      </c>
      <c r="GC79" s="436">
        <v>0</v>
      </c>
      <c r="GD79" s="365">
        <v>0</v>
      </c>
    </row>
    <row r="80" spans="1:186" ht="15" x14ac:dyDescent="0.25">
      <c r="A80" s="357">
        <v>123</v>
      </c>
      <c r="B80" s="357">
        <v>85</v>
      </c>
      <c r="C80" s="357" t="s">
        <v>990</v>
      </c>
      <c r="D80" s="2">
        <v>99705</v>
      </c>
      <c r="E80" s="268" t="s">
        <v>218</v>
      </c>
      <c r="F80" s="358" t="s">
        <v>985</v>
      </c>
      <c r="G80" s="49">
        <v>154</v>
      </c>
      <c r="H80" s="49">
        <v>59</v>
      </c>
      <c r="I80" s="49">
        <v>55</v>
      </c>
      <c r="J80" s="49">
        <v>4</v>
      </c>
      <c r="K80" s="49">
        <v>0</v>
      </c>
      <c r="L80" s="49">
        <v>52</v>
      </c>
      <c r="M80" s="49">
        <v>52</v>
      </c>
      <c r="N80" s="49">
        <v>2</v>
      </c>
      <c r="O80" s="49">
        <v>0</v>
      </c>
      <c r="P80" s="49">
        <v>0</v>
      </c>
      <c r="Q80" s="49">
        <v>54</v>
      </c>
      <c r="R80" s="49">
        <v>0</v>
      </c>
      <c r="S80" s="49">
        <v>2155.5961538461538</v>
      </c>
      <c r="T80" s="49">
        <v>2155.5961538461538</v>
      </c>
      <c r="U80" s="49">
        <v>4976</v>
      </c>
      <c r="V80" s="49">
        <v>0</v>
      </c>
      <c r="W80" s="49">
        <v>0</v>
      </c>
      <c r="X80" s="49">
        <v>2260.0555555555557</v>
      </c>
      <c r="Y80" s="434">
        <v>112091</v>
      </c>
      <c r="Z80" s="434">
        <v>9952</v>
      </c>
      <c r="AA80" s="49">
        <v>0</v>
      </c>
      <c r="AB80" s="49">
        <v>59</v>
      </c>
      <c r="AC80" s="49">
        <v>0</v>
      </c>
      <c r="AD80" s="285">
        <v>2</v>
      </c>
      <c r="AE80" s="285">
        <v>0</v>
      </c>
      <c r="AF80" s="359">
        <v>61</v>
      </c>
      <c r="AG80" s="360">
        <v>0</v>
      </c>
      <c r="AH80" s="360">
        <v>55</v>
      </c>
      <c r="AI80" s="361">
        <v>55</v>
      </c>
      <c r="AJ80" s="360">
        <v>0</v>
      </c>
      <c r="AK80" s="360">
        <v>0</v>
      </c>
      <c r="AL80" s="360">
        <v>54.760950313030769</v>
      </c>
      <c r="AM80" s="360">
        <v>54.760950313030769</v>
      </c>
      <c r="AN80" s="360">
        <v>0</v>
      </c>
      <c r="AO80" s="360">
        <v>0</v>
      </c>
      <c r="AP80" s="360">
        <v>51.310175541269658</v>
      </c>
      <c r="AQ80" s="360">
        <v>51.310175541269658</v>
      </c>
      <c r="AR80" s="360">
        <v>0</v>
      </c>
      <c r="AS80" s="360">
        <v>1.8802153346698185</v>
      </c>
      <c r="AT80" s="360">
        <v>0</v>
      </c>
      <c r="AU80" s="360">
        <v>50.826469138749573</v>
      </c>
      <c r="AV80" s="360">
        <v>52.757044563677539</v>
      </c>
      <c r="AW80" s="360">
        <v>54.760950313030769</v>
      </c>
      <c r="AX80" s="360">
        <v>56.840971741067335</v>
      </c>
      <c r="AY80" s="360">
        <v>59</v>
      </c>
      <c r="AZ80" s="360">
        <v>47.86789298319831</v>
      </c>
      <c r="BA80" s="360">
        <v>49.559156487561566</v>
      </c>
      <c r="BB80" s="360">
        <v>51.310175541269658</v>
      </c>
      <c r="BC80" s="360">
        <v>53.123061421286998</v>
      </c>
      <c r="BD80" s="360">
        <v>55</v>
      </c>
      <c r="BE80" s="360">
        <v>1.7676048523637691</v>
      </c>
      <c r="BF80" s="360">
        <v>1.823040797418187</v>
      </c>
      <c r="BG80" s="360">
        <v>1.8802153346698185</v>
      </c>
      <c r="BH80" s="360">
        <v>1.9391829901635476</v>
      </c>
      <c r="BI80" s="360">
        <v>2</v>
      </c>
      <c r="BJ80" s="362">
        <v>59.245155296935756</v>
      </c>
      <c r="BK80" s="362">
        <v>59.491329256915847</v>
      </c>
      <c r="BL80" s="362">
        <v>59.73852611266301</v>
      </c>
      <c r="BM80" s="363">
        <v>59.345771513462715</v>
      </c>
      <c r="BN80" s="363">
        <v>58.955599103432967</v>
      </c>
      <c r="BO80" s="363">
        <v>58.767334792798096</v>
      </c>
      <c r="BP80" s="363">
        <v>58.579671671044309</v>
      </c>
      <c r="BQ80" s="363">
        <v>58.392607818380917</v>
      </c>
      <c r="BR80" s="363">
        <v>58.206141321147747</v>
      </c>
      <c r="BS80" s="363">
        <v>58.02027027179556</v>
      </c>
      <c r="BT80" s="363">
        <v>58.449444344569137</v>
      </c>
      <c r="BU80" s="363">
        <v>58.881793004153124</v>
      </c>
      <c r="BV80" s="363">
        <v>59.317339732864028</v>
      </c>
      <c r="BW80" s="363">
        <v>59.756108186716332</v>
      </c>
      <c r="BX80" s="363">
        <v>60.19812219670721</v>
      </c>
      <c r="BY80" s="435">
        <v>60.440769804147969</v>
      </c>
      <c r="BZ80" s="435">
        <v>60.683417411588728</v>
      </c>
      <c r="CA80" s="435">
        <v>60.926065019029494</v>
      </c>
      <c r="CB80" s="435">
        <v>61.168712626470253</v>
      </c>
      <c r="CC80" s="363">
        <v>61.411360233911012</v>
      </c>
      <c r="CD80" s="435">
        <v>61.610259553507774</v>
      </c>
      <c r="CE80" s="435">
        <v>61.809158873104536</v>
      </c>
      <c r="CF80" s="435">
        <v>62.008058192701291</v>
      </c>
      <c r="CG80" s="435">
        <v>62.206957512298054</v>
      </c>
      <c r="CH80" s="363">
        <v>62.405856831894816</v>
      </c>
      <c r="CI80" s="362">
        <v>55.228534598838422</v>
      </c>
      <c r="CJ80" s="362">
        <v>55.458018798819857</v>
      </c>
      <c r="CK80" s="362">
        <v>55.688456545702806</v>
      </c>
      <c r="CL80" s="363">
        <v>55.322329376956766</v>
      </c>
      <c r="CM80" s="363">
        <v>54.958609333708701</v>
      </c>
      <c r="CN80" s="363">
        <v>54.783108705150767</v>
      </c>
      <c r="CO80" s="363">
        <v>54.608168506905713</v>
      </c>
      <c r="CP80" s="363">
        <v>54.433786949338142</v>
      </c>
      <c r="CQ80" s="363">
        <v>54.259962248527557</v>
      </c>
      <c r="CR80" s="363">
        <v>54.086692626250098</v>
      </c>
      <c r="CS80" s="363">
        <v>54.486770151716996</v>
      </c>
      <c r="CT80" s="363">
        <v>54.889807037769863</v>
      </c>
      <c r="CU80" s="363">
        <v>55.295825174703758</v>
      </c>
      <c r="CV80" s="363">
        <v>55.704846614735565</v>
      </c>
      <c r="CW80" s="363">
        <v>56.116893573201637</v>
      </c>
      <c r="CX80" s="435">
        <v>56.343090495392175</v>
      </c>
      <c r="CY80" s="435">
        <v>56.569287417582714</v>
      </c>
      <c r="CZ80" s="435">
        <v>56.795484339773253</v>
      </c>
      <c r="DA80" s="435">
        <v>57.021681261963792</v>
      </c>
      <c r="DB80" s="363">
        <v>57.247878184154331</v>
      </c>
      <c r="DC80" s="435">
        <v>57.433292804117414</v>
      </c>
      <c r="DD80" s="435">
        <v>57.618707424080498</v>
      </c>
      <c r="DE80" s="435">
        <v>57.804122044043574</v>
      </c>
      <c r="DF80" s="435">
        <v>57.989536664006657</v>
      </c>
      <c r="DG80" s="363">
        <v>58.17495128396974</v>
      </c>
      <c r="DH80" s="362">
        <v>2.0083103490486698</v>
      </c>
      <c r="DI80" s="362">
        <v>2.0166552290479949</v>
      </c>
      <c r="DJ80" s="362">
        <v>2.0250347834801019</v>
      </c>
      <c r="DK80" s="363">
        <v>2.0117210682529731</v>
      </c>
      <c r="DL80" s="363">
        <v>1.9984948848621344</v>
      </c>
      <c r="DM80" s="363">
        <v>1.9921130438236641</v>
      </c>
      <c r="DN80" s="363">
        <v>1.9857515820692986</v>
      </c>
      <c r="DO80" s="363">
        <v>1.979410434521387</v>
      </c>
      <c r="DP80" s="363">
        <v>1.9730895363100929</v>
      </c>
      <c r="DQ80" s="363">
        <v>1.9667888227727306</v>
      </c>
      <c r="DR80" s="363">
        <v>1.9813370964260724</v>
      </c>
      <c r="DS80" s="363">
        <v>1.9959929831916312</v>
      </c>
      <c r="DT80" s="363">
        <v>2.0107572790801367</v>
      </c>
      <c r="DU80" s="363">
        <v>2.0256307859903839</v>
      </c>
      <c r="DV80" s="363">
        <v>2.0406143117527868</v>
      </c>
      <c r="DW80" s="435">
        <v>2.0488396543778973</v>
      </c>
      <c r="DX80" s="435">
        <v>2.0570649970030077</v>
      </c>
      <c r="DY80" s="435">
        <v>2.0652903396281186</v>
      </c>
      <c r="DZ80" s="435">
        <v>2.073515682253229</v>
      </c>
      <c r="EA80" s="363">
        <v>2.0817410248783395</v>
      </c>
      <c r="EB80" s="435">
        <v>2.088483374695179</v>
      </c>
      <c r="EC80" s="435">
        <v>2.0952257245120181</v>
      </c>
      <c r="ED80" s="435">
        <v>2.1019680743288576</v>
      </c>
      <c r="EE80" s="435">
        <v>2.1087104241456966</v>
      </c>
      <c r="EF80" s="363">
        <v>2.1154527739625362</v>
      </c>
      <c r="EG80" s="364">
        <v>0</v>
      </c>
      <c r="EH80" s="364">
        <v>0</v>
      </c>
      <c r="EI80" s="364">
        <v>0</v>
      </c>
      <c r="EJ80" s="365">
        <v>0</v>
      </c>
      <c r="EK80" s="365">
        <v>0</v>
      </c>
      <c r="EL80" s="365">
        <v>0</v>
      </c>
      <c r="EM80" s="365">
        <v>0</v>
      </c>
      <c r="EN80" s="365">
        <v>0</v>
      </c>
      <c r="EO80" s="365">
        <v>0</v>
      </c>
      <c r="EP80" s="365">
        <v>0</v>
      </c>
      <c r="EQ80" s="365">
        <v>0</v>
      </c>
      <c r="ER80" s="365">
        <v>0</v>
      </c>
      <c r="ES80" s="365">
        <v>0</v>
      </c>
      <c r="ET80" s="365">
        <v>0</v>
      </c>
      <c r="EU80" s="365">
        <v>0</v>
      </c>
      <c r="EV80" s="436">
        <v>0</v>
      </c>
      <c r="EW80" s="436">
        <v>0</v>
      </c>
      <c r="EX80" s="436">
        <v>0</v>
      </c>
      <c r="EY80" s="436">
        <v>0</v>
      </c>
      <c r="EZ80" s="365">
        <v>0</v>
      </c>
      <c r="FA80" s="436">
        <v>0</v>
      </c>
      <c r="FB80" s="436">
        <v>0</v>
      </c>
      <c r="FC80" s="436">
        <v>0</v>
      </c>
      <c r="FD80" s="436">
        <v>0</v>
      </c>
      <c r="FE80" s="365">
        <v>0</v>
      </c>
      <c r="FF80" s="364">
        <v>0</v>
      </c>
      <c r="FG80" s="364">
        <v>0</v>
      </c>
      <c r="FH80" s="364">
        <v>0</v>
      </c>
      <c r="FI80" s="365">
        <v>0</v>
      </c>
      <c r="FJ80" s="365">
        <v>0</v>
      </c>
      <c r="FK80" s="365">
        <v>0</v>
      </c>
      <c r="FL80" s="365">
        <v>0</v>
      </c>
      <c r="FM80" s="365">
        <v>0</v>
      </c>
      <c r="FN80" s="365">
        <v>0</v>
      </c>
      <c r="FO80" s="365">
        <v>0</v>
      </c>
      <c r="FP80" s="365">
        <v>0</v>
      </c>
      <c r="FQ80" s="365">
        <v>0</v>
      </c>
      <c r="FR80" s="365">
        <v>0</v>
      </c>
      <c r="FS80" s="365">
        <v>0</v>
      </c>
      <c r="FT80" s="365">
        <v>0</v>
      </c>
      <c r="FU80" s="436">
        <v>0</v>
      </c>
      <c r="FV80" s="436">
        <v>0</v>
      </c>
      <c r="FW80" s="436">
        <v>0</v>
      </c>
      <c r="FX80" s="436">
        <v>0</v>
      </c>
      <c r="FY80" s="365">
        <v>0</v>
      </c>
      <c r="FZ80" s="436">
        <v>0</v>
      </c>
      <c r="GA80" s="436">
        <v>0</v>
      </c>
      <c r="GB80" s="436">
        <v>0</v>
      </c>
      <c r="GC80" s="436">
        <v>0</v>
      </c>
      <c r="GD80" s="365">
        <v>0</v>
      </c>
    </row>
    <row r="81" spans="1:186" ht="15" x14ac:dyDescent="0.25">
      <c r="A81" s="357">
        <v>124</v>
      </c>
      <c r="B81" s="357">
        <v>85</v>
      </c>
      <c r="C81" s="357" t="s">
        <v>991</v>
      </c>
      <c r="D81" s="2">
        <v>99705</v>
      </c>
      <c r="E81" s="268" t="s">
        <v>218</v>
      </c>
      <c r="F81" s="358" t="s">
        <v>985</v>
      </c>
      <c r="G81" s="49">
        <v>645</v>
      </c>
      <c r="H81" s="49">
        <v>232</v>
      </c>
      <c r="I81" s="49">
        <v>218</v>
      </c>
      <c r="J81" s="49">
        <v>14</v>
      </c>
      <c r="K81" s="49">
        <v>0</v>
      </c>
      <c r="L81" s="49">
        <v>204</v>
      </c>
      <c r="M81" s="49">
        <v>204</v>
      </c>
      <c r="N81" s="49">
        <v>1</v>
      </c>
      <c r="O81" s="49">
        <v>0</v>
      </c>
      <c r="P81" s="49">
        <v>0</v>
      </c>
      <c r="Q81" s="49">
        <v>205</v>
      </c>
      <c r="R81" s="49">
        <v>0</v>
      </c>
      <c r="S81" s="49">
        <v>2188.6568627450979</v>
      </c>
      <c r="T81" s="49">
        <v>2188.6568627450979</v>
      </c>
      <c r="U81" s="49">
        <v>3060</v>
      </c>
      <c r="V81" s="49">
        <v>0</v>
      </c>
      <c r="W81" s="49">
        <v>0</v>
      </c>
      <c r="X81" s="49">
        <v>2192.9073170731708</v>
      </c>
      <c r="Y81" s="434">
        <v>446486</v>
      </c>
      <c r="Z81" s="434">
        <v>3060</v>
      </c>
      <c r="AA81" s="49">
        <v>0</v>
      </c>
      <c r="AB81" s="49">
        <v>232</v>
      </c>
      <c r="AC81" s="49">
        <v>0</v>
      </c>
      <c r="AD81" s="285">
        <v>1</v>
      </c>
      <c r="AE81" s="285">
        <v>0</v>
      </c>
      <c r="AF81" s="359">
        <v>233</v>
      </c>
      <c r="AG81" s="360">
        <v>0</v>
      </c>
      <c r="AH81" s="360">
        <v>218</v>
      </c>
      <c r="AI81" s="361">
        <v>218</v>
      </c>
      <c r="AJ81" s="360">
        <v>0</v>
      </c>
      <c r="AK81" s="360">
        <v>0</v>
      </c>
      <c r="AL81" s="360">
        <v>215.33119445123964</v>
      </c>
      <c r="AM81" s="360">
        <v>215.33119445123964</v>
      </c>
      <c r="AN81" s="360">
        <v>0</v>
      </c>
      <c r="AO81" s="360">
        <v>0</v>
      </c>
      <c r="AP81" s="360">
        <v>203.37487759994156</v>
      </c>
      <c r="AQ81" s="360">
        <v>203.37487759994156</v>
      </c>
      <c r="AR81" s="360">
        <v>0</v>
      </c>
      <c r="AS81" s="360">
        <v>0.94010766733490925</v>
      </c>
      <c r="AT81" s="360">
        <v>0</v>
      </c>
      <c r="AU81" s="360">
        <v>199.86001424050681</v>
      </c>
      <c r="AV81" s="360">
        <v>207.45142947073202</v>
      </c>
      <c r="AW81" s="360">
        <v>215.33119445123964</v>
      </c>
      <c r="AX81" s="360">
        <v>223.51026176148511</v>
      </c>
      <c r="AY81" s="360">
        <v>232</v>
      </c>
      <c r="AZ81" s="360">
        <v>189.73092127885877</v>
      </c>
      <c r="BA81" s="360">
        <v>196.43447480524401</v>
      </c>
      <c r="BB81" s="360">
        <v>203.37487759994156</v>
      </c>
      <c r="BC81" s="360">
        <v>210.56049799710121</v>
      </c>
      <c r="BD81" s="360">
        <v>218</v>
      </c>
      <c r="BE81" s="360">
        <v>0.88380242618188454</v>
      </c>
      <c r="BF81" s="360">
        <v>0.91152039870909352</v>
      </c>
      <c r="BG81" s="360">
        <v>0.94010766733490925</v>
      </c>
      <c r="BH81" s="360">
        <v>0.96959149508177378</v>
      </c>
      <c r="BI81" s="360">
        <v>1</v>
      </c>
      <c r="BJ81" s="362">
        <v>236.86409476015379</v>
      </c>
      <c r="BK81" s="362">
        <v>241.83016976959962</v>
      </c>
      <c r="BL81" s="362">
        <v>246.90036313866608</v>
      </c>
      <c r="BM81" s="363">
        <v>245.27710157737391</v>
      </c>
      <c r="BN81" s="363">
        <v>243.66451224864903</v>
      </c>
      <c r="BO81" s="363">
        <v>242.88641259191934</v>
      </c>
      <c r="BP81" s="363">
        <v>242.11079765924822</v>
      </c>
      <c r="BQ81" s="363">
        <v>241.33765951610746</v>
      </c>
      <c r="BR81" s="363">
        <v>240.56699025330644</v>
      </c>
      <c r="BS81" s="363">
        <v>239.79878198691114</v>
      </c>
      <c r="BT81" s="363">
        <v>241.57256586329365</v>
      </c>
      <c r="BU81" s="363">
        <v>243.35947036194975</v>
      </c>
      <c r="BV81" s="363">
        <v>245.15959253570028</v>
      </c>
      <c r="BW81" s="363">
        <v>246.97303015526285</v>
      </c>
      <c r="BX81" s="363">
        <v>248.79988171456159</v>
      </c>
      <c r="BY81" s="435">
        <v>249.80274847894856</v>
      </c>
      <c r="BZ81" s="435">
        <v>250.8056152433355</v>
      </c>
      <c r="CA81" s="435">
        <v>251.80848200772246</v>
      </c>
      <c r="CB81" s="435">
        <v>252.8113487721094</v>
      </c>
      <c r="CC81" s="363">
        <v>253.81421553649636</v>
      </c>
      <c r="CD81" s="435">
        <v>254.63626986947168</v>
      </c>
      <c r="CE81" s="435">
        <v>255.45832420244702</v>
      </c>
      <c r="CF81" s="435">
        <v>256.28037853542236</v>
      </c>
      <c r="CG81" s="435">
        <v>257.10243286839767</v>
      </c>
      <c r="CH81" s="363">
        <v>257.92448720137298</v>
      </c>
      <c r="CI81" s="362">
        <v>222.57057180048935</v>
      </c>
      <c r="CJ81" s="362">
        <v>227.23696986971001</v>
      </c>
      <c r="CK81" s="362">
        <v>232.0012032940914</v>
      </c>
      <c r="CL81" s="363">
        <v>230.47589717184272</v>
      </c>
      <c r="CM81" s="363">
        <v>228.96061926812712</v>
      </c>
      <c r="CN81" s="363">
        <v>228.22947390102763</v>
      </c>
      <c r="CO81" s="363">
        <v>227.50066331774187</v>
      </c>
      <c r="CP81" s="363">
        <v>226.77418006254925</v>
      </c>
      <c r="CQ81" s="363">
        <v>226.05001670353795</v>
      </c>
      <c r="CR81" s="363">
        <v>225.32816583252855</v>
      </c>
      <c r="CS81" s="363">
        <v>226.99491102671558</v>
      </c>
      <c r="CT81" s="363">
        <v>228.67398508148725</v>
      </c>
      <c r="CU81" s="363">
        <v>230.3654791930287</v>
      </c>
      <c r="CV81" s="363">
        <v>232.06948523210045</v>
      </c>
      <c r="CW81" s="363">
        <v>233.78609574902768</v>
      </c>
      <c r="CX81" s="435">
        <v>234.72844469142578</v>
      </c>
      <c r="CY81" s="435">
        <v>235.67079363382388</v>
      </c>
      <c r="CZ81" s="435">
        <v>236.61314257622195</v>
      </c>
      <c r="DA81" s="435">
        <v>237.55549151862004</v>
      </c>
      <c r="DB81" s="363">
        <v>238.49784046101814</v>
      </c>
      <c r="DC81" s="435">
        <v>239.27028806700358</v>
      </c>
      <c r="DD81" s="435">
        <v>240.04273567298901</v>
      </c>
      <c r="DE81" s="435">
        <v>240.81518327897442</v>
      </c>
      <c r="DF81" s="435">
        <v>241.58763088495985</v>
      </c>
      <c r="DG81" s="363">
        <v>242.36007849094528</v>
      </c>
      <c r="DH81" s="362">
        <v>1.0209659256903181</v>
      </c>
      <c r="DI81" s="362">
        <v>1.0423714214206881</v>
      </c>
      <c r="DJ81" s="362">
        <v>1.0642257031839055</v>
      </c>
      <c r="DK81" s="363">
        <v>1.0572288861093704</v>
      </c>
      <c r="DL81" s="363">
        <v>1.0502780700372802</v>
      </c>
      <c r="DM81" s="363">
        <v>1.0469241922065489</v>
      </c>
      <c r="DN81" s="363">
        <v>1.0435810243933112</v>
      </c>
      <c r="DO81" s="363">
        <v>1.040248532397015</v>
      </c>
      <c r="DP81" s="363">
        <v>1.036926682126321</v>
      </c>
      <c r="DQ81" s="363">
        <v>1.0336154395987549</v>
      </c>
      <c r="DR81" s="363">
        <v>1.041261059755576</v>
      </c>
      <c r="DS81" s="363">
        <v>1.0489632343187489</v>
      </c>
      <c r="DT81" s="363">
        <v>1.0567223816193978</v>
      </c>
      <c r="DU81" s="363">
        <v>1.0645389230830296</v>
      </c>
      <c r="DV81" s="363">
        <v>1.0724132832524207</v>
      </c>
      <c r="DW81" s="435">
        <v>1.0767359848230542</v>
      </c>
      <c r="DX81" s="435">
        <v>1.0810586863936875</v>
      </c>
      <c r="DY81" s="435">
        <v>1.085381387964321</v>
      </c>
      <c r="DZ81" s="435">
        <v>1.0897040895349543</v>
      </c>
      <c r="EA81" s="363">
        <v>1.0940267911055879</v>
      </c>
      <c r="EB81" s="435">
        <v>1.0975701287477229</v>
      </c>
      <c r="EC81" s="435">
        <v>1.1011134663898579</v>
      </c>
      <c r="ED81" s="435">
        <v>1.1046568040319928</v>
      </c>
      <c r="EE81" s="435">
        <v>1.1082001416741278</v>
      </c>
      <c r="EF81" s="363">
        <v>1.1117434793162628</v>
      </c>
      <c r="EG81" s="364">
        <v>0</v>
      </c>
      <c r="EH81" s="364">
        <v>0</v>
      </c>
      <c r="EI81" s="364">
        <v>0</v>
      </c>
      <c r="EJ81" s="365">
        <v>0</v>
      </c>
      <c r="EK81" s="365">
        <v>0</v>
      </c>
      <c r="EL81" s="365">
        <v>0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0</v>
      </c>
      <c r="ES81" s="365">
        <v>0</v>
      </c>
      <c r="ET81" s="365">
        <v>0</v>
      </c>
      <c r="EU81" s="365">
        <v>0</v>
      </c>
      <c r="EV81" s="436">
        <v>0</v>
      </c>
      <c r="EW81" s="436">
        <v>0</v>
      </c>
      <c r="EX81" s="436">
        <v>0</v>
      </c>
      <c r="EY81" s="436">
        <v>0</v>
      </c>
      <c r="EZ81" s="365">
        <v>0</v>
      </c>
      <c r="FA81" s="436">
        <v>0</v>
      </c>
      <c r="FB81" s="436">
        <v>0</v>
      </c>
      <c r="FC81" s="436">
        <v>0</v>
      </c>
      <c r="FD81" s="436">
        <v>0</v>
      </c>
      <c r="FE81" s="365">
        <v>0</v>
      </c>
      <c r="FF81" s="364">
        <v>0</v>
      </c>
      <c r="FG81" s="364">
        <v>0</v>
      </c>
      <c r="FH81" s="364">
        <v>0</v>
      </c>
      <c r="FI81" s="365">
        <v>0</v>
      </c>
      <c r="FJ81" s="365">
        <v>0</v>
      </c>
      <c r="FK81" s="365">
        <v>0</v>
      </c>
      <c r="FL81" s="365">
        <v>0</v>
      </c>
      <c r="FM81" s="365">
        <v>0</v>
      </c>
      <c r="FN81" s="365">
        <v>0</v>
      </c>
      <c r="FO81" s="365">
        <v>0</v>
      </c>
      <c r="FP81" s="365">
        <v>0</v>
      </c>
      <c r="FQ81" s="365">
        <v>0</v>
      </c>
      <c r="FR81" s="365">
        <v>0</v>
      </c>
      <c r="FS81" s="365">
        <v>0</v>
      </c>
      <c r="FT81" s="365">
        <v>0</v>
      </c>
      <c r="FU81" s="436">
        <v>0</v>
      </c>
      <c r="FV81" s="436">
        <v>0</v>
      </c>
      <c r="FW81" s="436">
        <v>0</v>
      </c>
      <c r="FX81" s="436">
        <v>0</v>
      </c>
      <c r="FY81" s="365">
        <v>0</v>
      </c>
      <c r="FZ81" s="436">
        <v>0</v>
      </c>
      <c r="GA81" s="436">
        <v>0</v>
      </c>
      <c r="GB81" s="436">
        <v>0</v>
      </c>
      <c r="GC81" s="436">
        <v>0</v>
      </c>
      <c r="GD81" s="365">
        <v>0</v>
      </c>
    </row>
    <row r="82" spans="1:186" ht="15" x14ac:dyDescent="0.25">
      <c r="A82" s="357">
        <v>125</v>
      </c>
      <c r="B82" s="357">
        <v>85</v>
      </c>
      <c r="C82" s="357" t="s">
        <v>992</v>
      </c>
      <c r="D82" s="2">
        <v>99705</v>
      </c>
      <c r="E82" s="268" t="s">
        <v>218</v>
      </c>
      <c r="F82" s="358" t="s">
        <v>985</v>
      </c>
      <c r="G82" s="49">
        <v>570</v>
      </c>
      <c r="H82" s="49">
        <v>190</v>
      </c>
      <c r="I82" s="49">
        <v>183</v>
      </c>
      <c r="J82" s="49">
        <v>7</v>
      </c>
      <c r="K82" s="49">
        <v>3</v>
      </c>
      <c r="L82" s="49">
        <v>138</v>
      </c>
      <c r="M82" s="49">
        <v>141</v>
      </c>
      <c r="N82" s="49">
        <v>4</v>
      </c>
      <c r="O82" s="49">
        <v>0</v>
      </c>
      <c r="P82" s="49">
        <v>0</v>
      </c>
      <c r="Q82" s="49">
        <v>145</v>
      </c>
      <c r="R82" s="49">
        <v>3403</v>
      </c>
      <c r="S82" s="49">
        <v>2294.1884057971015</v>
      </c>
      <c r="T82" s="49">
        <v>2317.7801418439717</v>
      </c>
      <c r="U82" s="49">
        <v>7495</v>
      </c>
      <c r="V82" s="49">
        <v>0</v>
      </c>
      <c r="W82" s="49">
        <v>0</v>
      </c>
      <c r="X82" s="49">
        <v>2460.6</v>
      </c>
      <c r="Y82" s="434">
        <v>326807</v>
      </c>
      <c r="Z82" s="434">
        <v>29980</v>
      </c>
      <c r="AA82" s="49">
        <v>4.042553191489362</v>
      </c>
      <c r="AB82" s="49">
        <v>185.95744680851064</v>
      </c>
      <c r="AC82" s="49">
        <v>0</v>
      </c>
      <c r="AD82" s="285">
        <v>4</v>
      </c>
      <c r="AE82" s="285">
        <v>0</v>
      </c>
      <c r="AF82" s="359">
        <v>194</v>
      </c>
      <c r="AG82" s="360">
        <v>3.8936170212765959</v>
      </c>
      <c r="AH82" s="360">
        <v>179.10638297872342</v>
      </c>
      <c r="AI82" s="361">
        <v>183</v>
      </c>
      <c r="AJ82" s="360">
        <v>0</v>
      </c>
      <c r="AK82" s="360">
        <v>3.752102617914117</v>
      </c>
      <c r="AL82" s="360">
        <v>172.59672042404938</v>
      </c>
      <c r="AM82" s="360">
        <v>176.3488230419635</v>
      </c>
      <c r="AN82" s="360">
        <v>0</v>
      </c>
      <c r="AO82" s="360">
        <v>3.6324031427668659</v>
      </c>
      <c r="AP82" s="360">
        <v>167.09054456727583</v>
      </c>
      <c r="AQ82" s="360">
        <v>170.72294771004269</v>
      </c>
      <c r="AR82" s="360">
        <v>0</v>
      </c>
      <c r="AS82" s="360">
        <v>3.760430669339637</v>
      </c>
      <c r="AT82" s="360">
        <v>0</v>
      </c>
      <c r="AU82" s="360">
        <v>163.67845993834609</v>
      </c>
      <c r="AV82" s="360">
        <v>169.89556723896155</v>
      </c>
      <c r="AW82" s="360">
        <v>176.3488230419635</v>
      </c>
      <c r="AX82" s="360">
        <v>183.04719713225074</v>
      </c>
      <c r="AY82" s="360">
        <v>190</v>
      </c>
      <c r="AZ82" s="360">
        <v>159.26953483500529</v>
      </c>
      <c r="BA82" s="360">
        <v>164.89682976770484</v>
      </c>
      <c r="BB82" s="360">
        <v>170.72294771004269</v>
      </c>
      <c r="BC82" s="360">
        <v>176.7549134562822</v>
      </c>
      <c r="BD82" s="360">
        <v>183</v>
      </c>
      <c r="BE82" s="360">
        <v>3.5352097047275381</v>
      </c>
      <c r="BF82" s="360">
        <v>3.6460815948363741</v>
      </c>
      <c r="BG82" s="360">
        <v>3.760430669339637</v>
      </c>
      <c r="BH82" s="360">
        <v>3.8783659803270951</v>
      </c>
      <c r="BI82" s="360">
        <v>4</v>
      </c>
      <c r="BJ82" s="362">
        <v>191.7639582947387</v>
      </c>
      <c r="BK82" s="362">
        <v>193.5442931624541</v>
      </c>
      <c r="BL82" s="362">
        <v>195.34115664310278</v>
      </c>
      <c r="BM82" s="363">
        <v>194.05687424316554</v>
      </c>
      <c r="BN82" s="363">
        <v>192.78103543653518</v>
      </c>
      <c r="BO82" s="363">
        <v>192.16542319118656</v>
      </c>
      <c r="BP82" s="363">
        <v>191.5517767949982</v>
      </c>
      <c r="BQ82" s="363">
        <v>190.94008997037741</v>
      </c>
      <c r="BR82" s="363">
        <v>190.33035645977787</v>
      </c>
      <c r="BS82" s="363">
        <v>189.72257002563572</v>
      </c>
      <c r="BT82" s="363">
        <v>191.12594177301887</v>
      </c>
      <c r="BU82" s="363">
        <v>192.539694216073</v>
      </c>
      <c r="BV82" s="363">
        <v>193.96390414047008</v>
      </c>
      <c r="BW82" s="363">
        <v>195.39864889986325</v>
      </c>
      <c r="BX82" s="363">
        <v>196.84400642008788</v>
      </c>
      <c r="BY82" s="435">
        <v>197.6374485650241</v>
      </c>
      <c r="BZ82" s="435">
        <v>198.43089070996032</v>
      </c>
      <c r="CA82" s="435">
        <v>199.22433285489655</v>
      </c>
      <c r="CB82" s="435">
        <v>200.01777499983277</v>
      </c>
      <c r="CC82" s="363">
        <v>200.81121714476899</v>
      </c>
      <c r="CD82" s="435">
        <v>201.46160518869701</v>
      </c>
      <c r="CE82" s="435">
        <v>202.11199323262503</v>
      </c>
      <c r="CF82" s="435">
        <v>202.76238127655301</v>
      </c>
      <c r="CG82" s="435">
        <v>203.41276932048103</v>
      </c>
      <c r="CH82" s="363">
        <v>204.06315736440905</v>
      </c>
      <c r="CI82" s="362">
        <v>184.69897035756412</v>
      </c>
      <c r="CJ82" s="362">
        <v>186.41371394067949</v>
      </c>
      <c r="CK82" s="362">
        <v>188.14437718783057</v>
      </c>
      <c r="CL82" s="363">
        <v>186.90741045525945</v>
      </c>
      <c r="CM82" s="363">
        <v>185.67857623624175</v>
      </c>
      <c r="CN82" s="363">
        <v>185.08564444203759</v>
      </c>
      <c r="CO82" s="363">
        <v>184.49460607097197</v>
      </c>
      <c r="CP82" s="363">
        <v>183.90545507673193</v>
      </c>
      <c r="CQ82" s="363">
        <v>183.31818543231236</v>
      </c>
      <c r="CR82" s="363">
        <v>182.73279112995439</v>
      </c>
      <c r="CS82" s="363">
        <v>184.08445970769714</v>
      </c>
      <c r="CT82" s="363">
        <v>185.44612653442823</v>
      </c>
      <c r="CU82" s="363">
        <v>186.81786556687382</v>
      </c>
      <c r="CV82" s="363">
        <v>188.19975130881565</v>
      </c>
      <c r="CW82" s="363">
        <v>189.59185881513727</v>
      </c>
      <c r="CX82" s="435">
        <v>190.35606888104954</v>
      </c>
      <c r="CY82" s="435">
        <v>191.12027894696178</v>
      </c>
      <c r="CZ82" s="435">
        <v>191.88448901287404</v>
      </c>
      <c r="DA82" s="435">
        <v>192.64869907878628</v>
      </c>
      <c r="DB82" s="363">
        <v>193.41290914469855</v>
      </c>
      <c r="DC82" s="435">
        <v>194.03933552385027</v>
      </c>
      <c r="DD82" s="435">
        <v>194.66576190300199</v>
      </c>
      <c r="DE82" s="435">
        <v>195.29218828215369</v>
      </c>
      <c r="DF82" s="435">
        <v>195.91861466130541</v>
      </c>
      <c r="DG82" s="363">
        <v>196.54504104045714</v>
      </c>
      <c r="DH82" s="362">
        <v>4.0371359640997619</v>
      </c>
      <c r="DI82" s="362">
        <v>4.0746166981569285</v>
      </c>
      <c r="DJ82" s="362">
        <v>4.11244540301269</v>
      </c>
      <c r="DK82" s="363">
        <v>4.0854078788034851</v>
      </c>
      <c r="DL82" s="363">
        <v>4.0585481144533722</v>
      </c>
      <c r="DM82" s="363">
        <v>4.0455878566565593</v>
      </c>
      <c r="DN82" s="363">
        <v>4.0326689851578568</v>
      </c>
      <c r="DO82" s="363">
        <v>4.0197913677974189</v>
      </c>
      <c r="DP82" s="363">
        <v>4.0069548728374285</v>
      </c>
      <c r="DQ82" s="363">
        <v>3.994159368960752</v>
      </c>
      <c r="DR82" s="363">
        <v>4.0237040373267128</v>
      </c>
      <c r="DS82" s="363">
        <v>4.0534672466541686</v>
      </c>
      <c r="DT82" s="363">
        <v>4.0834506134835804</v>
      </c>
      <c r="DU82" s="363">
        <v>4.1136557663129105</v>
      </c>
      <c r="DV82" s="363">
        <v>4.1440843456860605</v>
      </c>
      <c r="DW82" s="435">
        <v>4.1607883908426126</v>
      </c>
      <c r="DX82" s="435">
        <v>4.1774924359991648</v>
      </c>
      <c r="DY82" s="435">
        <v>4.194196481155716</v>
      </c>
      <c r="DZ82" s="435">
        <v>4.2109005263122681</v>
      </c>
      <c r="EA82" s="363">
        <v>4.2276045714688202</v>
      </c>
      <c r="EB82" s="435">
        <v>4.2412969513409893</v>
      </c>
      <c r="EC82" s="435">
        <v>4.2549893312131575</v>
      </c>
      <c r="ED82" s="435">
        <v>4.2686817110853266</v>
      </c>
      <c r="EE82" s="435">
        <v>4.2823740909574948</v>
      </c>
      <c r="EF82" s="363">
        <v>4.2960664708296639</v>
      </c>
      <c r="EG82" s="364">
        <v>0</v>
      </c>
      <c r="EH82" s="364">
        <v>0</v>
      </c>
      <c r="EI82" s="364">
        <v>0</v>
      </c>
      <c r="EJ82" s="365">
        <v>0</v>
      </c>
      <c r="EK82" s="365">
        <v>0</v>
      </c>
      <c r="EL82" s="365">
        <v>0</v>
      </c>
      <c r="EM82" s="365">
        <v>0</v>
      </c>
      <c r="EN82" s="365">
        <v>0</v>
      </c>
      <c r="EO82" s="365">
        <v>0</v>
      </c>
      <c r="EP82" s="365">
        <v>0</v>
      </c>
      <c r="EQ82" s="365">
        <v>0</v>
      </c>
      <c r="ER82" s="365">
        <v>0</v>
      </c>
      <c r="ES82" s="365">
        <v>0</v>
      </c>
      <c r="ET82" s="365">
        <v>0</v>
      </c>
      <c r="EU82" s="365">
        <v>0</v>
      </c>
      <c r="EV82" s="436">
        <v>0</v>
      </c>
      <c r="EW82" s="436">
        <v>0</v>
      </c>
      <c r="EX82" s="436">
        <v>0</v>
      </c>
      <c r="EY82" s="436">
        <v>0</v>
      </c>
      <c r="EZ82" s="365">
        <v>0</v>
      </c>
      <c r="FA82" s="436">
        <v>0</v>
      </c>
      <c r="FB82" s="436">
        <v>0</v>
      </c>
      <c r="FC82" s="436">
        <v>0</v>
      </c>
      <c r="FD82" s="436">
        <v>0</v>
      </c>
      <c r="FE82" s="365">
        <v>0</v>
      </c>
      <c r="FF82" s="364">
        <v>0</v>
      </c>
      <c r="FG82" s="364">
        <v>0</v>
      </c>
      <c r="FH82" s="364">
        <v>0</v>
      </c>
      <c r="FI82" s="365">
        <v>0</v>
      </c>
      <c r="FJ82" s="365">
        <v>0</v>
      </c>
      <c r="FK82" s="365">
        <v>0</v>
      </c>
      <c r="FL82" s="365">
        <v>0</v>
      </c>
      <c r="FM82" s="365">
        <v>0</v>
      </c>
      <c r="FN82" s="365">
        <v>0</v>
      </c>
      <c r="FO82" s="365">
        <v>0</v>
      </c>
      <c r="FP82" s="365">
        <v>0</v>
      </c>
      <c r="FQ82" s="365">
        <v>0</v>
      </c>
      <c r="FR82" s="365">
        <v>0</v>
      </c>
      <c r="FS82" s="365">
        <v>0</v>
      </c>
      <c r="FT82" s="365">
        <v>0</v>
      </c>
      <c r="FU82" s="436">
        <v>0</v>
      </c>
      <c r="FV82" s="436">
        <v>0</v>
      </c>
      <c r="FW82" s="436">
        <v>0</v>
      </c>
      <c r="FX82" s="436">
        <v>0</v>
      </c>
      <c r="FY82" s="365">
        <v>0</v>
      </c>
      <c r="FZ82" s="436">
        <v>0</v>
      </c>
      <c r="GA82" s="436">
        <v>0</v>
      </c>
      <c r="GB82" s="436">
        <v>0</v>
      </c>
      <c r="GC82" s="436">
        <v>0</v>
      </c>
      <c r="GD82" s="365">
        <v>0</v>
      </c>
    </row>
    <row r="83" spans="1:186" ht="15" x14ac:dyDescent="0.25">
      <c r="A83" s="357">
        <v>126</v>
      </c>
      <c r="B83" s="357">
        <v>85</v>
      </c>
      <c r="C83" s="357" t="s">
        <v>993</v>
      </c>
      <c r="D83" s="2">
        <v>99705</v>
      </c>
      <c r="E83" s="268" t="s">
        <v>218</v>
      </c>
      <c r="F83" s="358" t="s">
        <v>985</v>
      </c>
      <c r="G83" s="49">
        <v>38</v>
      </c>
      <c r="H83" s="49">
        <v>11</v>
      </c>
      <c r="I83" s="49">
        <v>11</v>
      </c>
      <c r="J83" s="49">
        <v>0</v>
      </c>
      <c r="K83" s="49">
        <v>0</v>
      </c>
      <c r="L83" s="49">
        <v>3</v>
      </c>
      <c r="M83" s="49">
        <v>3</v>
      </c>
      <c r="N83" s="49">
        <v>1</v>
      </c>
      <c r="O83" s="49">
        <v>0</v>
      </c>
      <c r="P83" s="49">
        <v>0</v>
      </c>
      <c r="Q83" s="49">
        <v>4</v>
      </c>
      <c r="R83" s="49">
        <v>0</v>
      </c>
      <c r="S83" s="49">
        <v>4303.333333333333</v>
      </c>
      <c r="T83" s="49">
        <v>4303.333333333333</v>
      </c>
      <c r="U83" s="49">
        <v>10776</v>
      </c>
      <c r="V83" s="49">
        <v>0</v>
      </c>
      <c r="W83" s="49">
        <v>0</v>
      </c>
      <c r="X83" s="49">
        <v>5921.5</v>
      </c>
      <c r="Y83" s="434">
        <v>12910</v>
      </c>
      <c r="Z83" s="434">
        <v>10776</v>
      </c>
      <c r="AA83" s="49">
        <v>0</v>
      </c>
      <c r="AB83" s="49">
        <v>11</v>
      </c>
      <c r="AC83" s="49">
        <v>0</v>
      </c>
      <c r="AD83" s="285">
        <v>1</v>
      </c>
      <c r="AE83" s="285">
        <v>0</v>
      </c>
      <c r="AF83" s="359">
        <v>12</v>
      </c>
      <c r="AG83" s="360">
        <v>0</v>
      </c>
      <c r="AH83" s="360">
        <v>11</v>
      </c>
      <c r="AI83" s="361">
        <v>11</v>
      </c>
      <c r="AJ83" s="360">
        <v>0</v>
      </c>
      <c r="AK83" s="360">
        <v>0</v>
      </c>
      <c r="AL83" s="360">
        <v>10.209668702429466</v>
      </c>
      <c r="AM83" s="360">
        <v>10.209668702429466</v>
      </c>
      <c r="AN83" s="360">
        <v>0</v>
      </c>
      <c r="AO83" s="360">
        <v>0</v>
      </c>
      <c r="AP83" s="360">
        <v>10.262035108253933</v>
      </c>
      <c r="AQ83" s="360">
        <v>10.262035108253933</v>
      </c>
      <c r="AR83" s="360">
        <v>0</v>
      </c>
      <c r="AS83" s="360">
        <v>0.94010766733490925</v>
      </c>
      <c r="AT83" s="360">
        <v>0</v>
      </c>
      <c r="AU83" s="360">
        <v>9.4761213648516165</v>
      </c>
      <c r="AV83" s="360">
        <v>9.8360591559398802</v>
      </c>
      <c r="AW83" s="360">
        <v>10.209668702429466</v>
      </c>
      <c r="AX83" s="360">
        <v>10.597469307656622</v>
      </c>
      <c r="AY83" s="360">
        <v>11</v>
      </c>
      <c r="AZ83" s="360">
        <v>9.5735785966396634</v>
      </c>
      <c r="BA83" s="360">
        <v>9.9118312975123128</v>
      </c>
      <c r="BB83" s="360">
        <v>10.262035108253933</v>
      </c>
      <c r="BC83" s="360">
        <v>10.624612284257401</v>
      </c>
      <c r="BD83" s="360">
        <v>11</v>
      </c>
      <c r="BE83" s="360">
        <v>0.88380242618188454</v>
      </c>
      <c r="BF83" s="360">
        <v>0.91152039870909352</v>
      </c>
      <c r="BG83" s="360">
        <v>0.94010766733490925</v>
      </c>
      <c r="BH83" s="360">
        <v>0.96959149508177378</v>
      </c>
      <c r="BI83" s="360">
        <v>1</v>
      </c>
      <c r="BJ83" s="362">
        <v>11.088735958264374</v>
      </c>
      <c r="BK83" s="362">
        <v>11.178187741100484</v>
      </c>
      <c r="BL83" s="362">
        <v>11.268361122997359</v>
      </c>
      <c r="BM83" s="363">
        <v>11.194276592552793</v>
      </c>
      <c r="BN83" s="363">
        <v>11.12067913539167</v>
      </c>
      <c r="BO83" s="363">
        <v>11.085167207380506</v>
      </c>
      <c r="BP83" s="363">
        <v>11.049768680449953</v>
      </c>
      <c r="BQ83" s="363">
        <v>11.014483192473653</v>
      </c>
      <c r="BR83" s="363">
        <v>10.979310382481637</v>
      </c>
      <c r="BS83" s="363">
        <v>10.94424989065663</v>
      </c>
      <c r="BT83" s="363">
        <v>11.025204155037372</v>
      </c>
      <c r="BU83" s="363">
        <v>11.106757235507555</v>
      </c>
      <c r="BV83" s="363">
        <v>11.188913561490535</v>
      </c>
      <c r="BW83" s="363">
        <v>11.271677595173966</v>
      </c>
      <c r="BX83" s="363">
        <v>11.355053831752148</v>
      </c>
      <c r="BY83" s="435">
        <v>11.400823974475744</v>
      </c>
      <c r="BZ83" s="435">
        <v>11.446594117199338</v>
      </c>
      <c r="CA83" s="435">
        <v>11.492364259922933</v>
      </c>
      <c r="CB83" s="435">
        <v>11.538134402646527</v>
      </c>
      <c r="CC83" s="363">
        <v>11.583904545370123</v>
      </c>
      <c r="CD83" s="435">
        <v>11.621422534282468</v>
      </c>
      <c r="CE83" s="435">
        <v>11.658940523194815</v>
      </c>
      <c r="CF83" s="435">
        <v>11.69645851210716</v>
      </c>
      <c r="CG83" s="435">
        <v>11.733976501019507</v>
      </c>
      <c r="CH83" s="363">
        <v>11.771494489931852</v>
      </c>
      <c r="CI83" s="362">
        <v>11.088735958264374</v>
      </c>
      <c r="CJ83" s="362">
        <v>11.178187741100484</v>
      </c>
      <c r="CK83" s="362">
        <v>11.268361122997359</v>
      </c>
      <c r="CL83" s="363">
        <v>11.194276592552793</v>
      </c>
      <c r="CM83" s="363">
        <v>11.12067913539167</v>
      </c>
      <c r="CN83" s="363">
        <v>11.085167207380506</v>
      </c>
      <c r="CO83" s="363">
        <v>11.049768680449953</v>
      </c>
      <c r="CP83" s="363">
        <v>11.014483192473653</v>
      </c>
      <c r="CQ83" s="363">
        <v>10.979310382481637</v>
      </c>
      <c r="CR83" s="363">
        <v>10.94424989065663</v>
      </c>
      <c r="CS83" s="363">
        <v>11.025204155037372</v>
      </c>
      <c r="CT83" s="363">
        <v>11.106757235507555</v>
      </c>
      <c r="CU83" s="363">
        <v>11.188913561490535</v>
      </c>
      <c r="CV83" s="363">
        <v>11.271677595173966</v>
      </c>
      <c r="CW83" s="363">
        <v>11.355053831752148</v>
      </c>
      <c r="CX83" s="435">
        <v>11.400823974475744</v>
      </c>
      <c r="CY83" s="435">
        <v>11.446594117199338</v>
      </c>
      <c r="CZ83" s="435">
        <v>11.492364259922933</v>
      </c>
      <c r="DA83" s="435">
        <v>11.538134402646527</v>
      </c>
      <c r="DB83" s="363">
        <v>11.583904545370123</v>
      </c>
      <c r="DC83" s="435">
        <v>11.621422534282468</v>
      </c>
      <c r="DD83" s="435">
        <v>11.658940523194815</v>
      </c>
      <c r="DE83" s="435">
        <v>11.69645851210716</v>
      </c>
      <c r="DF83" s="435">
        <v>11.733976501019507</v>
      </c>
      <c r="DG83" s="363">
        <v>11.771494489931852</v>
      </c>
      <c r="DH83" s="362">
        <v>1.0080669052967612</v>
      </c>
      <c r="DI83" s="362">
        <v>1.0161988855545894</v>
      </c>
      <c r="DJ83" s="362">
        <v>1.0243964657270326</v>
      </c>
      <c r="DK83" s="363">
        <v>1.0176615084138902</v>
      </c>
      <c r="DL83" s="363">
        <v>1.0109708304901519</v>
      </c>
      <c r="DM83" s="363">
        <v>1.0077424733982279</v>
      </c>
      <c r="DN83" s="363">
        <v>1.0045244254954502</v>
      </c>
      <c r="DO83" s="363">
        <v>1.0013166538612412</v>
      </c>
      <c r="DP83" s="363">
        <v>0.99811912568014882</v>
      </c>
      <c r="DQ83" s="363">
        <v>0.99493180824151195</v>
      </c>
      <c r="DR83" s="363">
        <v>1.0022912868215792</v>
      </c>
      <c r="DS83" s="363">
        <v>1.0097052032279596</v>
      </c>
      <c r="DT83" s="363">
        <v>1.0171739601355032</v>
      </c>
      <c r="DU83" s="363">
        <v>1.0246979631976332</v>
      </c>
      <c r="DV83" s="363">
        <v>1.0322776210683771</v>
      </c>
      <c r="DW83" s="435">
        <v>1.0364385431341585</v>
      </c>
      <c r="DX83" s="435">
        <v>1.0405994651999397</v>
      </c>
      <c r="DY83" s="435">
        <v>1.0447603872657212</v>
      </c>
      <c r="DZ83" s="435">
        <v>1.0489213093315024</v>
      </c>
      <c r="EA83" s="363">
        <v>1.0530822313972839</v>
      </c>
      <c r="EB83" s="435">
        <v>1.0564929576620425</v>
      </c>
      <c r="EC83" s="435">
        <v>1.0599036839268012</v>
      </c>
      <c r="ED83" s="435">
        <v>1.0633144101915599</v>
      </c>
      <c r="EE83" s="435">
        <v>1.0667251364563186</v>
      </c>
      <c r="EF83" s="363">
        <v>1.0701358627210773</v>
      </c>
      <c r="EG83" s="364">
        <v>0</v>
      </c>
      <c r="EH83" s="364">
        <v>0</v>
      </c>
      <c r="EI83" s="364">
        <v>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436">
        <v>0</v>
      </c>
      <c r="EW83" s="436">
        <v>0</v>
      </c>
      <c r="EX83" s="436">
        <v>0</v>
      </c>
      <c r="EY83" s="436">
        <v>0</v>
      </c>
      <c r="EZ83" s="365">
        <v>0</v>
      </c>
      <c r="FA83" s="436">
        <v>0</v>
      </c>
      <c r="FB83" s="436">
        <v>0</v>
      </c>
      <c r="FC83" s="436">
        <v>0</v>
      </c>
      <c r="FD83" s="436">
        <v>0</v>
      </c>
      <c r="FE83" s="365">
        <v>0</v>
      </c>
      <c r="FF83" s="364">
        <v>0</v>
      </c>
      <c r="FG83" s="364">
        <v>0</v>
      </c>
      <c r="FH83" s="364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5">
        <v>0</v>
      </c>
      <c r="FP83" s="365">
        <v>0</v>
      </c>
      <c r="FQ83" s="365">
        <v>0</v>
      </c>
      <c r="FR83" s="365">
        <v>0</v>
      </c>
      <c r="FS83" s="365">
        <v>0</v>
      </c>
      <c r="FT83" s="365">
        <v>0</v>
      </c>
      <c r="FU83" s="436">
        <v>0</v>
      </c>
      <c r="FV83" s="436">
        <v>0</v>
      </c>
      <c r="FW83" s="436">
        <v>0</v>
      </c>
      <c r="FX83" s="436">
        <v>0</v>
      </c>
      <c r="FY83" s="365">
        <v>0</v>
      </c>
      <c r="FZ83" s="436">
        <v>0</v>
      </c>
      <c r="GA83" s="436">
        <v>0</v>
      </c>
      <c r="GB83" s="436">
        <v>0</v>
      </c>
      <c r="GC83" s="436">
        <v>0</v>
      </c>
      <c r="GD83" s="365">
        <v>0</v>
      </c>
    </row>
    <row r="84" spans="1:186" ht="15" x14ac:dyDescent="0.25">
      <c r="A84" s="357">
        <v>96</v>
      </c>
      <c r="B84" s="357">
        <v>86</v>
      </c>
      <c r="C84" s="357" t="s">
        <v>994</v>
      </c>
      <c r="D84" s="2">
        <v>99709</v>
      </c>
      <c r="E84" s="268" t="s">
        <v>19</v>
      </c>
      <c r="F84" s="358" t="s">
        <v>915</v>
      </c>
      <c r="G84" s="49">
        <v>38</v>
      </c>
      <c r="H84" s="49">
        <v>18</v>
      </c>
      <c r="I84" s="49">
        <v>13</v>
      </c>
      <c r="J84" s="49">
        <v>5</v>
      </c>
      <c r="K84" s="49">
        <v>0</v>
      </c>
      <c r="L84" s="49">
        <v>5</v>
      </c>
      <c r="M84" s="49">
        <v>5</v>
      </c>
      <c r="N84" s="49">
        <v>1</v>
      </c>
      <c r="O84" s="49">
        <v>0</v>
      </c>
      <c r="P84" s="49">
        <v>0</v>
      </c>
      <c r="Q84" s="49">
        <v>6</v>
      </c>
      <c r="R84" s="49">
        <v>0</v>
      </c>
      <c r="S84" s="49">
        <v>2236.6</v>
      </c>
      <c r="T84" s="49">
        <v>2236.6</v>
      </c>
      <c r="U84" s="49">
        <v>2324</v>
      </c>
      <c r="V84" s="49">
        <v>0</v>
      </c>
      <c r="W84" s="49">
        <v>0</v>
      </c>
      <c r="X84" s="49">
        <v>2251.1666666666665</v>
      </c>
      <c r="Y84" s="434">
        <v>11183</v>
      </c>
      <c r="Z84" s="434">
        <v>2324</v>
      </c>
      <c r="AA84" s="49">
        <v>0</v>
      </c>
      <c r="AB84" s="49">
        <v>18</v>
      </c>
      <c r="AC84" s="49">
        <v>0</v>
      </c>
      <c r="AD84" s="285">
        <v>1</v>
      </c>
      <c r="AE84" s="285">
        <v>0</v>
      </c>
      <c r="AF84" s="359">
        <v>19</v>
      </c>
      <c r="AG84" s="360">
        <v>0</v>
      </c>
      <c r="AH84" s="360">
        <v>13</v>
      </c>
      <c r="AI84" s="361">
        <v>13</v>
      </c>
      <c r="AJ84" s="360">
        <v>0</v>
      </c>
      <c r="AK84" s="360">
        <v>0</v>
      </c>
      <c r="AL84" s="360">
        <v>17.13885111013931</v>
      </c>
      <c r="AM84" s="360">
        <v>17.13885111013931</v>
      </c>
      <c r="AN84" s="360">
        <v>0</v>
      </c>
      <c r="AO84" s="360">
        <v>0</v>
      </c>
      <c r="AP84" s="360">
        <v>12.401410175673693</v>
      </c>
      <c r="AQ84" s="360">
        <v>12.401410175673693</v>
      </c>
      <c r="AR84" s="360">
        <v>0</v>
      </c>
      <c r="AS84" s="360">
        <v>0.95966573850124082</v>
      </c>
      <c r="AT84" s="360">
        <v>0</v>
      </c>
      <c r="AU84" s="360">
        <v>16.318900965306856</v>
      </c>
      <c r="AV84" s="360">
        <v>16.723851647437645</v>
      </c>
      <c r="AW84" s="360">
        <v>17.13885111013931</v>
      </c>
      <c r="AX84" s="360">
        <v>17.564148712149631</v>
      </c>
      <c r="AY84" s="360">
        <v>18</v>
      </c>
      <c r="AZ84" s="360">
        <v>11.830382641946384</v>
      </c>
      <c r="BA84" s="360">
        <v>12.112531844249052</v>
      </c>
      <c r="BB84" s="360">
        <v>12.401410175673693</v>
      </c>
      <c r="BC84" s="360">
        <v>12.697178122864859</v>
      </c>
      <c r="BD84" s="360">
        <v>13</v>
      </c>
      <c r="BE84" s="360">
        <v>0.92095832965313207</v>
      </c>
      <c r="BF84" s="360">
        <v>0.94011284192667122</v>
      </c>
      <c r="BG84" s="360">
        <v>0.95966573850124082</v>
      </c>
      <c r="BH84" s="360">
        <v>0.97962530515561963</v>
      </c>
      <c r="BI84" s="360">
        <v>1</v>
      </c>
      <c r="BJ84" s="362">
        <v>18.168179835822947</v>
      </c>
      <c r="BK84" s="362">
        <v>18.337931030377973</v>
      </c>
      <c r="BL84" s="362">
        <v>18.50926826537917</v>
      </c>
      <c r="BM84" s="363">
        <v>18.387577947386561</v>
      </c>
      <c r="BN84" s="363">
        <v>18.26668768984371</v>
      </c>
      <c r="BO84" s="363">
        <v>18.20835624350428</v>
      </c>
      <c r="BP84" s="363">
        <v>18.150211068353681</v>
      </c>
      <c r="BQ84" s="363">
        <v>18.092251569567718</v>
      </c>
      <c r="BR84" s="363">
        <v>18.034477154221662</v>
      </c>
      <c r="BS84" s="363">
        <v>17.976887231284177</v>
      </c>
      <c r="BT84" s="363">
        <v>18.109861687843921</v>
      </c>
      <c r="BU84" s="363">
        <v>18.243819752181246</v>
      </c>
      <c r="BV84" s="363">
        <v>18.378768700011243</v>
      </c>
      <c r="BW84" s="363">
        <v>18.514715860867231</v>
      </c>
      <c r="BX84" s="363">
        <v>18.651668618498839</v>
      </c>
      <c r="BY84" s="435">
        <v>18.726850079313646</v>
      </c>
      <c r="BZ84" s="435">
        <v>18.802031540128453</v>
      </c>
      <c r="CA84" s="435">
        <v>18.877213000943257</v>
      </c>
      <c r="CB84" s="435">
        <v>18.952394461758065</v>
      </c>
      <c r="CC84" s="363">
        <v>19.027575922572872</v>
      </c>
      <c r="CD84" s="435">
        <v>19.08920249931959</v>
      </c>
      <c r="CE84" s="435">
        <v>19.150829076066309</v>
      </c>
      <c r="CF84" s="435">
        <v>19.212455652813023</v>
      </c>
      <c r="CG84" s="435">
        <v>19.274082229559742</v>
      </c>
      <c r="CH84" s="363">
        <v>19.33570880630646</v>
      </c>
      <c r="CI84" s="362">
        <v>13.121463214761016</v>
      </c>
      <c r="CJ84" s="362">
        <v>13.244061299717426</v>
      </c>
      <c r="CK84" s="362">
        <v>13.3678048583294</v>
      </c>
      <c r="CL84" s="363">
        <v>13.279917406445849</v>
      </c>
      <c r="CM84" s="363">
        <v>13.192607775998235</v>
      </c>
      <c r="CN84" s="363">
        <v>13.150479509197535</v>
      </c>
      <c r="CO84" s="363">
        <v>13.10848577158877</v>
      </c>
      <c r="CP84" s="363">
        <v>13.066626133576685</v>
      </c>
      <c r="CQ84" s="363">
        <v>13.024900166937865</v>
      </c>
      <c r="CR84" s="363">
        <v>12.983307444816349</v>
      </c>
      <c r="CS84" s="363">
        <v>13.079344552331721</v>
      </c>
      <c r="CT84" s="363">
        <v>13.176092043242011</v>
      </c>
      <c r="CU84" s="363">
        <v>13.27355517223034</v>
      </c>
      <c r="CV84" s="363">
        <v>13.371739232848554</v>
      </c>
      <c r="CW84" s="363">
        <v>13.470649557804718</v>
      </c>
      <c r="CX84" s="435">
        <v>13.5249472795043</v>
      </c>
      <c r="CY84" s="435">
        <v>13.579245001203882</v>
      </c>
      <c r="CZ84" s="435">
        <v>13.633542722903465</v>
      </c>
      <c r="DA84" s="435">
        <v>13.687840444603047</v>
      </c>
      <c r="DB84" s="363">
        <v>13.742138166302629</v>
      </c>
      <c r="DC84" s="435">
        <v>13.786646249508593</v>
      </c>
      <c r="DD84" s="435">
        <v>13.831154332714554</v>
      </c>
      <c r="DE84" s="435">
        <v>13.875662415920518</v>
      </c>
      <c r="DF84" s="435">
        <v>13.920170499126479</v>
      </c>
      <c r="DG84" s="363">
        <v>13.964678582332443</v>
      </c>
      <c r="DH84" s="362">
        <v>1.0093433242123859</v>
      </c>
      <c r="DI84" s="362">
        <v>1.0187739461321097</v>
      </c>
      <c r="DJ84" s="362">
        <v>1.0282926814099538</v>
      </c>
      <c r="DK84" s="363">
        <v>1.0215321081881421</v>
      </c>
      <c r="DL84" s="363">
        <v>1.014815982769095</v>
      </c>
      <c r="DM84" s="363">
        <v>1.0115753468613486</v>
      </c>
      <c r="DN84" s="363">
        <v>1.0083450593529821</v>
      </c>
      <c r="DO84" s="363">
        <v>1.0051250871982065</v>
      </c>
      <c r="DP84" s="363">
        <v>1.0019153974567587</v>
      </c>
      <c r="DQ84" s="363">
        <v>0.99871595729356522</v>
      </c>
      <c r="DR84" s="363">
        <v>1.0061034271024401</v>
      </c>
      <c r="DS84" s="363">
        <v>1.0135455417878469</v>
      </c>
      <c r="DT84" s="363">
        <v>1.0210427055561799</v>
      </c>
      <c r="DU84" s="363">
        <v>1.0285953256037348</v>
      </c>
      <c r="DV84" s="363">
        <v>1.0362038121388244</v>
      </c>
      <c r="DW84" s="435">
        <v>1.0403805599618692</v>
      </c>
      <c r="DX84" s="435">
        <v>1.044557307784914</v>
      </c>
      <c r="DY84" s="435">
        <v>1.0487340556079587</v>
      </c>
      <c r="DZ84" s="435">
        <v>1.0529108034310035</v>
      </c>
      <c r="EA84" s="363">
        <v>1.0570875512540483</v>
      </c>
      <c r="EB84" s="435">
        <v>1.0605112499621994</v>
      </c>
      <c r="EC84" s="435">
        <v>1.0639349486703502</v>
      </c>
      <c r="ED84" s="435">
        <v>1.0673586473785013</v>
      </c>
      <c r="EE84" s="435">
        <v>1.0707823460866521</v>
      </c>
      <c r="EF84" s="363">
        <v>1.0742060447948032</v>
      </c>
      <c r="EG84" s="364">
        <v>0</v>
      </c>
      <c r="EH84" s="364">
        <v>0</v>
      </c>
      <c r="EI84" s="364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436">
        <v>0</v>
      </c>
      <c r="EW84" s="436">
        <v>0</v>
      </c>
      <c r="EX84" s="436">
        <v>0</v>
      </c>
      <c r="EY84" s="436">
        <v>0</v>
      </c>
      <c r="EZ84" s="365">
        <v>0</v>
      </c>
      <c r="FA84" s="436">
        <v>0</v>
      </c>
      <c r="FB84" s="436">
        <v>0</v>
      </c>
      <c r="FC84" s="436">
        <v>0</v>
      </c>
      <c r="FD84" s="436">
        <v>0</v>
      </c>
      <c r="FE84" s="365">
        <v>0</v>
      </c>
      <c r="FF84" s="364">
        <v>0</v>
      </c>
      <c r="FG84" s="364">
        <v>0</v>
      </c>
      <c r="FH84" s="364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5">
        <v>0</v>
      </c>
      <c r="FP84" s="365">
        <v>0</v>
      </c>
      <c r="FQ84" s="365">
        <v>0</v>
      </c>
      <c r="FR84" s="365">
        <v>0</v>
      </c>
      <c r="FS84" s="365">
        <v>0</v>
      </c>
      <c r="FT84" s="365">
        <v>0</v>
      </c>
      <c r="FU84" s="436">
        <v>0</v>
      </c>
      <c r="FV84" s="436">
        <v>0</v>
      </c>
      <c r="FW84" s="436">
        <v>0</v>
      </c>
      <c r="FX84" s="436">
        <v>0</v>
      </c>
      <c r="FY84" s="365">
        <v>0</v>
      </c>
      <c r="FZ84" s="436">
        <v>0</v>
      </c>
      <c r="GA84" s="436">
        <v>0</v>
      </c>
      <c r="GB84" s="436">
        <v>0</v>
      </c>
      <c r="GC84" s="436">
        <v>0</v>
      </c>
      <c r="GD84" s="365">
        <v>0</v>
      </c>
    </row>
    <row r="85" spans="1:186" ht="15" x14ac:dyDescent="0.25">
      <c r="A85" s="357">
        <v>122</v>
      </c>
      <c r="B85" s="357">
        <v>86</v>
      </c>
      <c r="C85" s="357" t="s">
        <v>995</v>
      </c>
      <c r="D85" s="2">
        <v>99705</v>
      </c>
      <c r="E85" s="268" t="s">
        <v>218</v>
      </c>
      <c r="F85" s="358" t="s">
        <v>985</v>
      </c>
      <c r="G85" s="49">
        <v>659</v>
      </c>
      <c r="H85" s="49">
        <v>256</v>
      </c>
      <c r="I85" s="49">
        <v>234</v>
      </c>
      <c r="J85" s="49">
        <v>22</v>
      </c>
      <c r="K85" s="49">
        <v>1</v>
      </c>
      <c r="L85" s="49">
        <v>206</v>
      </c>
      <c r="M85" s="49">
        <v>207</v>
      </c>
      <c r="N85" s="49">
        <v>5</v>
      </c>
      <c r="O85" s="49">
        <v>0</v>
      </c>
      <c r="P85" s="49">
        <v>0</v>
      </c>
      <c r="Q85" s="49">
        <v>212</v>
      </c>
      <c r="R85" s="49">
        <v>3808</v>
      </c>
      <c r="S85" s="49">
        <v>1952.5776699029127</v>
      </c>
      <c r="T85" s="49">
        <v>1961.5410628019324</v>
      </c>
      <c r="U85" s="49">
        <v>10572.8</v>
      </c>
      <c r="V85" s="49">
        <v>0</v>
      </c>
      <c r="W85" s="49">
        <v>0</v>
      </c>
      <c r="X85" s="49">
        <v>2164.6367924528304</v>
      </c>
      <c r="Y85" s="434">
        <v>406039</v>
      </c>
      <c r="Z85" s="434">
        <v>52864</v>
      </c>
      <c r="AA85" s="49">
        <v>1.2367149758454106</v>
      </c>
      <c r="AB85" s="49">
        <v>254.76328502415458</v>
      </c>
      <c r="AC85" s="49">
        <v>0</v>
      </c>
      <c r="AD85" s="285">
        <v>5</v>
      </c>
      <c r="AE85" s="285">
        <v>0</v>
      </c>
      <c r="AF85" s="359">
        <v>261</v>
      </c>
      <c r="AG85" s="360">
        <v>1.1304347826086956</v>
      </c>
      <c r="AH85" s="360">
        <v>232.86956521739131</v>
      </c>
      <c r="AI85" s="361">
        <v>234</v>
      </c>
      <c r="AJ85" s="360">
        <v>0</v>
      </c>
      <c r="AK85" s="360">
        <v>1.1478591075195184</v>
      </c>
      <c r="AL85" s="360">
        <v>236.45897614902077</v>
      </c>
      <c r="AM85" s="360">
        <v>237.60683525654028</v>
      </c>
      <c r="AN85" s="360">
        <v>0</v>
      </c>
      <c r="AO85" s="360">
        <v>1.0545964933383487</v>
      </c>
      <c r="AP85" s="360">
        <v>217.24687762769986</v>
      </c>
      <c r="AQ85" s="360">
        <v>218.30147412103821</v>
      </c>
      <c r="AR85" s="360">
        <v>0</v>
      </c>
      <c r="AS85" s="360">
        <v>4.7005383366745468</v>
      </c>
      <c r="AT85" s="360">
        <v>0</v>
      </c>
      <c r="AU85" s="360">
        <v>220.5351881274558</v>
      </c>
      <c r="AV85" s="360">
        <v>228.91192217460085</v>
      </c>
      <c r="AW85" s="360">
        <v>237.60683525654028</v>
      </c>
      <c r="AX85" s="360">
        <v>246.63201297819046</v>
      </c>
      <c r="AY85" s="360">
        <v>256</v>
      </c>
      <c r="AZ85" s="360">
        <v>203.65612651033464</v>
      </c>
      <c r="BA85" s="360">
        <v>210.85168396526194</v>
      </c>
      <c r="BB85" s="360">
        <v>218.30147412103818</v>
      </c>
      <c r="BC85" s="360">
        <v>226.01447950147559</v>
      </c>
      <c r="BD85" s="360">
        <v>234</v>
      </c>
      <c r="BE85" s="360">
        <v>4.4190121309094232</v>
      </c>
      <c r="BF85" s="360">
        <v>4.5576019935454681</v>
      </c>
      <c r="BG85" s="360">
        <v>4.7005383366745468</v>
      </c>
      <c r="BH85" s="360">
        <v>4.8479574754088688</v>
      </c>
      <c r="BI85" s="360">
        <v>5</v>
      </c>
      <c r="BJ85" s="362">
        <v>261.83060055766509</v>
      </c>
      <c r="BK85" s="362">
        <v>267.79399761088894</v>
      </c>
      <c r="BL85" s="362">
        <v>273.89321570389444</v>
      </c>
      <c r="BM85" s="363">
        <v>272.09248797996986</v>
      </c>
      <c r="BN85" s="363">
        <v>270.30359925076948</v>
      </c>
      <c r="BO85" s="363">
        <v>269.44043236672525</v>
      </c>
      <c r="BP85" s="363">
        <v>268.58002185393093</v>
      </c>
      <c r="BQ85" s="363">
        <v>267.72235891040083</v>
      </c>
      <c r="BR85" s="363">
        <v>266.86743476225701</v>
      </c>
      <c r="BS85" s="363">
        <v>266.01524066363936</v>
      </c>
      <c r="BT85" s="363">
        <v>267.98294684150864</v>
      </c>
      <c r="BU85" s="363">
        <v>269.96520807867745</v>
      </c>
      <c r="BV85" s="363">
        <v>271.9621320384511</v>
      </c>
      <c r="BW85" s="363">
        <v>273.97382718051716</v>
      </c>
      <c r="BX85" s="363">
        <v>276.00040276683575</v>
      </c>
      <c r="BY85" s="435">
        <v>277.11290985078131</v>
      </c>
      <c r="BZ85" s="435">
        <v>278.22541693472692</v>
      </c>
      <c r="CA85" s="435">
        <v>279.33792401867248</v>
      </c>
      <c r="CB85" s="435">
        <v>280.4504311026181</v>
      </c>
      <c r="CC85" s="363">
        <v>281.56293818656366</v>
      </c>
      <c r="CD85" s="435">
        <v>282.47486517557127</v>
      </c>
      <c r="CE85" s="435">
        <v>283.38679216457888</v>
      </c>
      <c r="CF85" s="435">
        <v>284.29871915358649</v>
      </c>
      <c r="CG85" s="435">
        <v>285.2106461425941</v>
      </c>
      <c r="CH85" s="363">
        <v>286.12257313160171</v>
      </c>
      <c r="CI85" s="362">
        <v>239.32953332224076</v>
      </c>
      <c r="CJ85" s="362">
        <v>244.78045094120316</v>
      </c>
      <c r="CK85" s="362">
        <v>250.35551747934102</v>
      </c>
      <c r="CL85" s="363">
        <v>248.70953979419122</v>
      </c>
      <c r="CM85" s="363">
        <v>247.07438369015651</v>
      </c>
      <c r="CN85" s="363">
        <v>246.28539521020983</v>
      </c>
      <c r="CO85" s="363">
        <v>245.49892622585872</v>
      </c>
      <c r="CP85" s="363">
        <v>244.71496869153825</v>
      </c>
      <c r="CQ85" s="363">
        <v>243.93351458737556</v>
      </c>
      <c r="CR85" s="363">
        <v>243.15455591910785</v>
      </c>
      <c r="CS85" s="363">
        <v>244.95316234731652</v>
      </c>
      <c r="CT85" s="363">
        <v>246.76507300941608</v>
      </c>
      <c r="CU85" s="363">
        <v>248.59038631639672</v>
      </c>
      <c r="CV85" s="363">
        <v>250.4292014071915</v>
      </c>
      <c r="CW85" s="363">
        <v>252.28161815406079</v>
      </c>
      <c r="CX85" s="435">
        <v>253.2985191604798</v>
      </c>
      <c r="CY85" s="435">
        <v>254.3154201668988</v>
      </c>
      <c r="CZ85" s="435">
        <v>255.33232117331784</v>
      </c>
      <c r="DA85" s="435">
        <v>256.34922217973684</v>
      </c>
      <c r="DB85" s="363">
        <v>257.36612318615585</v>
      </c>
      <c r="DC85" s="435">
        <v>258.19968144954561</v>
      </c>
      <c r="DD85" s="435">
        <v>259.03323971293537</v>
      </c>
      <c r="DE85" s="435">
        <v>259.86679797632519</v>
      </c>
      <c r="DF85" s="435">
        <v>260.70035623971495</v>
      </c>
      <c r="DG85" s="363">
        <v>261.53391450310471</v>
      </c>
      <c r="DH85" s="362">
        <v>5.1138789171418964</v>
      </c>
      <c r="DI85" s="362">
        <v>5.2303515158376745</v>
      </c>
      <c r="DJ85" s="362">
        <v>5.3494768692166881</v>
      </c>
      <c r="DK85" s="363">
        <v>5.3143064058587868</v>
      </c>
      <c r="DL85" s="363">
        <v>5.2793671728665919</v>
      </c>
      <c r="DM85" s="363">
        <v>5.2625084446626023</v>
      </c>
      <c r="DN85" s="363">
        <v>5.2457035518345876</v>
      </c>
      <c r="DO85" s="363">
        <v>5.228952322468766</v>
      </c>
      <c r="DP85" s="363">
        <v>5.2122545852003324</v>
      </c>
      <c r="DQ85" s="363">
        <v>5.1956101692117063</v>
      </c>
      <c r="DR85" s="363">
        <v>5.2340419304982158</v>
      </c>
      <c r="DS85" s="363">
        <v>5.2727579702866683</v>
      </c>
      <c r="DT85" s="363">
        <v>5.3117603913759979</v>
      </c>
      <c r="DU85" s="363">
        <v>5.351051312119476</v>
      </c>
      <c r="DV85" s="363">
        <v>5.39063286653976</v>
      </c>
      <c r="DW85" s="435">
        <v>5.4123615205230724</v>
      </c>
      <c r="DX85" s="435">
        <v>5.4340901745063848</v>
      </c>
      <c r="DY85" s="435">
        <v>5.4558188284896962</v>
      </c>
      <c r="DZ85" s="435">
        <v>5.4775474824730086</v>
      </c>
      <c r="EA85" s="363">
        <v>5.499276136456321</v>
      </c>
      <c r="EB85" s="435">
        <v>5.5170872104603763</v>
      </c>
      <c r="EC85" s="435">
        <v>5.5348982844644308</v>
      </c>
      <c r="ED85" s="435">
        <v>5.5527093584684861</v>
      </c>
      <c r="EE85" s="435">
        <v>5.5705204324725406</v>
      </c>
      <c r="EF85" s="363">
        <v>5.5883315064765959</v>
      </c>
      <c r="EG85" s="364">
        <v>0</v>
      </c>
      <c r="EH85" s="364">
        <v>0</v>
      </c>
      <c r="EI85" s="364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436">
        <v>0</v>
      </c>
      <c r="EW85" s="436">
        <v>0</v>
      </c>
      <c r="EX85" s="436">
        <v>0</v>
      </c>
      <c r="EY85" s="436">
        <v>0</v>
      </c>
      <c r="EZ85" s="365">
        <v>0</v>
      </c>
      <c r="FA85" s="436">
        <v>0</v>
      </c>
      <c r="FB85" s="436">
        <v>0</v>
      </c>
      <c r="FC85" s="436">
        <v>0</v>
      </c>
      <c r="FD85" s="436">
        <v>0</v>
      </c>
      <c r="FE85" s="365">
        <v>0</v>
      </c>
      <c r="FF85" s="364">
        <v>0</v>
      </c>
      <c r="FG85" s="364">
        <v>0</v>
      </c>
      <c r="FH85" s="364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5">
        <v>0</v>
      </c>
      <c r="FP85" s="365">
        <v>0</v>
      </c>
      <c r="FQ85" s="365">
        <v>0</v>
      </c>
      <c r="FR85" s="365">
        <v>0</v>
      </c>
      <c r="FS85" s="365">
        <v>0</v>
      </c>
      <c r="FT85" s="365">
        <v>0</v>
      </c>
      <c r="FU85" s="436">
        <v>0</v>
      </c>
      <c r="FV85" s="436">
        <v>0</v>
      </c>
      <c r="FW85" s="436">
        <v>0</v>
      </c>
      <c r="FX85" s="436">
        <v>0</v>
      </c>
      <c r="FY85" s="365">
        <v>0</v>
      </c>
      <c r="FZ85" s="436">
        <v>0</v>
      </c>
      <c r="GA85" s="436">
        <v>0</v>
      </c>
      <c r="GB85" s="436">
        <v>0</v>
      </c>
      <c r="GC85" s="436">
        <v>0</v>
      </c>
      <c r="GD85" s="365">
        <v>0</v>
      </c>
    </row>
    <row r="86" spans="1:186" ht="15" x14ac:dyDescent="0.25">
      <c r="A86" s="357">
        <v>123</v>
      </c>
      <c r="B86" s="357">
        <v>86</v>
      </c>
      <c r="C86" s="357" t="s">
        <v>996</v>
      </c>
      <c r="D86" s="2">
        <v>99705</v>
      </c>
      <c r="E86" s="268" t="s">
        <v>218</v>
      </c>
      <c r="F86" s="358" t="s">
        <v>985</v>
      </c>
      <c r="G86" s="49">
        <v>772</v>
      </c>
      <c r="H86" s="49">
        <v>358</v>
      </c>
      <c r="I86" s="49">
        <v>338</v>
      </c>
      <c r="J86" s="49">
        <v>20</v>
      </c>
      <c r="K86" s="49">
        <v>25</v>
      </c>
      <c r="L86" s="49">
        <v>154</v>
      </c>
      <c r="M86" s="49">
        <v>179</v>
      </c>
      <c r="N86" s="49">
        <v>7</v>
      </c>
      <c r="O86" s="49">
        <v>0</v>
      </c>
      <c r="P86" s="49">
        <v>0</v>
      </c>
      <c r="Q86" s="49">
        <v>186</v>
      </c>
      <c r="R86" s="49">
        <v>4898.24</v>
      </c>
      <c r="S86" s="49">
        <v>2368.0324675324673</v>
      </c>
      <c r="T86" s="49">
        <v>2721.4134078212287</v>
      </c>
      <c r="U86" s="49">
        <v>12532.285714285714</v>
      </c>
      <c r="V86" s="49">
        <v>0</v>
      </c>
      <c r="W86" s="49">
        <v>0</v>
      </c>
      <c r="X86" s="49">
        <v>3090.6397849462364</v>
      </c>
      <c r="Y86" s="434">
        <v>487132.99999999994</v>
      </c>
      <c r="Z86" s="434">
        <v>87726</v>
      </c>
      <c r="AA86" s="49">
        <v>50</v>
      </c>
      <c r="AB86" s="49">
        <v>308</v>
      </c>
      <c r="AC86" s="49">
        <v>0</v>
      </c>
      <c r="AD86" s="285">
        <v>7</v>
      </c>
      <c r="AE86" s="285">
        <v>0</v>
      </c>
      <c r="AF86" s="359">
        <v>365</v>
      </c>
      <c r="AG86" s="360">
        <v>47.206703910614522</v>
      </c>
      <c r="AH86" s="360">
        <v>290.79329608938548</v>
      </c>
      <c r="AI86" s="361">
        <v>338</v>
      </c>
      <c r="AJ86" s="360">
        <v>0</v>
      </c>
      <c r="AK86" s="360">
        <v>46.407585011043025</v>
      </c>
      <c r="AL86" s="360">
        <v>285.87072366802505</v>
      </c>
      <c r="AM86" s="360">
        <v>332.27830867906806</v>
      </c>
      <c r="AN86" s="360">
        <v>0</v>
      </c>
      <c r="AO86" s="360">
        <v>44.03971389778858</v>
      </c>
      <c r="AP86" s="360">
        <v>271.28463761037767</v>
      </c>
      <c r="AQ86" s="360">
        <v>315.32435150816627</v>
      </c>
      <c r="AR86" s="360">
        <v>0</v>
      </c>
      <c r="AS86" s="360">
        <v>6.5807536713443655</v>
      </c>
      <c r="AT86" s="360">
        <v>0</v>
      </c>
      <c r="AU86" s="360">
        <v>308.40467714698894</v>
      </c>
      <c r="AV86" s="360">
        <v>320.11901616604337</v>
      </c>
      <c r="AW86" s="360">
        <v>332.27830867906806</v>
      </c>
      <c r="AX86" s="360">
        <v>344.89945564918821</v>
      </c>
      <c r="AY86" s="360">
        <v>358</v>
      </c>
      <c r="AZ86" s="360">
        <v>294.16996051492782</v>
      </c>
      <c r="BA86" s="360">
        <v>304.56354350537833</v>
      </c>
      <c r="BB86" s="360">
        <v>315.32435150816627</v>
      </c>
      <c r="BC86" s="360">
        <v>326.46535927990919</v>
      </c>
      <c r="BD86" s="360">
        <v>338</v>
      </c>
      <c r="BE86" s="360">
        <v>6.1866169832731917</v>
      </c>
      <c r="BF86" s="360">
        <v>6.3806427909636545</v>
      </c>
      <c r="BG86" s="360">
        <v>6.5807536713443655</v>
      </c>
      <c r="BH86" s="360">
        <v>6.7871404655724161</v>
      </c>
      <c r="BI86" s="360">
        <v>7</v>
      </c>
      <c r="BJ86" s="362">
        <v>364.92604878700394</v>
      </c>
      <c r="BK86" s="362">
        <v>371.98609241143782</v>
      </c>
      <c r="BL86" s="362">
        <v>379.18272320509311</v>
      </c>
      <c r="BM86" s="363">
        <v>376.6897631646122</v>
      </c>
      <c r="BN86" s="363">
        <v>374.21319324262328</v>
      </c>
      <c r="BO86" s="363">
        <v>373.01820939159501</v>
      </c>
      <c r="BP86" s="363">
        <v>371.82704151079446</v>
      </c>
      <c r="BQ86" s="363">
        <v>370.63967741459351</v>
      </c>
      <c r="BR86" s="363">
        <v>369.45610495627665</v>
      </c>
      <c r="BS86" s="363">
        <v>368.27631202791696</v>
      </c>
      <c r="BT86" s="363">
        <v>371.0004400610793</v>
      </c>
      <c r="BU86" s="363">
        <v>373.74471838167176</v>
      </c>
      <c r="BV86" s="363">
        <v>376.50929604072223</v>
      </c>
      <c r="BW86" s="363">
        <v>379.29432319178443</v>
      </c>
      <c r="BX86" s="363">
        <v>382.09995109909261</v>
      </c>
      <c r="BY86" s="435">
        <v>383.64012603402603</v>
      </c>
      <c r="BZ86" s="435">
        <v>385.18030096895939</v>
      </c>
      <c r="CA86" s="435">
        <v>386.7204759038928</v>
      </c>
      <c r="CB86" s="435">
        <v>388.26065083882617</v>
      </c>
      <c r="CC86" s="363">
        <v>389.80082577375958</v>
      </c>
      <c r="CD86" s="435">
        <v>391.0633139962863</v>
      </c>
      <c r="CE86" s="435">
        <v>392.32580221881295</v>
      </c>
      <c r="CF86" s="435">
        <v>393.58829044133967</v>
      </c>
      <c r="CG86" s="435">
        <v>394.85077866386632</v>
      </c>
      <c r="CH86" s="363">
        <v>396.11326688639303</v>
      </c>
      <c r="CI86" s="362">
        <v>344.53911868717131</v>
      </c>
      <c r="CJ86" s="362">
        <v>351.2047464666648</v>
      </c>
      <c r="CK86" s="362">
        <v>357.99933084726666</v>
      </c>
      <c r="CL86" s="363">
        <v>355.64564231742719</v>
      </c>
      <c r="CM86" s="363">
        <v>353.30742825700185</v>
      </c>
      <c r="CN86" s="363">
        <v>352.17920328033273</v>
      </c>
      <c r="CO86" s="363">
        <v>351.05458109119701</v>
      </c>
      <c r="CP86" s="363">
        <v>349.93355018472789</v>
      </c>
      <c r="CQ86" s="363">
        <v>348.81609909279751</v>
      </c>
      <c r="CR86" s="363">
        <v>347.70221638389921</v>
      </c>
      <c r="CS86" s="363">
        <v>350.27415849342123</v>
      </c>
      <c r="CT86" s="363">
        <v>352.86512517599175</v>
      </c>
      <c r="CU86" s="363">
        <v>355.47525715576569</v>
      </c>
      <c r="CV86" s="363">
        <v>358.10469619782998</v>
      </c>
      <c r="CW86" s="363">
        <v>360.75358511590304</v>
      </c>
      <c r="CX86" s="435">
        <v>362.20771675838205</v>
      </c>
      <c r="CY86" s="435">
        <v>363.66184840086106</v>
      </c>
      <c r="CZ86" s="435">
        <v>365.11598004334013</v>
      </c>
      <c r="DA86" s="435">
        <v>366.57011168581914</v>
      </c>
      <c r="DB86" s="363">
        <v>368.02424332829816</v>
      </c>
      <c r="DC86" s="435">
        <v>369.21620148252725</v>
      </c>
      <c r="DD86" s="435">
        <v>370.40815963675635</v>
      </c>
      <c r="DE86" s="435">
        <v>371.60011779098545</v>
      </c>
      <c r="DF86" s="435">
        <v>372.79207594521455</v>
      </c>
      <c r="DG86" s="363">
        <v>373.98403409944365</v>
      </c>
      <c r="DH86" s="362">
        <v>7.1354255349414171</v>
      </c>
      <c r="DI86" s="362">
        <v>7.2734710806705722</v>
      </c>
      <c r="DJ86" s="362">
        <v>7.4141873252392507</v>
      </c>
      <c r="DK86" s="363">
        <v>7.3654422965147637</v>
      </c>
      <c r="DL86" s="363">
        <v>7.3170177449674938</v>
      </c>
      <c r="DM86" s="363">
        <v>7.2936521389418019</v>
      </c>
      <c r="DN86" s="363">
        <v>7.2703611468591101</v>
      </c>
      <c r="DO86" s="363">
        <v>7.2471445304529452</v>
      </c>
      <c r="DP86" s="363">
        <v>7.2240020522177</v>
      </c>
      <c r="DQ86" s="363">
        <v>7.2009334754061971</v>
      </c>
      <c r="DR86" s="363">
        <v>7.2541985486803222</v>
      </c>
      <c r="DS86" s="363">
        <v>7.3078576219879956</v>
      </c>
      <c r="DT86" s="363">
        <v>7.3619136097347928</v>
      </c>
      <c r="DU86" s="363">
        <v>7.4163694478840529</v>
      </c>
      <c r="DV86" s="363">
        <v>7.4712280941163351</v>
      </c>
      <c r="DW86" s="435">
        <v>7.5013432464753684</v>
      </c>
      <c r="DX86" s="435">
        <v>7.5314583988344008</v>
      </c>
      <c r="DY86" s="435">
        <v>7.5615735511934341</v>
      </c>
      <c r="DZ86" s="435">
        <v>7.5916887035524665</v>
      </c>
      <c r="EA86" s="363">
        <v>7.6218038559114998</v>
      </c>
      <c r="EB86" s="435">
        <v>7.6464893798156526</v>
      </c>
      <c r="EC86" s="435">
        <v>7.6711749037198063</v>
      </c>
      <c r="ED86" s="435">
        <v>7.6958604276239591</v>
      </c>
      <c r="EE86" s="435">
        <v>7.7205459515281127</v>
      </c>
      <c r="EF86" s="363">
        <v>7.7452314754322655</v>
      </c>
      <c r="EG86" s="364">
        <v>0</v>
      </c>
      <c r="EH86" s="364">
        <v>0</v>
      </c>
      <c r="EI86" s="364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436">
        <v>0</v>
      </c>
      <c r="EW86" s="436">
        <v>0</v>
      </c>
      <c r="EX86" s="436">
        <v>0</v>
      </c>
      <c r="EY86" s="436">
        <v>0</v>
      </c>
      <c r="EZ86" s="365">
        <v>0</v>
      </c>
      <c r="FA86" s="436">
        <v>0</v>
      </c>
      <c r="FB86" s="436">
        <v>0</v>
      </c>
      <c r="FC86" s="436">
        <v>0</v>
      </c>
      <c r="FD86" s="436">
        <v>0</v>
      </c>
      <c r="FE86" s="365">
        <v>0</v>
      </c>
      <c r="FF86" s="364">
        <v>0</v>
      </c>
      <c r="FG86" s="364">
        <v>0</v>
      </c>
      <c r="FH86" s="364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5">
        <v>0</v>
      </c>
      <c r="FP86" s="365">
        <v>0</v>
      </c>
      <c r="FQ86" s="365">
        <v>0</v>
      </c>
      <c r="FR86" s="365">
        <v>0</v>
      </c>
      <c r="FS86" s="365">
        <v>0</v>
      </c>
      <c r="FT86" s="365">
        <v>0</v>
      </c>
      <c r="FU86" s="436">
        <v>0</v>
      </c>
      <c r="FV86" s="436">
        <v>0</v>
      </c>
      <c r="FW86" s="436">
        <v>0</v>
      </c>
      <c r="FX86" s="436">
        <v>0</v>
      </c>
      <c r="FY86" s="365">
        <v>0</v>
      </c>
      <c r="FZ86" s="436">
        <v>0</v>
      </c>
      <c r="GA86" s="436">
        <v>0</v>
      </c>
      <c r="GB86" s="436">
        <v>0</v>
      </c>
      <c r="GC86" s="436">
        <v>0</v>
      </c>
      <c r="GD86" s="365">
        <v>0</v>
      </c>
    </row>
    <row r="87" spans="1:186" ht="15" x14ac:dyDescent="0.25">
      <c r="A87" s="357">
        <v>124</v>
      </c>
      <c r="B87" s="357">
        <v>86</v>
      </c>
      <c r="C87" s="357" t="s">
        <v>997</v>
      </c>
      <c r="D87" s="2">
        <v>99705</v>
      </c>
      <c r="E87" s="268" t="s">
        <v>218</v>
      </c>
      <c r="F87" s="358" t="s">
        <v>985</v>
      </c>
      <c r="G87" s="49">
        <v>403</v>
      </c>
      <c r="H87" s="49">
        <v>144</v>
      </c>
      <c r="I87" s="49">
        <v>140</v>
      </c>
      <c r="J87" s="49">
        <v>4</v>
      </c>
      <c r="K87" s="49">
        <v>2</v>
      </c>
      <c r="L87" s="49">
        <v>153</v>
      </c>
      <c r="M87" s="49">
        <v>155</v>
      </c>
      <c r="N87" s="49">
        <v>1</v>
      </c>
      <c r="O87" s="49">
        <v>0</v>
      </c>
      <c r="P87" s="49">
        <v>0</v>
      </c>
      <c r="Q87" s="49">
        <v>156</v>
      </c>
      <c r="R87" s="49">
        <v>4080</v>
      </c>
      <c r="S87" s="49">
        <v>2515.9607843137255</v>
      </c>
      <c r="T87" s="49">
        <v>2536.1419354838708</v>
      </c>
      <c r="U87" s="49">
        <v>4172</v>
      </c>
      <c r="V87" s="49">
        <v>0</v>
      </c>
      <c r="W87" s="49">
        <v>0</v>
      </c>
      <c r="X87" s="49">
        <v>2546.6282051282051</v>
      </c>
      <c r="Y87" s="434">
        <v>393102</v>
      </c>
      <c r="Z87" s="434">
        <v>4172</v>
      </c>
      <c r="AA87" s="49">
        <v>1.8580645161290323</v>
      </c>
      <c r="AB87" s="49">
        <v>142.14193548387098</v>
      </c>
      <c r="AC87" s="49">
        <v>0</v>
      </c>
      <c r="AD87" s="285">
        <v>1</v>
      </c>
      <c r="AE87" s="285">
        <v>0</v>
      </c>
      <c r="AF87" s="359">
        <v>145</v>
      </c>
      <c r="AG87" s="360">
        <v>1.8064516129032258</v>
      </c>
      <c r="AH87" s="360">
        <v>138.19354838709677</v>
      </c>
      <c r="AI87" s="361">
        <v>140</v>
      </c>
      <c r="AJ87" s="360">
        <v>0</v>
      </c>
      <c r="AK87" s="360">
        <v>1.7245657397652119</v>
      </c>
      <c r="AL87" s="360">
        <v>131.92927909203871</v>
      </c>
      <c r="AM87" s="360">
        <v>133.65384483180392</v>
      </c>
      <c r="AN87" s="360">
        <v>0</v>
      </c>
      <c r="AO87" s="360">
        <v>1.6852608975431678</v>
      </c>
      <c r="AP87" s="360">
        <v>128.92245866205232</v>
      </c>
      <c r="AQ87" s="360">
        <v>130.60771955959549</v>
      </c>
      <c r="AR87" s="360">
        <v>0</v>
      </c>
      <c r="AS87" s="360">
        <v>0.94010766733490925</v>
      </c>
      <c r="AT87" s="360">
        <v>0</v>
      </c>
      <c r="AU87" s="360">
        <v>124.05104332169388</v>
      </c>
      <c r="AV87" s="360">
        <v>128.76295622321297</v>
      </c>
      <c r="AW87" s="360">
        <v>133.65384483180392</v>
      </c>
      <c r="AX87" s="360">
        <v>138.73050730023215</v>
      </c>
      <c r="AY87" s="360">
        <v>144</v>
      </c>
      <c r="AZ87" s="360">
        <v>121.84554577541388</v>
      </c>
      <c r="BA87" s="360">
        <v>126.15058015015671</v>
      </c>
      <c r="BB87" s="360">
        <v>130.60771955959549</v>
      </c>
      <c r="BC87" s="360">
        <v>135.22233816327599</v>
      </c>
      <c r="BD87" s="360">
        <v>140</v>
      </c>
      <c r="BE87" s="360">
        <v>0.88380242618188454</v>
      </c>
      <c r="BF87" s="360">
        <v>0.91152039870909352</v>
      </c>
      <c r="BG87" s="360">
        <v>0.94010766733490925</v>
      </c>
      <c r="BH87" s="360">
        <v>0.96959149508177378</v>
      </c>
      <c r="BI87" s="360">
        <v>1</v>
      </c>
      <c r="BJ87" s="362">
        <v>147.0190932994058</v>
      </c>
      <c r="BK87" s="362">
        <v>150.10148468457908</v>
      </c>
      <c r="BL87" s="362">
        <v>153.24850125848241</v>
      </c>
      <c r="BM87" s="363">
        <v>152.24095959974935</v>
      </c>
      <c r="BN87" s="363">
        <v>151.24004208536837</v>
      </c>
      <c r="BO87" s="363">
        <v>150.75708367774305</v>
      </c>
      <c r="BP87" s="363">
        <v>150.27566751263683</v>
      </c>
      <c r="BQ87" s="363">
        <v>149.79578866517016</v>
      </c>
      <c r="BR87" s="363">
        <v>149.31744222619022</v>
      </c>
      <c r="BS87" s="363">
        <v>148.84062330222071</v>
      </c>
      <c r="BT87" s="363">
        <v>149.94159260480296</v>
      </c>
      <c r="BU87" s="363">
        <v>151.05070574189986</v>
      </c>
      <c r="BV87" s="363">
        <v>152.16802295319329</v>
      </c>
      <c r="BW87" s="363">
        <v>153.29360492395628</v>
      </c>
      <c r="BX87" s="363">
        <v>154.42751278834859</v>
      </c>
      <c r="BY87" s="435">
        <v>155.04998181451981</v>
      </c>
      <c r="BZ87" s="435">
        <v>155.67245084069103</v>
      </c>
      <c r="CA87" s="435">
        <v>156.29491986686222</v>
      </c>
      <c r="CB87" s="435">
        <v>156.91738889303343</v>
      </c>
      <c r="CC87" s="363">
        <v>157.53985791920465</v>
      </c>
      <c r="CD87" s="435">
        <v>158.05009853967209</v>
      </c>
      <c r="CE87" s="435">
        <v>158.56033916013953</v>
      </c>
      <c r="CF87" s="435">
        <v>159.07057978060698</v>
      </c>
      <c r="CG87" s="435">
        <v>159.58082040107442</v>
      </c>
      <c r="CH87" s="363">
        <v>160.09106102154186</v>
      </c>
      <c r="CI87" s="362">
        <v>142.93522959664452</v>
      </c>
      <c r="CJ87" s="362">
        <v>145.93199899889632</v>
      </c>
      <c r="CK87" s="362">
        <v>148.99159844574677</v>
      </c>
      <c r="CL87" s="363">
        <v>148.01204405531183</v>
      </c>
      <c r="CM87" s="363">
        <v>147.03892980521925</v>
      </c>
      <c r="CN87" s="363">
        <v>146.56938690891684</v>
      </c>
      <c r="CO87" s="363">
        <v>146.10134341506358</v>
      </c>
      <c r="CP87" s="363">
        <v>145.6347945355821</v>
      </c>
      <c r="CQ87" s="363">
        <v>145.16973549768494</v>
      </c>
      <c r="CR87" s="363">
        <v>144.70616154382569</v>
      </c>
      <c r="CS87" s="363">
        <v>145.77654836578066</v>
      </c>
      <c r="CT87" s="363">
        <v>146.85485280462484</v>
      </c>
      <c r="CU87" s="363">
        <v>147.94113342671568</v>
      </c>
      <c r="CV87" s="363">
        <v>149.03544923162414</v>
      </c>
      <c r="CW87" s="363">
        <v>150.1378596553389</v>
      </c>
      <c r="CX87" s="435">
        <v>150.74303787522757</v>
      </c>
      <c r="CY87" s="435">
        <v>151.34821609511624</v>
      </c>
      <c r="CZ87" s="435">
        <v>151.95339431500494</v>
      </c>
      <c r="DA87" s="435">
        <v>152.55857253489361</v>
      </c>
      <c r="DB87" s="363">
        <v>153.16375075478228</v>
      </c>
      <c r="DC87" s="435">
        <v>153.65981802468119</v>
      </c>
      <c r="DD87" s="435">
        <v>154.15588529458009</v>
      </c>
      <c r="DE87" s="435">
        <v>154.65195256447899</v>
      </c>
      <c r="DF87" s="435">
        <v>155.14801983437789</v>
      </c>
      <c r="DG87" s="363">
        <v>155.64408710427679</v>
      </c>
      <c r="DH87" s="362">
        <v>1.0209659256903181</v>
      </c>
      <c r="DI87" s="362">
        <v>1.0423714214206881</v>
      </c>
      <c r="DJ87" s="362">
        <v>1.0642257031839055</v>
      </c>
      <c r="DK87" s="363">
        <v>1.0572288861093704</v>
      </c>
      <c r="DL87" s="363">
        <v>1.0502780700372802</v>
      </c>
      <c r="DM87" s="363">
        <v>1.0469241922065489</v>
      </c>
      <c r="DN87" s="363">
        <v>1.0435810243933112</v>
      </c>
      <c r="DO87" s="363">
        <v>1.040248532397015</v>
      </c>
      <c r="DP87" s="363">
        <v>1.036926682126321</v>
      </c>
      <c r="DQ87" s="363">
        <v>1.0336154395987549</v>
      </c>
      <c r="DR87" s="363">
        <v>1.041261059755576</v>
      </c>
      <c r="DS87" s="363">
        <v>1.0489632343187489</v>
      </c>
      <c r="DT87" s="363">
        <v>1.0567223816193978</v>
      </c>
      <c r="DU87" s="363">
        <v>1.0645389230830296</v>
      </c>
      <c r="DV87" s="363">
        <v>1.0724132832524207</v>
      </c>
      <c r="DW87" s="435">
        <v>1.0767359848230542</v>
      </c>
      <c r="DX87" s="435">
        <v>1.0810586863936875</v>
      </c>
      <c r="DY87" s="435">
        <v>1.085381387964321</v>
      </c>
      <c r="DZ87" s="435">
        <v>1.0897040895349543</v>
      </c>
      <c r="EA87" s="363">
        <v>1.0940267911055879</v>
      </c>
      <c r="EB87" s="435">
        <v>1.0975701287477229</v>
      </c>
      <c r="EC87" s="435">
        <v>1.1011134663898579</v>
      </c>
      <c r="ED87" s="435">
        <v>1.1046568040319928</v>
      </c>
      <c r="EE87" s="435">
        <v>1.1082001416741278</v>
      </c>
      <c r="EF87" s="363">
        <v>1.1117434793162628</v>
      </c>
      <c r="EG87" s="364">
        <v>0</v>
      </c>
      <c r="EH87" s="364">
        <v>0</v>
      </c>
      <c r="EI87" s="364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436">
        <v>0</v>
      </c>
      <c r="EW87" s="436">
        <v>0</v>
      </c>
      <c r="EX87" s="436">
        <v>0</v>
      </c>
      <c r="EY87" s="436">
        <v>0</v>
      </c>
      <c r="EZ87" s="365">
        <v>0</v>
      </c>
      <c r="FA87" s="436">
        <v>0</v>
      </c>
      <c r="FB87" s="436">
        <v>0</v>
      </c>
      <c r="FC87" s="436">
        <v>0</v>
      </c>
      <c r="FD87" s="436">
        <v>0</v>
      </c>
      <c r="FE87" s="365">
        <v>0</v>
      </c>
      <c r="FF87" s="364">
        <v>0</v>
      </c>
      <c r="FG87" s="364">
        <v>0</v>
      </c>
      <c r="FH87" s="364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5">
        <v>0</v>
      </c>
      <c r="FP87" s="365">
        <v>0</v>
      </c>
      <c r="FQ87" s="365">
        <v>0</v>
      </c>
      <c r="FR87" s="365">
        <v>0</v>
      </c>
      <c r="FS87" s="365">
        <v>0</v>
      </c>
      <c r="FT87" s="365">
        <v>0</v>
      </c>
      <c r="FU87" s="436">
        <v>0</v>
      </c>
      <c r="FV87" s="436">
        <v>0</v>
      </c>
      <c r="FW87" s="436">
        <v>0</v>
      </c>
      <c r="FX87" s="436">
        <v>0</v>
      </c>
      <c r="FY87" s="365">
        <v>0</v>
      </c>
      <c r="FZ87" s="436">
        <v>0</v>
      </c>
      <c r="GA87" s="436">
        <v>0</v>
      </c>
      <c r="GB87" s="436">
        <v>0</v>
      </c>
      <c r="GC87" s="436">
        <v>0</v>
      </c>
      <c r="GD87" s="365">
        <v>0</v>
      </c>
    </row>
    <row r="88" spans="1:186" ht="15" x14ac:dyDescent="0.25">
      <c r="A88" s="357">
        <v>125</v>
      </c>
      <c r="B88" s="357">
        <v>86</v>
      </c>
      <c r="C88" s="357" t="s">
        <v>998</v>
      </c>
      <c r="D88" s="2">
        <v>99705</v>
      </c>
      <c r="E88" s="268" t="s">
        <v>218</v>
      </c>
      <c r="F88" s="358" t="s">
        <v>985</v>
      </c>
      <c r="G88" s="49">
        <v>493</v>
      </c>
      <c r="H88" s="49">
        <v>158</v>
      </c>
      <c r="I88" s="49">
        <v>152</v>
      </c>
      <c r="J88" s="49">
        <v>6</v>
      </c>
      <c r="K88" s="49">
        <v>0</v>
      </c>
      <c r="L88" s="49">
        <v>134</v>
      </c>
      <c r="M88" s="49">
        <v>134</v>
      </c>
      <c r="N88" s="49">
        <v>2</v>
      </c>
      <c r="O88" s="49">
        <v>0</v>
      </c>
      <c r="P88" s="49">
        <v>0</v>
      </c>
      <c r="Q88" s="49">
        <v>136</v>
      </c>
      <c r="R88" s="49">
        <v>0</v>
      </c>
      <c r="S88" s="49">
        <v>2435.9328358208954</v>
      </c>
      <c r="T88" s="49">
        <v>2435.9328358208954</v>
      </c>
      <c r="U88" s="49">
        <v>2460</v>
      </c>
      <c r="V88" s="49">
        <v>0</v>
      </c>
      <c r="W88" s="49">
        <v>0</v>
      </c>
      <c r="X88" s="49">
        <v>2436.2867647058824</v>
      </c>
      <c r="Y88" s="434">
        <v>326415</v>
      </c>
      <c r="Z88" s="434">
        <v>4920</v>
      </c>
      <c r="AA88" s="49">
        <v>0</v>
      </c>
      <c r="AB88" s="49">
        <v>158</v>
      </c>
      <c r="AC88" s="49">
        <v>0</v>
      </c>
      <c r="AD88" s="285">
        <v>2</v>
      </c>
      <c r="AE88" s="285">
        <v>0</v>
      </c>
      <c r="AF88" s="359">
        <v>160</v>
      </c>
      <c r="AG88" s="360">
        <v>0</v>
      </c>
      <c r="AH88" s="360">
        <v>152</v>
      </c>
      <c r="AI88" s="361">
        <v>152</v>
      </c>
      <c r="AJ88" s="360">
        <v>0</v>
      </c>
      <c r="AK88" s="360">
        <v>0</v>
      </c>
      <c r="AL88" s="360">
        <v>146.64796863489596</v>
      </c>
      <c r="AM88" s="360">
        <v>146.64796863489596</v>
      </c>
      <c r="AN88" s="360">
        <v>0</v>
      </c>
      <c r="AO88" s="360">
        <v>0</v>
      </c>
      <c r="AP88" s="360">
        <v>141.80266695041797</v>
      </c>
      <c r="AQ88" s="360">
        <v>141.80266695041797</v>
      </c>
      <c r="AR88" s="360">
        <v>0</v>
      </c>
      <c r="AS88" s="360">
        <v>1.8802153346698185</v>
      </c>
      <c r="AT88" s="360">
        <v>0</v>
      </c>
      <c r="AU88" s="360">
        <v>136.11156142241413</v>
      </c>
      <c r="AV88" s="360">
        <v>141.28157696713646</v>
      </c>
      <c r="AW88" s="360">
        <v>146.64796863489596</v>
      </c>
      <c r="AX88" s="360">
        <v>152.21819550997694</v>
      </c>
      <c r="AY88" s="360">
        <v>158</v>
      </c>
      <c r="AZ88" s="360">
        <v>132.28944969902079</v>
      </c>
      <c r="BA88" s="360">
        <v>136.96348702017013</v>
      </c>
      <c r="BB88" s="360">
        <v>141.80266695041797</v>
      </c>
      <c r="BC88" s="360">
        <v>146.81282429155681</v>
      </c>
      <c r="BD88" s="360">
        <v>152</v>
      </c>
      <c r="BE88" s="360">
        <v>1.7676048523637691</v>
      </c>
      <c r="BF88" s="360">
        <v>1.823040797418187</v>
      </c>
      <c r="BG88" s="360">
        <v>1.8802153346698185</v>
      </c>
      <c r="BH88" s="360">
        <v>1.9391829901635476</v>
      </c>
      <c r="BI88" s="360">
        <v>2</v>
      </c>
      <c r="BJ88" s="362">
        <v>159.46687058194058</v>
      </c>
      <c r="BK88" s="362">
        <v>160.94735957719868</v>
      </c>
      <c r="BL88" s="362">
        <v>162.44159341900126</v>
      </c>
      <c r="BM88" s="363">
        <v>161.37361121273767</v>
      </c>
      <c r="BN88" s="363">
        <v>160.31265052090819</v>
      </c>
      <c r="BO88" s="363">
        <v>159.80072033793408</v>
      </c>
      <c r="BP88" s="363">
        <v>159.29042491373536</v>
      </c>
      <c r="BQ88" s="363">
        <v>158.78175902799805</v>
      </c>
      <c r="BR88" s="363">
        <v>158.27471747707844</v>
      </c>
      <c r="BS88" s="363">
        <v>157.76929507394971</v>
      </c>
      <c r="BT88" s="363">
        <v>158.93630947440519</v>
      </c>
      <c r="BU88" s="363">
        <v>160.11195624283968</v>
      </c>
      <c r="BV88" s="363">
        <v>161.29629923260146</v>
      </c>
      <c r="BW88" s="363">
        <v>162.48940276935997</v>
      </c>
      <c r="BX88" s="363">
        <v>163.6913316545994</v>
      </c>
      <c r="BY88" s="435">
        <v>164.35114143828321</v>
      </c>
      <c r="BZ88" s="435">
        <v>165.01095122196702</v>
      </c>
      <c r="CA88" s="435">
        <v>165.6707610056508</v>
      </c>
      <c r="CB88" s="435">
        <v>166.33057078933462</v>
      </c>
      <c r="CC88" s="363">
        <v>166.99038057301843</v>
      </c>
      <c r="CD88" s="435">
        <v>167.5312295779691</v>
      </c>
      <c r="CE88" s="435">
        <v>168.07207858291974</v>
      </c>
      <c r="CF88" s="435">
        <v>168.61292758787042</v>
      </c>
      <c r="CG88" s="435">
        <v>169.15377659282106</v>
      </c>
      <c r="CH88" s="363">
        <v>169.69462559777173</v>
      </c>
      <c r="CI88" s="362">
        <v>153.41116663579095</v>
      </c>
      <c r="CJ88" s="362">
        <v>154.83543452996329</v>
      </c>
      <c r="CK88" s="362">
        <v>156.27292531448222</v>
      </c>
      <c r="CL88" s="363">
        <v>155.24549939453243</v>
      </c>
      <c r="CM88" s="363">
        <v>154.22482834922815</v>
      </c>
      <c r="CN88" s="363">
        <v>153.73233855294924</v>
      </c>
      <c r="CO88" s="363">
        <v>153.24142143599857</v>
      </c>
      <c r="CP88" s="363">
        <v>152.75207197630192</v>
      </c>
      <c r="CQ88" s="363">
        <v>152.26428516782229</v>
      </c>
      <c r="CR88" s="363">
        <v>151.77805602050856</v>
      </c>
      <c r="CS88" s="363">
        <v>152.90075341841509</v>
      </c>
      <c r="CT88" s="363">
        <v>154.03175537285841</v>
      </c>
      <c r="CU88" s="363">
        <v>155.17112331237607</v>
      </c>
      <c r="CV88" s="363">
        <v>156.31891911989058</v>
      </c>
      <c r="CW88" s="363">
        <v>157.47520513607031</v>
      </c>
      <c r="CX88" s="435">
        <v>158.10995885201928</v>
      </c>
      <c r="CY88" s="435">
        <v>158.74471256796826</v>
      </c>
      <c r="CZ88" s="435">
        <v>159.37946628391722</v>
      </c>
      <c r="DA88" s="435">
        <v>160.01421999986621</v>
      </c>
      <c r="DB88" s="363">
        <v>160.64897371581517</v>
      </c>
      <c r="DC88" s="435">
        <v>161.16928415095759</v>
      </c>
      <c r="DD88" s="435">
        <v>161.68959458610001</v>
      </c>
      <c r="DE88" s="435">
        <v>162.20990502124241</v>
      </c>
      <c r="DF88" s="435">
        <v>162.73021545638483</v>
      </c>
      <c r="DG88" s="363">
        <v>163.25052589152725</v>
      </c>
      <c r="DH88" s="362">
        <v>2.018567982049881</v>
      </c>
      <c r="DI88" s="362">
        <v>2.0373083490784643</v>
      </c>
      <c r="DJ88" s="362">
        <v>2.056222701506345</v>
      </c>
      <c r="DK88" s="363">
        <v>2.0427039394017426</v>
      </c>
      <c r="DL88" s="363">
        <v>2.0292740572266861</v>
      </c>
      <c r="DM88" s="363">
        <v>2.0227939283282796</v>
      </c>
      <c r="DN88" s="363">
        <v>2.0163344925789284</v>
      </c>
      <c r="DO88" s="363">
        <v>2.0098956838987094</v>
      </c>
      <c r="DP88" s="363">
        <v>2.0034774364187142</v>
      </c>
      <c r="DQ88" s="363">
        <v>1.997079684480376</v>
      </c>
      <c r="DR88" s="363">
        <v>2.0118520186633564</v>
      </c>
      <c r="DS88" s="363">
        <v>2.0267336233270843</v>
      </c>
      <c r="DT88" s="363">
        <v>2.0417253067417902</v>
      </c>
      <c r="DU88" s="363">
        <v>2.0568278831564553</v>
      </c>
      <c r="DV88" s="363">
        <v>2.0720421728430303</v>
      </c>
      <c r="DW88" s="435">
        <v>2.0803941954213063</v>
      </c>
      <c r="DX88" s="435">
        <v>2.0887462179995824</v>
      </c>
      <c r="DY88" s="435">
        <v>2.097098240577858</v>
      </c>
      <c r="DZ88" s="435">
        <v>2.105450263156134</v>
      </c>
      <c r="EA88" s="363">
        <v>2.1138022857344101</v>
      </c>
      <c r="EB88" s="435">
        <v>2.1206484756704946</v>
      </c>
      <c r="EC88" s="435">
        <v>2.1274946656065787</v>
      </c>
      <c r="ED88" s="435">
        <v>2.1343408555426633</v>
      </c>
      <c r="EE88" s="435">
        <v>2.1411870454787474</v>
      </c>
      <c r="EF88" s="363">
        <v>2.1480332354148319</v>
      </c>
      <c r="EG88" s="364">
        <v>0</v>
      </c>
      <c r="EH88" s="364">
        <v>0</v>
      </c>
      <c r="EI88" s="364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436">
        <v>0</v>
      </c>
      <c r="EW88" s="436">
        <v>0</v>
      </c>
      <c r="EX88" s="436">
        <v>0</v>
      </c>
      <c r="EY88" s="436">
        <v>0</v>
      </c>
      <c r="EZ88" s="365">
        <v>0</v>
      </c>
      <c r="FA88" s="436">
        <v>0</v>
      </c>
      <c r="FB88" s="436">
        <v>0</v>
      </c>
      <c r="FC88" s="436">
        <v>0</v>
      </c>
      <c r="FD88" s="436">
        <v>0</v>
      </c>
      <c r="FE88" s="365">
        <v>0</v>
      </c>
      <c r="FF88" s="364">
        <v>0</v>
      </c>
      <c r="FG88" s="364">
        <v>0</v>
      </c>
      <c r="FH88" s="364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5">
        <v>0</v>
      </c>
      <c r="FP88" s="365">
        <v>0</v>
      </c>
      <c r="FQ88" s="365">
        <v>0</v>
      </c>
      <c r="FR88" s="365">
        <v>0</v>
      </c>
      <c r="FS88" s="365">
        <v>0</v>
      </c>
      <c r="FT88" s="365">
        <v>0</v>
      </c>
      <c r="FU88" s="436">
        <v>0</v>
      </c>
      <c r="FV88" s="436">
        <v>0</v>
      </c>
      <c r="FW88" s="436">
        <v>0</v>
      </c>
      <c r="FX88" s="436">
        <v>0</v>
      </c>
      <c r="FY88" s="365">
        <v>0</v>
      </c>
      <c r="FZ88" s="436">
        <v>0</v>
      </c>
      <c r="GA88" s="436">
        <v>0</v>
      </c>
      <c r="GB88" s="436">
        <v>0</v>
      </c>
      <c r="GC88" s="436">
        <v>0</v>
      </c>
      <c r="GD88" s="365">
        <v>0</v>
      </c>
    </row>
    <row r="89" spans="1:186" ht="15" x14ac:dyDescent="0.25">
      <c r="A89" s="357">
        <v>126</v>
      </c>
      <c r="B89" s="357">
        <v>86</v>
      </c>
      <c r="C89" s="357" t="s">
        <v>999</v>
      </c>
      <c r="D89" s="2">
        <v>99705</v>
      </c>
      <c r="E89" s="268" t="s">
        <v>218</v>
      </c>
      <c r="F89" s="358" t="s">
        <v>985</v>
      </c>
      <c r="G89" s="49">
        <v>284</v>
      </c>
      <c r="H89" s="49">
        <v>110</v>
      </c>
      <c r="I89" s="49">
        <v>98</v>
      </c>
      <c r="J89" s="49">
        <v>12</v>
      </c>
      <c r="K89" s="49">
        <v>0</v>
      </c>
      <c r="L89" s="49">
        <v>130</v>
      </c>
      <c r="M89" s="49">
        <v>130</v>
      </c>
      <c r="N89" s="49">
        <v>0</v>
      </c>
      <c r="O89" s="49">
        <v>0</v>
      </c>
      <c r="P89" s="49">
        <v>0</v>
      </c>
      <c r="Q89" s="49">
        <v>130</v>
      </c>
      <c r="R89" s="49">
        <v>0</v>
      </c>
      <c r="S89" s="49">
        <v>2084.7615384615383</v>
      </c>
      <c r="T89" s="49">
        <v>2084.7615384615383</v>
      </c>
      <c r="U89" s="49">
        <v>0</v>
      </c>
      <c r="V89" s="49">
        <v>0</v>
      </c>
      <c r="W89" s="49">
        <v>0</v>
      </c>
      <c r="X89" s="49">
        <v>2084.7615384615383</v>
      </c>
      <c r="Y89" s="434">
        <v>271019</v>
      </c>
      <c r="Z89" s="434">
        <v>0</v>
      </c>
      <c r="AA89" s="49">
        <v>0</v>
      </c>
      <c r="AB89" s="49">
        <v>110</v>
      </c>
      <c r="AC89" s="49">
        <v>0</v>
      </c>
      <c r="AD89" s="285">
        <v>0</v>
      </c>
      <c r="AE89" s="285">
        <v>0</v>
      </c>
      <c r="AF89" s="359">
        <v>110</v>
      </c>
      <c r="AG89" s="360">
        <v>0</v>
      </c>
      <c r="AH89" s="360">
        <v>98</v>
      </c>
      <c r="AI89" s="361">
        <v>98</v>
      </c>
      <c r="AJ89" s="360">
        <v>0</v>
      </c>
      <c r="AK89" s="360">
        <v>0</v>
      </c>
      <c r="AL89" s="360">
        <v>102.09668702429465</v>
      </c>
      <c r="AM89" s="360">
        <v>102.09668702429465</v>
      </c>
      <c r="AN89" s="360">
        <v>0</v>
      </c>
      <c r="AO89" s="360">
        <v>0</v>
      </c>
      <c r="AP89" s="360">
        <v>91.425403691716852</v>
      </c>
      <c r="AQ89" s="360">
        <v>91.425403691716852</v>
      </c>
      <c r="AR89" s="360">
        <v>0</v>
      </c>
      <c r="AS89" s="360">
        <v>0</v>
      </c>
      <c r="AT89" s="360">
        <v>0</v>
      </c>
      <c r="AU89" s="360">
        <v>94.761213648516161</v>
      </c>
      <c r="AV89" s="360">
        <v>98.360591559398799</v>
      </c>
      <c r="AW89" s="360">
        <v>102.09668702429465</v>
      </c>
      <c r="AX89" s="360">
        <v>105.97469307656623</v>
      </c>
      <c r="AY89" s="360">
        <v>110</v>
      </c>
      <c r="AZ89" s="360">
        <v>85.291882042789723</v>
      </c>
      <c r="BA89" s="360">
        <v>88.305406105109697</v>
      </c>
      <c r="BB89" s="360">
        <v>91.425403691716852</v>
      </c>
      <c r="BC89" s="360">
        <v>94.655636714293209</v>
      </c>
      <c r="BD89" s="360">
        <v>98</v>
      </c>
      <c r="BE89" s="360">
        <v>0</v>
      </c>
      <c r="BF89" s="360">
        <v>0</v>
      </c>
      <c r="BG89" s="360">
        <v>0</v>
      </c>
      <c r="BH89" s="360">
        <v>0</v>
      </c>
      <c r="BI89" s="360">
        <v>0</v>
      </c>
      <c r="BJ89" s="362">
        <v>110.88735958264374</v>
      </c>
      <c r="BK89" s="362">
        <v>111.78187741100483</v>
      </c>
      <c r="BL89" s="362">
        <v>112.68361122997358</v>
      </c>
      <c r="BM89" s="363">
        <v>111.94276592552792</v>
      </c>
      <c r="BN89" s="363">
        <v>111.2067913539167</v>
      </c>
      <c r="BO89" s="363">
        <v>110.85167207380505</v>
      </c>
      <c r="BP89" s="363">
        <v>110.49768680449952</v>
      </c>
      <c r="BQ89" s="363">
        <v>110.14483192473652</v>
      </c>
      <c r="BR89" s="363">
        <v>109.79310382481637</v>
      </c>
      <c r="BS89" s="363">
        <v>109.4424989065663</v>
      </c>
      <c r="BT89" s="363">
        <v>110.2520415503737</v>
      </c>
      <c r="BU89" s="363">
        <v>111.06757235507554</v>
      </c>
      <c r="BV89" s="363">
        <v>111.88913561490534</v>
      </c>
      <c r="BW89" s="363">
        <v>112.71677595173963</v>
      </c>
      <c r="BX89" s="363">
        <v>113.55053831752147</v>
      </c>
      <c r="BY89" s="435">
        <v>114.00823974475742</v>
      </c>
      <c r="BZ89" s="435">
        <v>114.46594117199336</v>
      </c>
      <c r="CA89" s="435">
        <v>114.92364259922932</v>
      </c>
      <c r="CB89" s="435">
        <v>115.38134402646527</v>
      </c>
      <c r="CC89" s="363">
        <v>115.83904545370122</v>
      </c>
      <c r="CD89" s="435">
        <v>116.21422534282468</v>
      </c>
      <c r="CE89" s="435">
        <v>116.58940523194813</v>
      </c>
      <c r="CF89" s="435">
        <v>116.96458512107159</v>
      </c>
      <c r="CG89" s="435">
        <v>117.33976501019505</v>
      </c>
      <c r="CH89" s="363">
        <v>117.71494489931851</v>
      </c>
      <c r="CI89" s="362">
        <v>98.790556719082602</v>
      </c>
      <c r="CJ89" s="362">
        <v>99.587490784349754</v>
      </c>
      <c r="CK89" s="362">
        <v>100.39085364124919</v>
      </c>
      <c r="CL89" s="363">
        <v>99.730827824561246</v>
      </c>
      <c r="CM89" s="363">
        <v>99.075141388034879</v>
      </c>
      <c r="CN89" s="363">
        <v>98.758762393026331</v>
      </c>
      <c r="CO89" s="363">
        <v>98.443393698554132</v>
      </c>
      <c r="CP89" s="363">
        <v>98.129032078401636</v>
      </c>
      <c r="CQ89" s="363">
        <v>97.815674316654579</v>
      </c>
      <c r="CR89" s="363">
        <v>97.503317207668161</v>
      </c>
      <c r="CS89" s="363">
        <v>98.224546108514758</v>
      </c>
      <c r="CT89" s="363">
        <v>98.95110991634003</v>
      </c>
      <c r="CU89" s="363">
        <v>99.683048093279311</v>
      </c>
      <c r="CV89" s="363">
        <v>100.42040039336806</v>
      </c>
      <c r="CW89" s="363">
        <v>101.16320686470095</v>
      </c>
      <c r="CX89" s="435">
        <v>101.57097722714752</v>
      </c>
      <c r="CY89" s="435">
        <v>101.97874758959409</v>
      </c>
      <c r="CZ89" s="435">
        <v>102.38651795204068</v>
      </c>
      <c r="DA89" s="435">
        <v>102.79428831448725</v>
      </c>
      <c r="DB89" s="363">
        <v>103.20205867693382</v>
      </c>
      <c r="DC89" s="435">
        <v>103.53630985088017</v>
      </c>
      <c r="DD89" s="435">
        <v>103.87056102482653</v>
      </c>
      <c r="DE89" s="435">
        <v>104.20481219877287</v>
      </c>
      <c r="DF89" s="435">
        <v>104.53906337271923</v>
      </c>
      <c r="DG89" s="363">
        <v>104.87331454666558</v>
      </c>
      <c r="DH89" s="362">
        <v>0</v>
      </c>
      <c r="DI89" s="362">
        <v>0</v>
      </c>
      <c r="DJ89" s="362">
        <v>0</v>
      </c>
      <c r="DK89" s="363">
        <v>0</v>
      </c>
      <c r="DL89" s="363">
        <v>0</v>
      </c>
      <c r="DM89" s="363">
        <v>0</v>
      </c>
      <c r="DN89" s="363">
        <v>0</v>
      </c>
      <c r="DO89" s="363">
        <v>0</v>
      </c>
      <c r="DP89" s="363">
        <v>0</v>
      </c>
      <c r="DQ89" s="363">
        <v>0</v>
      </c>
      <c r="DR89" s="363">
        <v>0</v>
      </c>
      <c r="DS89" s="363">
        <v>0</v>
      </c>
      <c r="DT89" s="363">
        <v>0</v>
      </c>
      <c r="DU89" s="363">
        <v>0</v>
      </c>
      <c r="DV89" s="363">
        <v>0</v>
      </c>
      <c r="DW89" s="435">
        <v>0</v>
      </c>
      <c r="DX89" s="435">
        <v>0</v>
      </c>
      <c r="DY89" s="435">
        <v>0</v>
      </c>
      <c r="DZ89" s="435">
        <v>0</v>
      </c>
      <c r="EA89" s="363">
        <v>0</v>
      </c>
      <c r="EB89" s="435">
        <v>0</v>
      </c>
      <c r="EC89" s="435">
        <v>0</v>
      </c>
      <c r="ED89" s="435">
        <v>0</v>
      </c>
      <c r="EE89" s="435">
        <v>0</v>
      </c>
      <c r="EF89" s="363">
        <v>0</v>
      </c>
      <c r="EG89" s="364">
        <v>0</v>
      </c>
      <c r="EH89" s="364">
        <v>0</v>
      </c>
      <c r="EI89" s="364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436">
        <v>0</v>
      </c>
      <c r="EW89" s="436">
        <v>0</v>
      </c>
      <c r="EX89" s="436">
        <v>0</v>
      </c>
      <c r="EY89" s="436">
        <v>0</v>
      </c>
      <c r="EZ89" s="365">
        <v>0</v>
      </c>
      <c r="FA89" s="436">
        <v>0</v>
      </c>
      <c r="FB89" s="436">
        <v>0</v>
      </c>
      <c r="FC89" s="436">
        <v>0</v>
      </c>
      <c r="FD89" s="436">
        <v>0</v>
      </c>
      <c r="FE89" s="365">
        <v>0</v>
      </c>
      <c r="FF89" s="364">
        <v>0</v>
      </c>
      <c r="FG89" s="364">
        <v>0</v>
      </c>
      <c r="FH89" s="364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5">
        <v>0</v>
      </c>
      <c r="FP89" s="365">
        <v>0</v>
      </c>
      <c r="FQ89" s="365">
        <v>0</v>
      </c>
      <c r="FR89" s="365">
        <v>0</v>
      </c>
      <c r="FS89" s="365">
        <v>0</v>
      </c>
      <c r="FT89" s="365">
        <v>0</v>
      </c>
      <c r="FU89" s="436">
        <v>0</v>
      </c>
      <c r="FV89" s="436">
        <v>0</v>
      </c>
      <c r="FW89" s="436">
        <v>0</v>
      </c>
      <c r="FX89" s="436">
        <v>0</v>
      </c>
      <c r="FY89" s="365">
        <v>0</v>
      </c>
      <c r="FZ89" s="436">
        <v>0</v>
      </c>
      <c r="GA89" s="436">
        <v>0</v>
      </c>
      <c r="GB89" s="436">
        <v>0</v>
      </c>
      <c r="GC89" s="436">
        <v>0</v>
      </c>
      <c r="GD89" s="365">
        <v>0</v>
      </c>
    </row>
    <row r="90" spans="1:186" ht="15" x14ac:dyDescent="0.25">
      <c r="A90" s="357">
        <v>83</v>
      </c>
      <c r="B90" s="357">
        <v>87</v>
      </c>
      <c r="C90" s="357" t="s">
        <v>1000</v>
      </c>
      <c r="D90" s="2">
        <v>99760</v>
      </c>
      <c r="E90" s="268" t="s">
        <v>19</v>
      </c>
      <c r="F90" s="358" t="s">
        <v>915</v>
      </c>
      <c r="G90" s="49">
        <v>28</v>
      </c>
      <c r="H90" s="49">
        <v>30</v>
      </c>
      <c r="I90" s="49">
        <v>16</v>
      </c>
      <c r="J90" s="49">
        <v>14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834.49503068156923</v>
      </c>
      <c r="T90" s="49">
        <v>834.49503068156923</v>
      </c>
      <c r="U90" s="49">
        <v>1408.3846153846155</v>
      </c>
      <c r="V90" s="49">
        <v>0</v>
      </c>
      <c r="W90" s="49">
        <v>0</v>
      </c>
      <c r="X90" s="49">
        <v>1365.173957061457</v>
      </c>
      <c r="Y90" s="434">
        <v>0</v>
      </c>
      <c r="Z90" s="434">
        <v>0</v>
      </c>
      <c r="AA90" s="49">
        <v>0.68737006237006237</v>
      </c>
      <c r="AB90" s="49">
        <v>29.273648648648649</v>
      </c>
      <c r="AC90" s="49">
        <v>3.8981288981288983E-2</v>
      </c>
      <c r="AD90" s="285">
        <v>0</v>
      </c>
      <c r="AE90" s="285">
        <v>0</v>
      </c>
      <c r="AF90" s="359">
        <v>30</v>
      </c>
      <c r="AG90" s="360">
        <v>0.36659736659736658</v>
      </c>
      <c r="AH90" s="360">
        <v>15.612612612612613</v>
      </c>
      <c r="AI90" s="361">
        <v>15.97920997920998</v>
      </c>
      <c r="AJ90" s="360">
        <v>2.0790020790020791E-2</v>
      </c>
      <c r="AK90" s="360">
        <v>0.63486105444328256</v>
      </c>
      <c r="AL90" s="360">
        <v>27.037400180628946</v>
      </c>
      <c r="AM90" s="360">
        <v>27.672261235072227</v>
      </c>
      <c r="AN90" s="360">
        <v>3.6003462444798635E-2</v>
      </c>
      <c r="AO90" s="360">
        <v>0.34189362157627051</v>
      </c>
      <c r="AP90" s="360">
        <v>14.560531947999619</v>
      </c>
      <c r="AQ90" s="360">
        <v>14.90242556957589</v>
      </c>
      <c r="AR90" s="360">
        <v>1.9389052263304566E-2</v>
      </c>
      <c r="AS90" s="360">
        <v>0</v>
      </c>
      <c r="AT90" s="360">
        <v>0</v>
      </c>
      <c r="AU90" s="360">
        <v>25.558344636007355</v>
      </c>
      <c r="AV90" s="360">
        <v>26.594307464260137</v>
      </c>
      <c r="AW90" s="360">
        <v>27.672261235072227</v>
      </c>
      <c r="AX90" s="360">
        <v>28.793907977907352</v>
      </c>
      <c r="AY90" s="360">
        <v>29.96101871101871</v>
      </c>
      <c r="AZ90" s="360">
        <v>13.898201985310489</v>
      </c>
      <c r="BA90" s="360">
        <v>14.391557269351409</v>
      </c>
      <c r="BB90" s="360">
        <v>14.90242556957589</v>
      </c>
      <c r="BC90" s="360">
        <v>15.431428559138686</v>
      </c>
      <c r="BD90" s="360">
        <v>15.97920997920998</v>
      </c>
      <c r="BE90" s="360">
        <v>0</v>
      </c>
      <c r="BF90" s="360">
        <v>0</v>
      </c>
      <c r="BG90" s="360">
        <v>0</v>
      </c>
      <c r="BH90" s="360">
        <v>0</v>
      </c>
      <c r="BI90" s="360">
        <v>0</v>
      </c>
      <c r="BJ90" s="362">
        <v>30.11449789467207</v>
      </c>
      <c r="BK90" s="362">
        <v>30.268763295244227</v>
      </c>
      <c r="BL90" s="362">
        <v>30.423818940232771</v>
      </c>
      <c r="BM90" s="363">
        <v>30.223795679004695</v>
      </c>
      <c r="BN90" s="363">
        <v>30.025087482959947</v>
      </c>
      <c r="BO90" s="363">
        <v>29.929207660132363</v>
      </c>
      <c r="BP90" s="363">
        <v>29.833634012613366</v>
      </c>
      <c r="BQ90" s="363">
        <v>29.738365562686091</v>
      </c>
      <c r="BR90" s="363">
        <v>29.643401335755843</v>
      </c>
      <c r="BS90" s="363">
        <v>29.548740360340126</v>
      </c>
      <c r="BT90" s="363">
        <v>29.76731144224598</v>
      </c>
      <c r="BU90" s="363">
        <v>29.987499287413574</v>
      </c>
      <c r="BV90" s="363">
        <v>30.209315854988759</v>
      </c>
      <c r="BW90" s="363">
        <v>30.432773192578789</v>
      </c>
      <c r="BX90" s="363">
        <v>30.657883436906666</v>
      </c>
      <c r="BY90" s="435">
        <v>30.78145975114542</v>
      </c>
      <c r="BZ90" s="435">
        <v>30.90503606538417</v>
      </c>
      <c r="CA90" s="435">
        <v>31.028612379622924</v>
      </c>
      <c r="CB90" s="435">
        <v>31.152188693861675</v>
      </c>
      <c r="CC90" s="363">
        <v>31.275765008100429</v>
      </c>
      <c r="CD90" s="435">
        <v>31.377061060757217</v>
      </c>
      <c r="CE90" s="435">
        <v>31.47835711341401</v>
      </c>
      <c r="CF90" s="435">
        <v>31.579653166070798</v>
      </c>
      <c r="CG90" s="435">
        <v>31.680949218727591</v>
      </c>
      <c r="CH90" s="363">
        <v>31.782245271384379</v>
      </c>
      <c r="CI90" s="362">
        <v>16.061065543825105</v>
      </c>
      <c r="CJ90" s="362">
        <v>16.143340424130255</v>
      </c>
      <c r="CK90" s="362">
        <v>16.226036768124146</v>
      </c>
      <c r="CL90" s="363">
        <v>16.119357695469173</v>
      </c>
      <c r="CM90" s="363">
        <v>16.013379990911975</v>
      </c>
      <c r="CN90" s="363">
        <v>15.962244085403928</v>
      </c>
      <c r="CO90" s="363">
        <v>15.911271473393798</v>
      </c>
      <c r="CP90" s="363">
        <v>15.860461633432584</v>
      </c>
      <c r="CQ90" s="363">
        <v>15.809814045736452</v>
      </c>
      <c r="CR90" s="363">
        <v>15.759328192181403</v>
      </c>
      <c r="CS90" s="363">
        <v>15.875899435864524</v>
      </c>
      <c r="CT90" s="363">
        <v>15.993332953287242</v>
      </c>
      <c r="CU90" s="363">
        <v>16.111635122660672</v>
      </c>
      <c r="CV90" s="363">
        <v>16.230812369375357</v>
      </c>
      <c r="CW90" s="363">
        <v>16.350871166350224</v>
      </c>
      <c r="CX90" s="435">
        <v>16.416778533944225</v>
      </c>
      <c r="CY90" s="435">
        <v>16.482685901538225</v>
      </c>
      <c r="CZ90" s="435">
        <v>16.54859326913223</v>
      </c>
      <c r="DA90" s="435">
        <v>16.61450063672623</v>
      </c>
      <c r="DB90" s="363">
        <v>16.680408004320231</v>
      </c>
      <c r="DC90" s="435">
        <v>16.734432565737187</v>
      </c>
      <c r="DD90" s="435">
        <v>16.788457127154139</v>
      </c>
      <c r="DE90" s="435">
        <v>16.842481688571095</v>
      </c>
      <c r="DF90" s="435">
        <v>16.896506249988047</v>
      </c>
      <c r="DG90" s="363">
        <v>16.950530811405002</v>
      </c>
      <c r="DH90" s="362">
        <v>0</v>
      </c>
      <c r="DI90" s="362">
        <v>0</v>
      </c>
      <c r="DJ90" s="362">
        <v>0</v>
      </c>
      <c r="DK90" s="363">
        <v>0</v>
      </c>
      <c r="DL90" s="363">
        <v>0</v>
      </c>
      <c r="DM90" s="363">
        <v>0</v>
      </c>
      <c r="DN90" s="363">
        <v>0</v>
      </c>
      <c r="DO90" s="363">
        <v>0</v>
      </c>
      <c r="DP90" s="363">
        <v>0</v>
      </c>
      <c r="DQ90" s="363">
        <v>0</v>
      </c>
      <c r="DR90" s="363">
        <v>0</v>
      </c>
      <c r="DS90" s="363">
        <v>0</v>
      </c>
      <c r="DT90" s="363">
        <v>0</v>
      </c>
      <c r="DU90" s="363">
        <v>0</v>
      </c>
      <c r="DV90" s="363">
        <v>0</v>
      </c>
      <c r="DW90" s="435">
        <v>0</v>
      </c>
      <c r="DX90" s="435">
        <v>0</v>
      </c>
      <c r="DY90" s="435">
        <v>0</v>
      </c>
      <c r="DZ90" s="435">
        <v>0</v>
      </c>
      <c r="EA90" s="363">
        <v>0</v>
      </c>
      <c r="EB90" s="435">
        <v>0</v>
      </c>
      <c r="EC90" s="435">
        <v>0</v>
      </c>
      <c r="ED90" s="435">
        <v>0</v>
      </c>
      <c r="EE90" s="435">
        <v>0</v>
      </c>
      <c r="EF90" s="363">
        <v>0</v>
      </c>
      <c r="EG90" s="364">
        <v>3.918097566311745E-2</v>
      </c>
      <c r="EH90" s="364">
        <v>3.9381685265735399E-2</v>
      </c>
      <c r="EI90" s="364">
        <v>3.9583423029186535E-2</v>
      </c>
      <c r="EJ90" s="365">
        <v>3.9323179389805743E-2</v>
      </c>
      <c r="EK90" s="365">
        <v>3.9064646738173232E-2</v>
      </c>
      <c r="EL90" s="365">
        <v>3.8939900676726986E-2</v>
      </c>
      <c r="EM90" s="365">
        <v>3.8815552969832641E-2</v>
      </c>
      <c r="EN90" s="365">
        <v>3.869160234541516E-2</v>
      </c>
      <c r="EO90" s="365">
        <v>3.8568047535461676E-2</v>
      </c>
      <c r="EP90" s="365">
        <v>3.8444887276008491E-2</v>
      </c>
      <c r="EQ90" s="365">
        <v>3.8729262870473562E-2</v>
      </c>
      <c r="ER90" s="365">
        <v>3.9015741982062938E-2</v>
      </c>
      <c r="ES90" s="365">
        <v>3.9304340170425132E-2</v>
      </c>
      <c r="ET90" s="365">
        <v>3.9595073110302872E-2</v>
      </c>
      <c r="EU90" s="365">
        <v>3.9887956592384421E-2</v>
      </c>
      <c r="EV90" s="436">
        <v>4.0048737641354956E-2</v>
      </c>
      <c r="EW90" s="436">
        <v>4.0209518690325491E-2</v>
      </c>
      <c r="EX90" s="436">
        <v>4.0370299739296019E-2</v>
      </c>
      <c r="EY90" s="436">
        <v>4.0531080788266553E-2</v>
      </c>
      <c r="EZ90" s="365">
        <v>4.0691861837237088E-2</v>
      </c>
      <c r="FA90" s="436">
        <v>4.0823654775900622E-2</v>
      </c>
      <c r="FB90" s="436">
        <v>4.095544771456415E-2</v>
      </c>
      <c r="FC90" s="436">
        <v>4.1087240653227684E-2</v>
      </c>
      <c r="FD90" s="436">
        <v>4.1219033591891212E-2</v>
      </c>
      <c r="FE90" s="365">
        <v>4.1350826530554746E-2</v>
      </c>
      <c r="FF90" s="364">
        <v>0</v>
      </c>
      <c r="FG90" s="364">
        <v>0</v>
      </c>
      <c r="FH90" s="364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5">
        <v>0</v>
      </c>
      <c r="FP90" s="365">
        <v>0</v>
      </c>
      <c r="FQ90" s="365">
        <v>0</v>
      </c>
      <c r="FR90" s="365">
        <v>0</v>
      </c>
      <c r="FS90" s="365">
        <v>0</v>
      </c>
      <c r="FT90" s="365">
        <v>0</v>
      </c>
      <c r="FU90" s="436">
        <v>0</v>
      </c>
      <c r="FV90" s="436">
        <v>0</v>
      </c>
      <c r="FW90" s="436">
        <v>0</v>
      </c>
      <c r="FX90" s="436">
        <v>0</v>
      </c>
      <c r="FY90" s="365">
        <v>0</v>
      </c>
      <c r="FZ90" s="436">
        <v>0</v>
      </c>
      <c r="GA90" s="436">
        <v>0</v>
      </c>
      <c r="GB90" s="436">
        <v>0</v>
      </c>
      <c r="GC90" s="436">
        <v>0</v>
      </c>
      <c r="GD90" s="365">
        <v>0</v>
      </c>
    </row>
    <row r="91" spans="1:186" ht="15" x14ac:dyDescent="0.25">
      <c r="A91" s="357">
        <v>96</v>
      </c>
      <c r="B91" s="357">
        <v>87</v>
      </c>
      <c r="C91" s="357" t="s">
        <v>1001</v>
      </c>
      <c r="D91" s="2">
        <v>99709</v>
      </c>
      <c r="E91" s="268" t="s">
        <v>19</v>
      </c>
      <c r="F91" s="358" t="s">
        <v>915</v>
      </c>
      <c r="G91" s="49">
        <v>48</v>
      </c>
      <c r="H91" s="49">
        <v>21</v>
      </c>
      <c r="I91" s="49">
        <v>19</v>
      </c>
      <c r="J91" s="49">
        <v>2</v>
      </c>
      <c r="K91" s="49">
        <v>0</v>
      </c>
      <c r="L91" s="49">
        <v>18</v>
      </c>
      <c r="M91" s="49">
        <v>18</v>
      </c>
      <c r="N91" s="49">
        <v>0</v>
      </c>
      <c r="O91" s="49">
        <v>0</v>
      </c>
      <c r="P91" s="49">
        <v>0</v>
      </c>
      <c r="Q91" s="49">
        <v>18</v>
      </c>
      <c r="R91" s="49">
        <v>0</v>
      </c>
      <c r="S91" s="49">
        <v>1779.7777777777778</v>
      </c>
      <c r="T91" s="49">
        <v>1779.7777777777778</v>
      </c>
      <c r="U91" s="49">
        <v>0</v>
      </c>
      <c r="V91" s="49">
        <v>0</v>
      </c>
      <c r="W91" s="49">
        <v>0</v>
      </c>
      <c r="X91" s="49">
        <v>1779.7777777777778</v>
      </c>
      <c r="Y91" s="434">
        <v>32036</v>
      </c>
      <c r="Z91" s="434">
        <v>0</v>
      </c>
      <c r="AA91" s="49">
        <v>0</v>
      </c>
      <c r="AB91" s="49">
        <v>21</v>
      </c>
      <c r="AC91" s="49">
        <v>0</v>
      </c>
      <c r="AD91" s="285">
        <v>0</v>
      </c>
      <c r="AE91" s="285">
        <v>0</v>
      </c>
      <c r="AF91" s="359">
        <v>21</v>
      </c>
      <c r="AG91" s="360">
        <v>0</v>
      </c>
      <c r="AH91" s="360">
        <v>19</v>
      </c>
      <c r="AI91" s="361">
        <v>19</v>
      </c>
      <c r="AJ91" s="360">
        <v>0</v>
      </c>
      <c r="AK91" s="360">
        <v>0</v>
      </c>
      <c r="AL91" s="360">
        <v>19.995326295162528</v>
      </c>
      <c r="AM91" s="360">
        <v>19.995326295162528</v>
      </c>
      <c r="AN91" s="360">
        <v>0</v>
      </c>
      <c r="AO91" s="360">
        <v>0</v>
      </c>
      <c r="AP91" s="360">
        <v>18.12513794906155</v>
      </c>
      <c r="AQ91" s="360">
        <v>18.12513794906155</v>
      </c>
      <c r="AR91" s="360">
        <v>0</v>
      </c>
      <c r="AS91" s="360">
        <v>0</v>
      </c>
      <c r="AT91" s="360">
        <v>0</v>
      </c>
      <c r="AU91" s="360">
        <v>19.038717792857998</v>
      </c>
      <c r="AV91" s="360">
        <v>19.511160255343917</v>
      </c>
      <c r="AW91" s="360">
        <v>19.995326295162528</v>
      </c>
      <c r="AX91" s="360">
        <v>20.491506830841235</v>
      </c>
      <c r="AY91" s="360">
        <v>21</v>
      </c>
      <c r="AZ91" s="360">
        <v>17.290559245921639</v>
      </c>
      <c r="BA91" s="360">
        <v>17.702931156979382</v>
      </c>
      <c r="BB91" s="360">
        <v>18.12513794906155</v>
      </c>
      <c r="BC91" s="360">
        <v>18.557414179571719</v>
      </c>
      <c r="BD91" s="360">
        <v>19</v>
      </c>
      <c r="BE91" s="360">
        <v>0</v>
      </c>
      <c r="BF91" s="360">
        <v>0</v>
      </c>
      <c r="BG91" s="360">
        <v>0</v>
      </c>
      <c r="BH91" s="360">
        <v>0</v>
      </c>
      <c r="BI91" s="360">
        <v>0</v>
      </c>
      <c r="BJ91" s="362">
        <v>21.107575209234632</v>
      </c>
      <c r="BK91" s="362">
        <v>21.215701486356974</v>
      </c>
      <c r="BL91" s="362">
        <v>21.324381654283371</v>
      </c>
      <c r="BM91" s="363">
        <v>21.184183200876152</v>
      </c>
      <c r="BN91" s="363">
        <v>21.044906490788687</v>
      </c>
      <c r="BO91" s="363">
        <v>20.977703292566364</v>
      </c>
      <c r="BP91" s="363">
        <v>20.91071469590824</v>
      </c>
      <c r="BQ91" s="363">
        <v>20.843940015522058</v>
      </c>
      <c r="BR91" s="363">
        <v>20.777378568303916</v>
      </c>
      <c r="BS91" s="363">
        <v>20.711029673331296</v>
      </c>
      <c r="BT91" s="363">
        <v>20.864228493581518</v>
      </c>
      <c r="BU91" s="363">
        <v>21.018560520576948</v>
      </c>
      <c r="BV91" s="363">
        <v>21.174034136611429</v>
      </c>
      <c r="BW91" s="363">
        <v>21.330657785982368</v>
      </c>
      <c r="BX91" s="363">
        <v>21.488439975449335</v>
      </c>
      <c r="BY91" s="435">
        <v>21.57505594215074</v>
      </c>
      <c r="BZ91" s="435">
        <v>21.661671908852146</v>
      </c>
      <c r="CA91" s="435">
        <v>21.748287875553554</v>
      </c>
      <c r="CB91" s="435">
        <v>21.83490384225496</v>
      </c>
      <c r="CC91" s="363">
        <v>21.921519808956365</v>
      </c>
      <c r="CD91" s="435">
        <v>21.992519300873184</v>
      </c>
      <c r="CE91" s="435">
        <v>22.063518792790003</v>
      </c>
      <c r="CF91" s="435">
        <v>22.134518284706818</v>
      </c>
      <c r="CG91" s="435">
        <v>22.205517776623637</v>
      </c>
      <c r="CH91" s="363">
        <v>22.276517268540456</v>
      </c>
      <c r="CI91" s="362">
        <v>19.097329951212288</v>
      </c>
      <c r="CJ91" s="362">
        <v>19.195158487656311</v>
      </c>
      <c r="CK91" s="362">
        <v>19.293488163399239</v>
      </c>
      <c r="CL91" s="363">
        <v>19.16664194364985</v>
      </c>
      <c r="CM91" s="363">
        <v>19.040629682142143</v>
      </c>
      <c r="CN91" s="363">
        <v>18.979826788512423</v>
      </c>
      <c r="CO91" s="363">
        <v>18.919218058202691</v>
      </c>
      <c r="CP91" s="363">
        <v>18.858802871186622</v>
      </c>
      <c r="CQ91" s="363">
        <v>18.798580609417826</v>
      </c>
      <c r="CR91" s="363">
        <v>18.738550656823552</v>
      </c>
      <c r="CS91" s="363">
        <v>18.87715911324042</v>
      </c>
      <c r="CT91" s="363">
        <v>19.016792851950569</v>
      </c>
      <c r="CU91" s="363">
        <v>19.157459456934149</v>
      </c>
      <c r="CV91" s="363">
        <v>19.299166568269758</v>
      </c>
      <c r="CW91" s="363">
        <v>19.441921882549398</v>
      </c>
      <c r="CX91" s="435">
        <v>19.520288709564955</v>
      </c>
      <c r="CY91" s="435">
        <v>19.598655536580512</v>
      </c>
      <c r="CZ91" s="435">
        <v>19.677022363596073</v>
      </c>
      <c r="DA91" s="435">
        <v>19.755389190611631</v>
      </c>
      <c r="DB91" s="363">
        <v>19.833756017627188</v>
      </c>
      <c r="DC91" s="435">
        <v>19.897993653170975</v>
      </c>
      <c r="DD91" s="435">
        <v>19.962231288714761</v>
      </c>
      <c r="DE91" s="435">
        <v>20.026468924258548</v>
      </c>
      <c r="DF91" s="435">
        <v>20.090706559802335</v>
      </c>
      <c r="DG91" s="363">
        <v>20.154944195346122</v>
      </c>
      <c r="DH91" s="362">
        <v>0</v>
      </c>
      <c r="DI91" s="362">
        <v>0</v>
      </c>
      <c r="DJ91" s="362">
        <v>0</v>
      </c>
      <c r="DK91" s="363">
        <v>0</v>
      </c>
      <c r="DL91" s="363">
        <v>0</v>
      </c>
      <c r="DM91" s="363">
        <v>0</v>
      </c>
      <c r="DN91" s="363">
        <v>0</v>
      </c>
      <c r="DO91" s="363">
        <v>0</v>
      </c>
      <c r="DP91" s="363">
        <v>0</v>
      </c>
      <c r="DQ91" s="363">
        <v>0</v>
      </c>
      <c r="DR91" s="363">
        <v>0</v>
      </c>
      <c r="DS91" s="363">
        <v>0</v>
      </c>
      <c r="DT91" s="363">
        <v>0</v>
      </c>
      <c r="DU91" s="363">
        <v>0</v>
      </c>
      <c r="DV91" s="363">
        <v>0</v>
      </c>
      <c r="DW91" s="435">
        <v>0</v>
      </c>
      <c r="DX91" s="435">
        <v>0</v>
      </c>
      <c r="DY91" s="435">
        <v>0</v>
      </c>
      <c r="DZ91" s="435">
        <v>0</v>
      </c>
      <c r="EA91" s="363">
        <v>0</v>
      </c>
      <c r="EB91" s="435">
        <v>0</v>
      </c>
      <c r="EC91" s="435">
        <v>0</v>
      </c>
      <c r="ED91" s="435">
        <v>0</v>
      </c>
      <c r="EE91" s="435">
        <v>0</v>
      </c>
      <c r="EF91" s="363">
        <v>0</v>
      </c>
      <c r="EG91" s="364">
        <v>0</v>
      </c>
      <c r="EH91" s="364">
        <v>0</v>
      </c>
      <c r="EI91" s="364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436">
        <v>0</v>
      </c>
      <c r="EW91" s="436">
        <v>0</v>
      </c>
      <c r="EX91" s="436">
        <v>0</v>
      </c>
      <c r="EY91" s="436">
        <v>0</v>
      </c>
      <c r="EZ91" s="365">
        <v>0</v>
      </c>
      <c r="FA91" s="436">
        <v>0</v>
      </c>
      <c r="FB91" s="436">
        <v>0</v>
      </c>
      <c r="FC91" s="436">
        <v>0</v>
      </c>
      <c r="FD91" s="436">
        <v>0</v>
      </c>
      <c r="FE91" s="365">
        <v>0</v>
      </c>
      <c r="FF91" s="364">
        <v>0</v>
      </c>
      <c r="FG91" s="364">
        <v>0</v>
      </c>
      <c r="FH91" s="364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5">
        <v>0</v>
      </c>
      <c r="FP91" s="365">
        <v>0</v>
      </c>
      <c r="FQ91" s="365">
        <v>0</v>
      </c>
      <c r="FR91" s="365">
        <v>0</v>
      </c>
      <c r="FS91" s="365">
        <v>0</v>
      </c>
      <c r="FT91" s="365">
        <v>0</v>
      </c>
      <c r="FU91" s="436">
        <v>0</v>
      </c>
      <c r="FV91" s="436">
        <v>0</v>
      </c>
      <c r="FW91" s="436">
        <v>0</v>
      </c>
      <c r="FX91" s="436">
        <v>0</v>
      </c>
      <c r="FY91" s="365">
        <v>0</v>
      </c>
      <c r="FZ91" s="436">
        <v>0</v>
      </c>
      <c r="GA91" s="436">
        <v>0</v>
      </c>
      <c r="GB91" s="436">
        <v>0</v>
      </c>
      <c r="GC91" s="436">
        <v>0</v>
      </c>
      <c r="GD91" s="365">
        <v>0</v>
      </c>
    </row>
    <row r="92" spans="1:186" ht="15" x14ac:dyDescent="0.25">
      <c r="A92" s="357">
        <v>98</v>
      </c>
      <c r="B92" s="357">
        <v>87</v>
      </c>
      <c r="C92" s="357" t="s">
        <v>1002</v>
      </c>
      <c r="D92" s="2">
        <v>99709</v>
      </c>
      <c r="E92" s="268" t="s">
        <v>19</v>
      </c>
      <c r="F92" s="358" t="s">
        <v>915</v>
      </c>
      <c r="G92" s="49">
        <v>296</v>
      </c>
      <c r="H92" s="49">
        <v>147</v>
      </c>
      <c r="I92" s="49">
        <v>128</v>
      </c>
      <c r="J92" s="49">
        <v>19</v>
      </c>
      <c r="K92" s="49">
        <v>0</v>
      </c>
      <c r="L92" s="49">
        <v>20</v>
      </c>
      <c r="M92" s="49">
        <v>20</v>
      </c>
      <c r="N92" s="49">
        <v>0</v>
      </c>
      <c r="O92" s="49">
        <v>0</v>
      </c>
      <c r="P92" s="49">
        <v>0</v>
      </c>
      <c r="Q92" s="49">
        <v>20</v>
      </c>
      <c r="R92" s="49">
        <v>0</v>
      </c>
      <c r="S92" s="49">
        <v>2541.1999999999998</v>
      </c>
      <c r="T92" s="49">
        <v>2541.1999999999998</v>
      </c>
      <c r="U92" s="49">
        <v>0</v>
      </c>
      <c r="V92" s="49">
        <v>0</v>
      </c>
      <c r="W92" s="49">
        <v>0</v>
      </c>
      <c r="X92" s="49">
        <v>2541.1999999999998</v>
      </c>
      <c r="Y92" s="434">
        <v>50824</v>
      </c>
      <c r="Z92" s="434">
        <v>0</v>
      </c>
      <c r="AA92" s="49">
        <v>0</v>
      </c>
      <c r="AB92" s="49">
        <v>147</v>
      </c>
      <c r="AC92" s="49">
        <v>0</v>
      </c>
      <c r="AD92" s="285">
        <v>0</v>
      </c>
      <c r="AE92" s="285">
        <v>0</v>
      </c>
      <c r="AF92" s="359">
        <v>147</v>
      </c>
      <c r="AG92" s="360">
        <v>0</v>
      </c>
      <c r="AH92" s="360">
        <v>128</v>
      </c>
      <c r="AI92" s="361">
        <v>128</v>
      </c>
      <c r="AJ92" s="360">
        <v>0</v>
      </c>
      <c r="AK92" s="360">
        <v>0</v>
      </c>
      <c r="AL92" s="360">
        <v>139.96728406613769</v>
      </c>
      <c r="AM92" s="360">
        <v>139.96728406613769</v>
      </c>
      <c r="AN92" s="360">
        <v>0</v>
      </c>
      <c r="AO92" s="360">
        <v>0</v>
      </c>
      <c r="AP92" s="360">
        <v>122.10619249894097</v>
      </c>
      <c r="AQ92" s="360">
        <v>122.10619249894097</v>
      </c>
      <c r="AR92" s="360">
        <v>0</v>
      </c>
      <c r="AS92" s="360">
        <v>0</v>
      </c>
      <c r="AT92" s="360">
        <v>0</v>
      </c>
      <c r="AU92" s="360">
        <v>133.27102455000599</v>
      </c>
      <c r="AV92" s="360">
        <v>136.57812178740744</v>
      </c>
      <c r="AW92" s="360">
        <v>139.96728406613769</v>
      </c>
      <c r="AX92" s="360">
        <v>143.44054781588866</v>
      </c>
      <c r="AY92" s="360">
        <v>147</v>
      </c>
      <c r="AZ92" s="360">
        <v>116.48376755147208</v>
      </c>
      <c r="BA92" s="360">
        <v>119.26185200491373</v>
      </c>
      <c r="BB92" s="360">
        <v>122.10619249894097</v>
      </c>
      <c r="BC92" s="360">
        <v>125.01836920974631</v>
      </c>
      <c r="BD92" s="360">
        <v>128</v>
      </c>
      <c r="BE92" s="360">
        <v>0</v>
      </c>
      <c r="BF92" s="360">
        <v>0</v>
      </c>
      <c r="BG92" s="360">
        <v>0</v>
      </c>
      <c r="BH92" s="360">
        <v>0</v>
      </c>
      <c r="BI92" s="360">
        <v>0</v>
      </c>
      <c r="BJ92" s="362">
        <v>148.37346865922072</v>
      </c>
      <c r="BK92" s="362">
        <v>149.75977008142013</v>
      </c>
      <c r="BL92" s="362">
        <v>151.1590241672632</v>
      </c>
      <c r="BM92" s="363">
        <v>150.16521990365689</v>
      </c>
      <c r="BN92" s="363">
        <v>149.17794946705695</v>
      </c>
      <c r="BO92" s="363">
        <v>148.70157598861826</v>
      </c>
      <c r="BP92" s="363">
        <v>148.22672372488839</v>
      </c>
      <c r="BQ92" s="363">
        <v>147.75338781813636</v>
      </c>
      <c r="BR92" s="363">
        <v>147.28156342614355</v>
      </c>
      <c r="BS92" s="363">
        <v>146.81124572215407</v>
      </c>
      <c r="BT92" s="363">
        <v>147.89720378405869</v>
      </c>
      <c r="BU92" s="363">
        <v>148.9911946428135</v>
      </c>
      <c r="BV92" s="363">
        <v>150.09327771675845</v>
      </c>
      <c r="BW92" s="363">
        <v>151.20351286374901</v>
      </c>
      <c r="BX92" s="363">
        <v>152.32196038440716</v>
      </c>
      <c r="BY92" s="435">
        <v>152.93594231439474</v>
      </c>
      <c r="BZ92" s="435">
        <v>153.54992424438234</v>
      </c>
      <c r="CA92" s="435">
        <v>154.16390617436991</v>
      </c>
      <c r="CB92" s="435">
        <v>154.77788810435752</v>
      </c>
      <c r="CC92" s="363">
        <v>155.39187003434509</v>
      </c>
      <c r="CD92" s="435">
        <v>155.89515374444329</v>
      </c>
      <c r="CE92" s="435">
        <v>156.39843745454149</v>
      </c>
      <c r="CF92" s="435">
        <v>156.90172116463967</v>
      </c>
      <c r="CG92" s="435">
        <v>157.40500487473787</v>
      </c>
      <c r="CH92" s="363">
        <v>157.90828858483607</v>
      </c>
      <c r="CI92" s="362">
        <v>129.1959454991854</v>
      </c>
      <c r="CJ92" s="362">
        <v>130.40306510491004</v>
      </c>
      <c r="CK92" s="362">
        <v>131.62146322047408</v>
      </c>
      <c r="CL92" s="363">
        <v>130.75610984808219</v>
      </c>
      <c r="CM92" s="363">
        <v>129.89644579444416</v>
      </c>
      <c r="CN92" s="363">
        <v>129.48164439825263</v>
      </c>
      <c r="CO92" s="363">
        <v>129.06816759718171</v>
      </c>
      <c r="CP92" s="363">
        <v>128.65601116137043</v>
      </c>
      <c r="CQ92" s="363">
        <v>128.24517087446512</v>
      </c>
      <c r="CR92" s="363">
        <v>127.83564253357635</v>
      </c>
      <c r="CS92" s="363">
        <v>128.78123866911233</v>
      </c>
      <c r="CT92" s="363">
        <v>129.73382934884441</v>
      </c>
      <c r="CU92" s="363">
        <v>130.69346631119103</v>
      </c>
      <c r="CV92" s="363">
        <v>131.66020167727805</v>
      </c>
      <c r="CW92" s="363">
        <v>132.63408795376952</v>
      </c>
      <c r="CX92" s="435">
        <v>133.16871167511925</v>
      </c>
      <c r="CY92" s="435">
        <v>133.70333539646899</v>
      </c>
      <c r="CZ92" s="435">
        <v>134.23795911781872</v>
      </c>
      <c r="DA92" s="435">
        <v>134.77258283916845</v>
      </c>
      <c r="DB92" s="363">
        <v>135.30720656051818</v>
      </c>
      <c r="DC92" s="435">
        <v>135.74543999516152</v>
      </c>
      <c r="DD92" s="435">
        <v>136.18367342980483</v>
      </c>
      <c r="DE92" s="435">
        <v>136.62190686444816</v>
      </c>
      <c r="DF92" s="435">
        <v>137.06014029909147</v>
      </c>
      <c r="DG92" s="363">
        <v>137.49837373373481</v>
      </c>
      <c r="DH92" s="362">
        <v>0</v>
      </c>
      <c r="DI92" s="362">
        <v>0</v>
      </c>
      <c r="DJ92" s="362">
        <v>0</v>
      </c>
      <c r="DK92" s="363">
        <v>0</v>
      </c>
      <c r="DL92" s="363">
        <v>0</v>
      </c>
      <c r="DM92" s="363">
        <v>0</v>
      </c>
      <c r="DN92" s="363">
        <v>0</v>
      </c>
      <c r="DO92" s="363">
        <v>0</v>
      </c>
      <c r="DP92" s="363">
        <v>0</v>
      </c>
      <c r="DQ92" s="363">
        <v>0</v>
      </c>
      <c r="DR92" s="363">
        <v>0</v>
      </c>
      <c r="DS92" s="363">
        <v>0</v>
      </c>
      <c r="DT92" s="363">
        <v>0</v>
      </c>
      <c r="DU92" s="363">
        <v>0</v>
      </c>
      <c r="DV92" s="363">
        <v>0</v>
      </c>
      <c r="DW92" s="435">
        <v>0</v>
      </c>
      <c r="DX92" s="435">
        <v>0</v>
      </c>
      <c r="DY92" s="435">
        <v>0</v>
      </c>
      <c r="DZ92" s="435">
        <v>0</v>
      </c>
      <c r="EA92" s="363">
        <v>0</v>
      </c>
      <c r="EB92" s="435">
        <v>0</v>
      </c>
      <c r="EC92" s="435">
        <v>0</v>
      </c>
      <c r="ED92" s="435">
        <v>0</v>
      </c>
      <c r="EE92" s="435">
        <v>0</v>
      </c>
      <c r="EF92" s="363">
        <v>0</v>
      </c>
      <c r="EG92" s="364">
        <v>0</v>
      </c>
      <c r="EH92" s="364">
        <v>0</v>
      </c>
      <c r="EI92" s="364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436">
        <v>0</v>
      </c>
      <c r="EW92" s="436">
        <v>0</v>
      </c>
      <c r="EX92" s="436">
        <v>0</v>
      </c>
      <c r="EY92" s="436">
        <v>0</v>
      </c>
      <c r="EZ92" s="365">
        <v>0</v>
      </c>
      <c r="FA92" s="436">
        <v>0</v>
      </c>
      <c r="FB92" s="436">
        <v>0</v>
      </c>
      <c r="FC92" s="436">
        <v>0</v>
      </c>
      <c r="FD92" s="436">
        <v>0</v>
      </c>
      <c r="FE92" s="365">
        <v>0</v>
      </c>
      <c r="FF92" s="364">
        <v>0</v>
      </c>
      <c r="FG92" s="364">
        <v>0</v>
      </c>
      <c r="FH92" s="364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5">
        <v>0</v>
      </c>
      <c r="FP92" s="365">
        <v>0</v>
      </c>
      <c r="FQ92" s="365">
        <v>0</v>
      </c>
      <c r="FR92" s="365">
        <v>0</v>
      </c>
      <c r="FS92" s="365">
        <v>0</v>
      </c>
      <c r="FT92" s="365">
        <v>0</v>
      </c>
      <c r="FU92" s="436">
        <v>0</v>
      </c>
      <c r="FV92" s="436">
        <v>0</v>
      </c>
      <c r="FW92" s="436">
        <v>0</v>
      </c>
      <c r="FX92" s="436">
        <v>0</v>
      </c>
      <c r="FY92" s="365">
        <v>0</v>
      </c>
      <c r="FZ92" s="436">
        <v>0</v>
      </c>
      <c r="GA92" s="436">
        <v>0</v>
      </c>
      <c r="GB92" s="436">
        <v>0</v>
      </c>
      <c r="GC92" s="436">
        <v>0</v>
      </c>
      <c r="GD92" s="365">
        <v>0</v>
      </c>
    </row>
    <row r="93" spans="1:186" ht="15" x14ac:dyDescent="0.25">
      <c r="A93" s="357">
        <v>120</v>
      </c>
      <c r="B93" s="357">
        <v>87</v>
      </c>
      <c r="C93" s="357" t="s">
        <v>1003</v>
      </c>
      <c r="D93" s="2">
        <v>99705</v>
      </c>
      <c r="E93" s="268" t="s">
        <v>218</v>
      </c>
      <c r="F93" s="358" t="s">
        <v>985</v>
      </c>
      <c r="G93" s="49">
        <v>222</v>
      </c>
      <c r="H93" s="49">
        <v>110</v>
      </c>
      <c r="I93" s="49">
        <v>89</v>
      </c>
      <c r="J93" s="49">
        <v>21</v>
      </c>
      <c r="K93" s="49">
        <v>0</v>
      </c>
      <c r="L93" s="49">
        <v>1</v>
      </c>
      <c r="M93" s="49">
        <v>1</v>
      </c>
      <c r="N93" s="49">
        <v>0</v>
      </c>
      <c r="O93" s="49">
        <v>0</v>
      </c>
      <c r="P93" s="49">
        <v>0</v>
      </c>
      <c r="Q93" s="49">
        <v>1</v>
      </c>
      <c r="R93" s="49">
        <v>0</v>
      </c>
      <c r="S93" s="49">
        <v>3407</v>
      </c>
      <c r="T93" s="49">
        <v>3407</v>
      </c>
      <c r="U93" s="49">
        <v>0</v>
      </c>
      <c r="V93" s="49">
        <v>0</v>
      </c>
      <c r="W93" s="49">
        <v>0</v>
      </c>
      <c r="X93" s="49">
        <v>3407</v>
      </c>
      <c r="Y93" s="434">
        <v>3407</v>
      </c>
      <c r="Z93" s="434">
        <v>0</v>
      </c>
      <c r="AA93" s="49">
        <v>0</v>
      </c>
      <c r="AB93" s="49">
        <v>110</v>
      </c>
      <c r="AC93" s="49">
        <v>0</v>
      </c>
      <c r="AD93" s="285">
        <v>0</v>
      </c>
      <c r="AE93" s="285">
        <v>0</v>
      </c>
      <c r="AF93" s="359">
        <v>110</v>
      </c>
      <c r="AG93" s="360">
        <v>0</v>
      </c>
      <c r="AH93" s="360">
        <v>89</v>
      </c>
      <c r="AI93" s="361">
        <v>89</v>
      </c>
      <c r="AJ93" s="360">
        <v>0</v>
      </c>
      <c r="AK93" s="360">
        <v>0</v>
      </c>
      <c r="AL93" s="360">
        <v>102.09668702429465</v>
      </c>
      <c r="AM93" s="360">
        <v>102.09668702429465</v>
      </c>
      <c r="AN93" s="360">
        <v>0</v>
      </c>
      <c r="AO93" s="360">
        <v>0</v>
      </c>
      <c r="AP93" s="360">
        <v>83.029193148600001</v>
      </c>
      <c r="AQ93" s="360">
        <v>83.029193148600001</v>
      </c>
      <c r="AR93" s="360">
        <v>0</v>
      </c>
      <c r="AS93" s="360">
        <v>0</v>
      </c>
      <c r="AT93" s="360">
        <v>0</v>
      </c>
      <c r="AU93" s="360">
        <v>94.761213648516161</v>
      </c>
      <c r="AV93" s="360">
        <v>98.360591559398799</v>
      </c>
      <c r="AW93" s="360">
        <v>102.09668702429465</v>
      </c>
      <c r="AX93" s="360">
        <v>105.97469307656623</v>
      </c>
      <c r="AY93" s="360">
        <v>110</v>
      </c>
      <c r="AZ93" s="360">
        <v>77.45895410008454</v>
      </c>
      <c r="BA93" s="360">
        <v>80.195725952599616</v>
      </c>
      <c r="BB93" s="360">
        <v>83.029193148600001</v>
      </c>
      <c r="BC93" s="360">
        <v>85.962772118082597</v>
      </c>
      <c r="BD93" s="360">
        <v>89</v>
      </c>
      <c r="BE93" s="360">
        <v>0</v>
      </c>
      <c r="BF93" s="360">
        <v>0</v>
      </c>
      <c r="BG93" s="360">
        <v>0</v>
      </c>
      <c r="BH93" s="360">
        <v>0</v>
      </c>
      <c r="BI93" s="360">
        <v>0</v>
      </c>
      <c r="BJ93" s="362">
        <v>111.13011494749193</v>
      </c>
      <c r="BK93" s="362">
        <v>112.27184043857062</v>
      </c>
      <c r="BL93" s="362">
        <v>113.4252957573166</v>
      </c>
      <c r="BM93" s="363">
        <v>112.67957420251419</v>
      </c>
      <c r="BN93" s="363">
        <v>111.93875543975285</v>
      </c>
      <c r="BO93" s="363">
        <v>111.58129876139363</v>
      </c>
      <c r="BP93" s="363">
        <v>111.22498355790968</v>
      </c>
      <c r="BQ93" s="363">
        <v>110.86980618420226</v>
      </c>
      <c r="BR93" s="363">
        <v>110.51576300681258</v>
      </c>
      <c r="BS93" s="363">
        <v>110.1628504038847</v>
      </c>
      <c r="BT93" s="363">
        <v>110.97772146454513</v>
      </c>
      <c r="BU93" s="363">
        <v>111.79862010022804</v>
      </c>
      <c r="BV93" s="363">
        <v>112.62559089671198</v>
      </c>
      <c r="BW93" s="363">
        <v>113.45867876957513</v>
      </c>
      <c r="BX93" s="363">
        <v>114.29792896663456</v>
      </c>
      <c r="BY93" s="435">
        <v>114.7586429887192</v>
      </c>
      <c r="BZ93" s="435">
        <v>115.21935701080385</v>
      </c>
      <c r="CA93" s="435">
        <v>115.68007103288849</v>
      </c>
      <c r="CB93" s="435">
        <v>116.14078505497314</v>
      </c>
      <c r="CC93" s="363">
        <v>116.60149907705778</v>
      </c>
      <c r="CD93" s="435">
        <v>116.97914840353505</v>
      </c>
      <c r="CE93" s="435">
        <v>117.35679773001232</v>
      </c>
      <c r="CF93" s="435">
        <v>117.73444705648957</v>
      </c>
      <c r="CG93" s="435">
        <v>118.11209638296684</v>
      </c>
      <c r="CH93" s="363">
        <v>118.48974570944411</v>
      </c>
      <c r="CI93" s="362">
        <v>89.914365730243475</v>
      </c>
      <c r="CJ93" s="362">
        <v>90.838125445752596</v>
      </c>
      <c r="CK93" s="362">
        <v>91.771375658192525</v>
      </c>
      <c r="CL93" s="363">
        <v>91.168019127488748</v>
      </c>
      <c r="CM93" s="363">
        <v>90.568629401254583</v>
      </c>
      <c r="CN93" s="363">
        <v>90.279414452400303</v>
      </c>
      <c r="CO93" s="363">
        <v>89.991123060490565</v>
      </c>
      <c r="CP93" s="363">
        <v>89.703752276309103</v>
      </c>
      <c r="CQ93" s="363">
        <v>89.417299160057453</v>
      </c>
      <c r="CR93" s="363">
        <v>89.1317607813249</v>
      </c>
      <c r="CS93" s="363">
        <v>89.791065548586502</v>
      </c>
      <c r="CT93" s="363">
        <v>90.455247172002686</v>
      </c>
      <c r="CU93" s="363">
        <v>91.124341725521518</v>
      </c>
      <c r="CV93" s="363">
        <v>91.798385549928966</v>
      </c>
      <c r="CW93" s="363">
        <v>92.477415254822517</v>
      </c>
      <c r="CX93" s="435">
        <v>92.850174781781917</v>
      </c>
      <c r="CY93" s="435">
        <v>93.222934308741301</v>
      </c>
      <c r="CZ93" s="435">
        <v>93.5956938357007</v>
      </c>
      <c r="DA93" s="435">
        <v>93.968453362660085</v>
      </c>
      <c r="DB93" s="363">
        <v>94.341212889619484</v>
      </c>
      <c r="DC93" s="435">
        <v>94.646765526496537</v>
      </c>
      <c r="DD93" s="435">
        <v>94.952318163373604</v>
      </c>
      <c r="DE93" s="435">
        <v>95.257870800250657</v>
      </c>
      <c r="DF93" s="435">
        <v>95.563423437127724</v>
      </c>
      <c r="DG93" s="363">
        <v>95.868976074004777</v>
      </c>
      <c r="DH93" s="362">
        <v>0</v>
      </c>
      <c r="DI93" s="362">
        <v>0</v>
      </c>
      <c r="DJ93" s="362">
        <v>0</v>
      </c>
      <c r="DK93" s="363">
        <v>0</v>
      </c>
      <c r="DL93" s="363">
        <v>0</v>
      </c>
      <c r="DM93" s="363">
        <v>0</v>
      </c>
      <c r="DN93" s="363">
        <v>0</v>
      </c>
      <c r="DO93" s="363">
        <v>0</v>
      </c>
      <c r="DP93" s="363">
        <v>0</v>
      </c>
      <c r="DQ93" s="363">
        <v>0</v>
      </c>
      <c r="DR93" s="363">
        <v>0</v>
      </c>
      <c r="DS93" s="363">
        <v>0</v>
      </c>
      <c r="DT93" s="363">
        <v>0</v>
      </c>
      <c r="DU93" s="363">
        <v>0</v>
      </c>
      <c r="DV93" s="363">
        <v>0</v>
      </c>
      <c r="DW93" s="435">
        <v>0</v>
      </c>
      <c r="DX93" s="435">
        <v>0</v>
      </c>
      <c r="DY93" s="435">
        <v>0</v>
      </c>
      <c r="DZ93" s="435">
        <v>0</v>
      </c>
      <c r="EA93" s="363">
        <v>0</v>
      </c>
      <c r="EB93" s="435">
        <v>0</v>
      </c>
      <c r="EC93" s="435">
        <v>0</v>
      </c>
      <c r="ED93" s="435">
        <v>0</v>
      </c>
      <c r="EE93" s="435">
        <v>0</v>
      </c>
      <c r="EF93" s="363">
        <v>0</v>
      </c>
      <c r="EG93" s="364">
        <v>0</v>
      </c>
      <c r="EH93" s="364">
        <v>0</v>
      </c>
      <c r="EI93" s="364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436">
        <v>0</v>
      </c>
      <c r="EW93" s="436">
        <v>0</v>
      </c>
      <c r="EX93" s="436">
        <v>0</v>
      </c>
      <c r="EY93" s="436">
        <v>0</v>
      </c>
      <c r="EZ93" s="365">
        <v>0</v>
      </c>
      <c r="FA93" s="436">
        <v>0</v>
      </c>
      <c r="FB93" s="436">
        <v>0</v>
      </c>
      <c r="FC93" s="436">
        <v>0</v>
      </c>
      <c r="FD93" s="436">
        <v>0</v>
      </c>
      <c r="FE93" s="365">
        <v>0</v>
      </c>
      <c r="FF93" s="364">
        <v>0</v>
      </c>
      <c r="FG93" s="364">
        <v>0</v>
      </c>
      <c r="FH93" s="364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5">
        <v>0</v>
      </c>
      <c r="FP93" s="365">
        <v>0</v>
      </c>
      <c r="FQ93" s="365">
        <v>0</v>
      </c>
      <c r="FR93" s="365">
        <v>0</v>
      </c>
      <c r="FS93" s="365">
        <v>0</v>
      </c>
      <c r="FT93" s="365">
        <v>0</v>
      </c>
      <c r="FU93" s="436">
        <v>0</v>
      </c>
      <c r="FV93" s="436">
        <v>0</v>
      </c>
      <c r="FW93" s="436">
        <v>0</v>
      </c>
      <c r="FX93" s="436">
        <v>0</v>
      </c>
      <c r="FY93" s="365">
        <v>0</v>
      </c>
      <c r="FZ93" s="436">
        <v>0</v>
      </c>
      <c r="GA93" s="436">
        <v>0</v>
      </c>
      <c r="GB93" s="436">
        <v>0</v>
      </c>
      <c r="GC93" s="436">
        <v>0</v>
      </c>
      <c r="GD93" s="365">
        <v>0</v>
      </c>
    </row>
    <row r="94" spans="1:186" ht="15" x14ac:dyDescent="0.25">
      <c r="A94" s="357">
        <v>121</v>
      </c>
      <c r="B94" s="357">
        <v>87</v>
      </c>
      <c r="C94" s="357" t="s">
        <v>1004</v>
      </c>
      <c r="D94" s="2">
        <v>99705</v>
      </c>
      <c r="E94" s="268" t="s">
        <v>218</v>
      </c>
      <c r="F94" s="358" t="s">
        <v>985</v>
      </c>
      <c r="G94" s="49">
        <v>118</v>
      </c>
      <c r="H94" s="49">
        <v>46</v>
      </c>
      <c r="I94" s="49">
        <v>39</v>
      </c>
      <c r="J94" s="49">
        <v>7</v>
      </c>
      <c r="K94" s="49">
        <v>0</v>
      </c>
      <c r="L94" s="49">
        <v>57</v>
      </c>
      <c r="M94" s="49">
        <v>57</v>
      </c>
      <c r="N94" s="49">
        <v>7</v>
      </c>
      <c r="O94" s="49">
        <v>0</v>
      </c>
      <c r="P94" s="49">
        <v>0</v>
      </c>
      <c r="Q94" s="49">
        <v>64</v>
      </c>
      <c r="R94" s="49">
        <v>0</v>
      </c>
      <c r="S94" s="49">
        <v>1870.0877192982457</v>
      </c>
      <c r="T94" s="49">
        <v>1870.0877192982457</v>
      </c>
      <c r="U94" s="49">
        <v>4787</v>
      </c>
      <c r="V94" s="49">
        <v>0</v>
      </c>
      <c r="W94" s="49">
        <v>0</v>
      </c>
      <c r="X94" s="49">
        <v>2189.125</v>
      </c>
      <c r="Y94" s="434">
        <v>106595</v>
      </c>
      <c r="Z94" s="434">
        <v>33509</v>
      </c>
      <c r="AA94" s="49">
        <v>0</v>
      </c>
      <c r="AB94" s="49">
        <v>46</v>
      </c>
      <c r="AC94" s="49">
        <v>0</v>
      </c>
      <c r="AD94" s="285">
        <v>7</v>
      </c>
      <c r="AE94" s="285">
        <v>0</v>
      </c>
      <c r="AF94" s="359">
        <v>53</v>
      </c>
      <c r="AG94" s="360">
        <v>0</v>
      </c>
      <c r="AH94" s="360">
        <v>39</v>
      </c>
      <c r="AI94" s="361">
        <v>39</v>
      </c>
      <c r="AJ94" s="360">
        <v>0</v>
      </c>
      <c r="AK94" s="360">
        <v>0</v>
      </c>
      <c r="AL94" s="360">
        <v>42.694978210159583</v>
      </c>
      <c r="AM94" s="360">
        <v>42.694978210159583</v>
      </c>
      <c r="AN94" s="360">
        <v>0</v>
      </c>
      <c r="AO94" s="360">
        <v>0</v>
      </c>
      <c r="AP94" s="360">
        <v>36.38357902017303</v>
      </c>
      <c r="AQ94" s="360">
        <v>36.38357902017303</v>
      </c>
      <c r="AR94" s="360">
        <v>0</v>
      </c>
      <c r="AS94" s="360">
        <v>6.5807536713443655</v>
      </c>
      <c r="AT94" s="360">
        <v>0</v>
      </c>
      <c r="AU94" s="360">
        <v>39.627416616652212</v>
      </c>
      <c r="AV94" s="360">
        <v>41.132611015748587</v>
      </c>
      <c r="AW94" s="360">
        <v>42.694978210159583</v>
      </c>
      <c r="AX94" s="360">
        <v>44.316689832018604</v>
      </c>
      <c r="AY94" s="360">
        <v>46</v>
      </c>
      <c r="AZ94" s="360">
        <v>33.942687751722438</v>
      </c>
      <c r="BA94" s="360">
        <v>35.141947327543654</v>
      </c>
      <c r="BB94" s="360">
        <v>36.38357902017303</v>
      </c>
      <c r="BC94" s="360">
        <v>37.669079916912601</v>
      </c>
      <c r="BD94" s="360">
        <v>39</v>
      </c>
      <c r="BE94" s="360">
        <v>6.1866169832731917</v>
      </c>
      <c r="BF94" s="360">
        <v>6.3806427909636545</v>
      </c>
      <c r="BG94" s="360">
        <v>6.5807536713443655</v>
      </c>
      <c r="BH94" s="360">
        <v>6.7871404655724161</v>
      </c>
      <c r="BI94" s="360">
        <v>7</v>
      </c>
      <c r="BJ94" s="362">
        <v>47.047686037705446</v>
      </c>
      <c r="BK94" s="362">
        <v>48.119233945706604</v>
      </c>
      <c r="BL94" s="362">
        <v>49.215187196793529</v>
      </c>
      <c r="BM94" s="363">
        <v>48.891618933900837</v>
      </c>
      <c r="BN94" s="363">
        <v>48.570177990372642</v>
      </c>
      <c r="BO94" s="363">
        <v>48.415077690895941</v>
      </c>
      <c r="BP94" s="363">
        <v>48.260472676878209</v>
      </c>
      <c r="BQ94" s="363">
        <v>48.10636136671264</v>
      </c>
      <c r="BR94" s="363">
        <v>47.952742183843057</v>
      </c>
      <c r="BS94" s="363">
        <v>47.799613556747694</v>
      </c>
      <c r="BT94" s="363">
        <v>48.153185760583582</v>
      </c>
      <c r="BU94" s="363">
        <v>48.509373326637345</v>
      </c>
      <c r="BV94" s="363">
        <v>48.868195600659178</v>
      </c>
      <c r="BW94" s="363">
        <v>49.229672071499181</v>
      </c>
      <c r="BX94" s="363">
        <v>49.593822372165789</v>
      </c>
      <c r="BY94" s="435">
        <v>49.793725988812263</v>
      </c>
      <c r="BZ94" s="435">
        <v>49.993629605458736</v>
      </c>
      <c r="CA94" s="435">
        <v>50.193533222105209</v>
      </c>
      <c r="CB94" s="435">
        <v>50.393436838751683</v>
      </c>
      <c r="CC94" s="363">
        <v>50.593340455398156</v>
      </c>
      <c r="CD94" s="435">
        <v>50.757202336235459</v>
      </c>
      <c r="CE94" s="435">
        <v>50.921064217072768</v>
      </c>
      <c r="CF94" s="435">
        <v>51.084926097910071</v>
      </c>
      <c r="CG94" s="435">
        <v>51.24878797874738</v>
      </c>
      <c r="CH94" s="363">
        <v>51.412649859584683</v>
      </c>
      <c r="CI94" s="362">
        <v>39.888255553706792</v>
      </c>
      <c r="CJ94" s="362">
        <v>40.796741823533864</v>
      </c>
      <c r="CK94" s="362">
        <v>41.725919579890167</v>
      </c>
      <c r="CL94" s="363">
        <v>41.451589965698538</v>
      </c>
      <c r="CM94" s="363">
        <v>41.179063948359413</v>
      </c>
      <c r="CN94" s="363">
        <v>41.047565868368302</v>
      </c>
      <c r="CO94" s="363">
        <v>40.916487704309787</v>
      </c>
      <c r="CP94" s="363">
        <v>40.785828115256372</v>
      </c>
      <c r="CQ94" s="363">
        <v>40.655585764562588</v>
      </c>
      <c r="CR94" s="363">
        <v>40.525759319851311</v>
      </c>
      <c r="CS94" s="363">
        <v>40.825527057886084</v>
      </c>
      <c r="CT94" s="363">
        <v>41.127512168236009</v>
      </c>
      <c r="CU94" s="363">
        <v>41.431731052732786</v>
      </c>
      <c r="CV94" s="363">
        <v>41.738200234531917</v>
      </c>
      <c r="CW94" s="363">
        <v>42.046936359010125</v>
      </c>
      <c r="CX94" s="435">
        <v>42.216419860079959</v>
      </c>
      <c r="CY94" s="435">
        <v>42.385903361149794</v>
      </c>
      <c r="CZ94" s="435">
        <v>42.555386862219635</v>
      </c>
      <c r="DA94" s="435">
        <v>42.724870363289469</v>
      </c>
      <c r="DB94" s="363">
        <v>42.894353864359303</v>
      </c>
      <c r="DC94" s="435">
        <v>43.03328024159093</v>
      </c>
      <c r="DD94" s="435">
        <v>43.172206618822564</v>
      </c>
      <c r="DE94" s="435">
        <v>43.311132996054191</v>
      </c>
      <c r="DF94" s="435">
        <v>43.450059373285825</v>
      </c>
      <c r="DG94" s="363">
        <v>43.588985750517452</v>
      </c>
      <c r="DH94" s="362">
        <v>7.1594304839986549</v>
      </c>
      <c r="DI94" s="362">
        <v>7.3224921221727444</v>
      </c>
      <c r="DJ94" s="362">
        <v>7.4892676169033638</v>
      </c>
      <c r="DK94" s="363">
        <v>7.4400289682023022</v>
      </c>
      <c r="DL94" s="363">
        <v>7.3911140420132293</v>
      </c>
      <c r="DM94" s="363">
        <v>7.3675118225276437</v>
      </c>
      <c r="DN94" s="363">
        <v>7.3439849725684239</v>
      </c>
      <c r="DO94" s="363">
        <v>7.3205332514562729</v>
      </c>
      <c r="DP94" s="363">
        <v>7.2971564192804657</v>
      </c>
      <c r="DQ94" s="363">
        <v>7.2738542368963888</v>
      </c>
      <c r="DR94" s="363">
        <v>7.3276587026975024</v>
      </c>
      <c r="DS94" s="363">
        <v>7.3818611584013363</v>
      </c>
      <c r="DT94" s="363">
        <v>7.4364645479263976</v>
      </c>
      <c r="DU94" s="363">
        <v>7.4914718369672668</v>
      </c>
      <c r="DV94" s="363">
        <v>7.5468860131556648</v>
      </c>
      <c r="DW94" s="435">
        <v>7.5773061287323022</v>
      </c>
      <c r="DX94" s="435">
        <v>7.6077262443089388</v>
      </c>
      <c r="DY94" s="435">
        <v>7.6381463598855763</v>
      </c>
      <c r="DZ94" s="435">
        <v>7.6685664754622129</v>
      </c>
      <c r="EA94" s="363">
        <v>7.6989865910388504</v>
      </c>
      <c r="EB94" s="435">
        <v>7.7239220946445277</v>
      </c>
      <c r="EC94" s="435">
        <v>7.7488575982502041</v>
      </c>
      <c r="ED94" s="435">
        <v>7.7737931018558815</v>
      </c>
      <c r="EE94" s="435">
        <v>7.7987286054615579</v>
      </c>
      <c r="EF94" s="363">
        <v>7.8236641090672352</v>
      </c>
      <c r="EG94" s="364">
        <v>0</v>
      </c>
      <c r="EH94" s="364">
        <v>0</v>
      </c>
      <c r="EI94" s="364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436">
        <v>0</v>
      </c>
      <c r="EW94" s="436">
        <v>0</v>
      </c>
      <c r="EX94" s="436">
        <v>0</v>
      </c>
      <c r="EY94" s="436">
        <v>0</v>
      </c>
      <c r="EZ94" s="365">
        <v>0</v>
      </c>
      <c r="FA94" s="436">
        <v>0</v>
      </c>
      <c r="FB94" s="436">
        <v>0</v>
      </c>
      <c r="FC94" s="436">
        <v>0</v>
      </c>
      <c r="FD94" s="436">
        <v>0</v>
      </c>
      <c r="FE94" s="365">
        <v>0</v>
      </c>
      <c r="FF94" s="364">
        <v>0</v>
      </c>
      <c r="FG94" s="364">
        <v>0</v>
      </c>
      <c r="FH94" s="364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5">
        <v>0</v>
      </c>
      <c r="FP94" s="365">
        <v>0</v>
      </c>
      <c r="FQ94" s="365">
        <v>0</v>
      </c>
      <c r="FR94" s="365">
        <v>0</v>
      </c>
      <c r="FS94" s="365">
        <v>0</v>
      </c>
      <c r="FT94" s="365">
        <v>0</v>
      </c>
      <c r="FU94" s="436">
        <v>0</v>
      </c>
      <c r="FV94" s="436">
        <v>0</v>
      </c>
      <c r="FW94" s="436">
        <v>0</v>
      </c>
      <c r="FX94" s="436">
        <v>0</v>
      </c>
      <c r="FY94" s="365">
        <v>0</v>
      </c>
      <c r="FZ94" s="436">
        <v>0</v>
      </c>
      <c r="GA94" s="436">
        <v>0</v>
      </c>
      <c r="GB94" s="436">
        <v>0</v>
      </c>
      <c r="GC94" s="436">
        <v>0</v>
      </c>
      <c r="GD94" s="365">
        <v>0</v>
      </c>
    </row>
    <row r="95" spans="1:186" ht="15" x14ac:dyDescent="0.25">
      <c r="A95" s="357">
        <v>122</v>
      </c>
      <c r="B95" s="357">
        <v>87</v>
      </c>
      <c r="C95" s="357" t="s">
        <v>1005</v>
      </c>
      <c r="D95" s="2">
        <v>99705</v>
      </c>
      <c r="E95" s="268" t="s">
        <v>218</v>
      </c>
      <c r="F95" s="358" t="s">
        <v>985</v>
      </c>
      <c r="G95" s="49">
        <v>545</v>
      </c>
      <c r="H95" s="49">
        <v>241</v>
      </c>
      <c r="I95" s="49">
        <v>206</v>
      </c>
      <c r="J95" s="49">
        <v>35</v>
      </c>
      <c r="K95" s="49">
        <v>5</v>
      </c>
      <c r="L95" s="49">
        <v>147</v>
      </c>
      <c r="M95" s="49">
        <v>152</v>
      </c>
      <c r="N95" s="49">
        <v>39</v>
      </c>
      <c r="O95" s="49">
        <v>0</v>
      </c>
      <c r="P95" s="49">
        <v>0</v>
      </c>
      <c r="Q95" s="49">
        <v>191</v>
      </c>
      <c r="R95" s="49">
        <v>9196.4</v>
      </c>
      <c r="S95" s="49">
        <v>2370.2176870748299</v>
      </c>
      <c r="T95" s="49">
        <v>2594.7631578947367</v>
      </c>
      <c r="U95" s="49">
        <v>9219.6923076923085</v>
      </c>
      <c r="V95" s="49">
        <v>0</v>
      </c>
      <c r="W95" s="49">
        <v>0</v>
      </c>
      <c r="X95" s="49">
        <v>3947.4973821989529</v>
      </c>
      <c r="Y95" s="434">
        <v>394404</v>
      </c>
      <c r="Z95" s="434">
        <v>359568.00000000006</v>
      </c>
      <c r="AA95" s="49">
        <v>7.9276315789473681</v>
      </c>
      <c r="AB95" s="49">
        <v>233.07236842105263</v>
      </c>
      <c r="AC95" s="49">
        <v>0</v>
      </c>
      <c r="AD95" s="285">
        <v>39</v>
      </c>
      <c r="AE95" s="285">
        <v>0</v>
      </c>
      <c r="AF95" s="359">
        <v>280</v>
      </c>
      <c r="AG95" s="360">
        <v>6.7763157894736841</v>
      </c>
      <c r="AH95" s="360">
        <v>199.2236842105263</v>
      </c>
      <c r="AI95" s="361">
        <v>205.99999999999997</v>
      </c>
      <c r="AJ95" s="360">
        <v>0</v>
      </c>
      <c r="AK95" s="360">
        <v>7.3580447287245851</v>
      </c>
      <c r="AL95" s="360">
        <v>216.32651502450281</v>
      </c>
      <c r="AM95" s="360">
        <v>223.6845597532274</v>
      </c>
      <c r="AN95" s="360">
        <v>0</v>
      </c>
      <c r="AO95" s="360">
        <v>6.3217082305631278</v>
      </c>
      <c r="AP95" s="360">
        <v>185.85822197855595</v>
      </c>
      <c r="AQ95" s="360">
        <v>192.17993020911908</v>
      </c>
      <c r="AR95" s="360">
        <v>0</v>
      </c>
      <c r="AS95" s="360">
        <v>36.664199026061461</v>
      </c>
      <c r="AT95" s="360">
        <v>0</v>
      </c>
      <c r="AU95" s="360">
        <v>207.61320444811267</v>
      </c>
      <c r="AV95" s="360">
        <v>215.49911423468282</v>
      </c>
      <c r="AW95" s="360">
        <v>223.68455975322738</v>
      </c>
      <c r="AX95" s="360">
        <v>232.18091846774962</v>
      </c>
      <c r="AY95" s="360">
        <v>241</v>
      </c>
      <c r="AZ95" s="360">
        <v>179.28701735525183</v>
      </c>
      <c r="BA95" s="360">
        <v>185.62156793523056</v>
      </c>
      <c r="BB95" s="360">
        <v>192.17993020911908</v>
      </c>
      <c r="BC95" s="360">
        <v>198.97001186882036</v>
      </c>
      <c r="BD95" s="360">
        <v>205.99999999999997</v>
      </c>
      <c r="BE95" s="360">
        <v>34.468294621093499</v>
      </c>
      <c r="BF95" s="360">
        <v>35.549295549654651</v>
      </c>
      <c r="BG95" s="360">
        <v>36.664199026061461</v>
      </c>
      <c r="BH95" s="360">
        <v>37.814068308189178</v>
      </c>
      <c r="BI95" s="360">
        <v>39</v>
      </c>
      <c r="BJ95" s="362">
        <v>245.66250770298308</v>
      </c>
      <c r="BK95" s="362">
        <v>250.41521863451541</v>
      </c>
      <c r="BL95" s="362">
        <v>255.25987791180847</v>
      </c>
      <c r="BM95" s="363">
        <v>253.58165620857972</v>
      </c>
      <c r="BN95" s="363">
        <v>251.91446807673799</v>
      </c>
      <c r="BO95" s="363">
        <v>251.11002364071058</v>
      </c>
      <c r="BP95" s="363">
        <v>250.30814805614932</v>
      </c>
      <c r="BQ95" s="363">
        <v>249.50883311987997</v>
      </c>
      <c r="BR95" s="363">
        <v>248.71207065492365</v>
      </c>
      <c r="BS95" s="363">
        <v>247.91785251041335</v>
      </c>
      <c r="BT95" s="363">
        <v>249.75169289027963</v>
      </c>
      <c r="BU95" s="363">
        <v>251.59909812844384</v>
      </c>
      <c r="BV95" s="363">
        <v>253.4601685637264</v>
      </c>
      <c r="BW95" s="363">
        <v>255.33500527715094</v>
      </c>
      <c r="BX95" s="363">
        <v>257.22371009743381</v>
      </c>
      <c r="BY95" s="435">
        <v>258.26053177150908</v>
      </c>
      <c r="BZ95" s="435">
        <v>259.29735344558435</v>
      </c>
      <c r="CA95" s="435">
        <v>260.33417511965968</v>
      </c>
      <c r="CB95" s="435">
        <v>261.37099679373495</v>
      </c>
      <c r="CC95" s="363">
        <v>262.40781846781022</v>
      </c>
      <c r="CD95" s="435">
        <v>263.25770579079608</v>
      </c>
      <c r="CE95" s="435">
        <v>264.10759311378189</v>
      </c>
      <c r="CF95" s="435">
        <v>264.95748043676775</v>
      </c>
      <c r="CG95" s="435">
        <v>265.80736775975356</v>
      </c>
      <c r="CH95" s="363">
        <v>266.65725508273943</v>
      </c>
      <c r="CI95" s="362">
        <v>209.98538002827596</v>
      </c>
      <c r="CJ95" s="362">
        <v>214.04786323116252</v>
      </c>
      <c r="CK95" s="362">
        <v>218.1889412856122</v>
      </c>
      <c r="CL95" s="363">
        <v>216.75444472600589</v>
      </c>
      <c r="CM95" s="363">
        <v>215.32937935190051</v>
      </c>
      <c r="CN95" s="363">
        <v>214.64176294600156</v>
      </c>
      <c r="CO95" s="363">
        <v>213.95634232185378</v>
      </c>
      <c r="CP95" s="363">
        <v>213.27311046761523</v>
      </c>
      <c r="CQ95" s="363">
        <v>212.59206039383514</v>
      </c>
      <c r="CR95" s="363">
        <v>211.91318513338234</v>
      </c>
      <c r="CS95" s="363">
        <v>213.48070014687801</v>
      </c>
      <c r="CT95" s="363">
        <v>215.05981001850384</v>
      </c>
      <c r="CU95" s="363">
        <v>216.65060051505245</v>
      </c>
      <c r="CV95" s="363">
        <v>218.25315803773066</v>
      </c>
      <c r="CW95" s="363">
        <v>219.86756962685212</v>
      </c>
      <c r="CX95" s="435">
        <v>220.75381553913223</v>
      </c>
      <c r="CY95" s="435">
        <v>221.64006145141235</v>
      </c>
      <c r="CZ95" s="435">
        <v>222.52630736369244</v>
      </c>
      <c r="DA95" s="435">
        <v>223.41255327597256</v>
      </c>
      <c r="DB95" s="363">
        <v>224.29879918825267</v>
      </c>
      <c r="DC95" s="435">
        <v>225.02525889171775</v>
      </c>
      <c r="DD95" s="435">
        <v>225.75171859518284</v>
      </c>
      <c r="DE95" s="435">
        <v>226.47817829864789</v>
      </c>
      <c r="DF95" s="435">
        <v>227.20463800211297</v>
      </c>
      <c r="DG95" s="363">
        <v>227.93109770557805</v>
      </c>
      <c r="DH95" s="362">
        <v>39.754513694673612</v>
      </c>
      <c r="DI95" s="362">
        <v>40.523624592307478</v>
      </c>
      <c r="DJ95" s="362">
        <v>41.307615097761534</v>
      </c>
      <c r="DK95" s="363">
        <v>41.036035652010824</v>
      </c>
      <c r="DL95" s="363">
        <v>40.766241721961748</v>
      </c>
      <c r="DM95" s="363">
        <v>40.636061916961459</v>
      </c>
      <c r="DN95" s="363">
        <v>40.506297818215032</v>
      </c>
      <c r="DO95" s="363">
        <v>40.376948098237833</v>
      </c>
      <c r="DP95" s="363">
        <v>40.24801143378432</v>
      </c>
      <c r="DQ95" s="363">
        <v>40.119486505834523</v>
      </c>
      <c r="DR95" s="363">
        <v>40.416249056933218</v>
      </c>
      <c r="DS95" s="363">
        <v>40.715206751075968</v>
      </c>
      <c r="DT95" s="363">
        <v>41.016375825665264</v>
      </c>
      <c r="DU95" s="363">
        <v>41.319772638211148</v>
      </c>
      <c r="DV95" s="363">
        <v>41.625413667219576</v>
      </c>
      <c r="DW95" s="435">
        <v>41.793198087505615</v>
      </c>
      <c r="DX95" s="435">
        <v>41.960982507791655</v>
      </c>
      <c r="DY95" s="435">
        <v>42.128766928077702</v>
      </c>
      <c r="DZ95" s="435">
        <v>42.296551348363742</v>
      </c>
      <c r="EA95" s="363">
        <v>42.464335768649782</v>
      </c>
      <c r="EB95" s="435">
        <v>42.601869401830065</v>
      </c>
      <c r="EC95" s="435">
        <v>42.739403035010348</v>
      </c>
      <c r="ED95" s="435">
        <v>42.876936668190623</v>
      </c>
      <c r="EE95" s="435">
        <v>43.014470301370906</v>
      </c>
      <c r="EF95" s="363">
        <v>43.152003934551189</v>
      </c>
      <c r="EG95" s="364">
        <v>0</v>
      </c>
      <c r="EH95" s="364">
        <v>0</v>
      </c>
      <c r="EI95" s="364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436">
        <v>0</v>
      </c>
      <c r="EW95" s="436">
        <v>0</v>
      </c>
      <c r="EX95" s="436">
        <v>0</v>
      </c>
      <c r="EY95" s="436">
        <v>0</v>
      </c>
      <c r="EZ95" s="365">
        <v>0</v>
      </c>
      <c r="FA95" s="436">
        <v>0</v>
      </c>
      <c r="FB95" s="436">
        <v>0</v>
      </c>
      <c r="FC95" s="436">
        <v>0</v>
      </c>
      <c r="FD95" s="436">
        <v>0</v>
      </c>
      <c r="FE95" s="365">
        <v>0</v>
      </c>
      <c r="FF95" s="364">
        <v>0</v>
      </c>
      <c r="FG95" s="364">
        <v>0</v>
      </c>
      <c r="FH95" s="364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5">
        <v>0</v>
      </c>
      <c r="FP95" s="365">
        <v>0</v>
      </c>
      <c r="FQ95" s="365">
        <v>0</v>
      </c>
      <c r="FR95" s="365">
        <v>0</v>
      </c>
      <c r="FS95" s="365">
        <v>0</v>
      </c>
      <c r="FT95" s="365">
        <v>0</v>
      </c>
      <c r="FU95" s="436">
        <v>0</v>
      </c>
      <c r="FV95" s="436">
        <v>0</v>
      </c>
      <c r="FW95" s="436">
        <v>0</v>
      </c>
      <c r="FX95" s="436">
        <v>0</v>
      </c>
      <c r="FY95" s="365">
        <v>0</v>
      </c>
      <c r="FZ95" s="436">
        <v>0</v>
      </c>
      <c r="GA95" s="436">
        <v>0</v>
      </c>
      <c r="GB95" s="436">
        <v>0</v>
      </c>
      <c r="GC95" s="436">
        <v>0</v>
      </c>
      <c r="GD95" s="365">
        <v>0</v>
      </c>
    </row>
    <row r="96" spans="1:186" ht="15" x14ac:dyDescent="0.25">
      <c r="A96" s="357">
        <v>123</v>
      </c>
      <c r="B96" s="357">
        <v>87</v>
      </c>
      <c r="C96" s="357" t="s">
        <v>1006</v>
      </c>
      <c r="D96" s="2">
        <v>99705</v>
      </c>
      <c r="E96" s="268" t="s">
        <v>218</v>
      </c>
      <c r="F96" s="358" t="s">
        <v>985</v>
      </c>
      <c r="G96" s="49">
        <v>478</v>
      </c>
      <c r="H96" s="49">
        <v>199</v>
      </c>
      <c r="I96" s="49">
        <v>188</v>
      </c>
      <c r="J96" s="49">
        <v>11</v>
      </c>
      <c r="K96" s="49">
        <v>8</v>
      </c>
      <c r="L96" s="49">
        <v>178</v>
      </c>
      <c r="M96" s="49">
        <v>186</v>
      </c>
      <c r="N96" s="49">
        <v>9</v>
      </c>
      <c r="O96" s="49">
        <v>0</v>
      </c>
      <c r="P96" s="49">
        <v>0</v>
      </c>
      <c r="Q96" s="49">
        <v>195</v>
      </c>
      <c r="R96" s="49">
        <v>13122.75</v>
      </c>
      <c r="S96" s="49">
        <v>2458.2584269662921</v>
      </c>
      <c r="T96" s="49">
        <v>2916.9462365591398</v>
      </c>
      <c r="U96" s="49">
        <v>5029.2222222222226</v>
      </c>
      <c r="V96" s="49">
        <v>0</v>
      </c>
      <c r="W96" s="49">
        <v>0</v>
      </c>
      <c r="X96" s="49">
        <v>3014.4358974358975</v>
      </c>
      <c r="Y96" s="434">
        <v>542552</v>
      </c>
      <c r="Z96" s="434">
        <v>45263</v>
      </c>
      <c r="AA96" s="49">
        <v>8.5591397849462361</v>
      </c>
      <c r="AB96" s="49">
        <v>190.44086021505376</v>
      </c>
      <c r="AC96" s="49">
        <v>0</v>
      </c>
      <c r="AD96" s="285">
        <v>9</v>
      </c>
      <c r="AE96" s="285">
        <v>0</v>
      </c>
      <c r="AF96" s="359">
        <v>208</v>
      </c>
      <c r="AG96" s="360">
        <v>8.086021505376344</v>
      </c>
      <c r="AH96" s="360">
        <v>179.91397849462365</v>
      </c>
      <c r="AI96" s="361">
        <v>188</v>
      </c>
      <c r="AJ96" s="360">
        <v>0</v>
      </c>
      <c r="AK96" s="360">
        <v>7.944180143825859</v>
      </c>
      <c r="AL96" s="360">
        <v>176.75800820012537</v>
      </c>
      <c r="AM96" s="360">
        <v>184.70218834395124</v>
      </c>
      <c r="AN96" s="360">
        <v>0</v>
      </c>
      <c r="AO96" s="360">
        <v>7.5435487794789413</v>
      </c>
      <c r="AP96" s="360">
        <v>167.84396034340645</v>
      </c>
      <c r="AQ96" s="360">
        <v>175.3875091228854</v>
      </c>
      <c r="AR96" s="360">
        <v>0</v>
      </c>
      <c r="AS96" s="360">
        <v>8.4609690060141833</v>
      </c>
      <c r="AT96" s="360">
        <v>0</v>
      </c>
      <c r="AU96" s="360">
        <v>171.43165014595195</v>
      </c>
      <c r="AV96" s="360">
        <v>177.94325200291237</v>
      </c>
      <c r="AW96" s="360">
        <v>184.70218834395124</v>
      </c>
      <c r="AX96" s="360">
        <v>191.71785383851525</v>
      </c>
      <c r="AY96" s="360">
        <v>199</v>
      </c>
      <c r="AZ96" s="360">
        <v>163.6211614698415</v>
      </c>
      <c r="BA96" s="360">
        <v>169.40220763021043</v>
      </c>
      <c r="BB96" s="360">
        <v>175.38750912288538</v>
      </c>
      <c r="BC96" s="360">
        <v>181.5842826763992</v>
      </c>
      <c r="BD96" s="360">
        <v>188</v>
      </c>
      <c r="BE96" s="360">
        <v>7.9542218356369609</v>
      </c>
      <c r="BF96" s="360">
        <v>8.2036835883818426</v>
      </c>
      <c r="BG96" s="360">
        <v>8.4609690060141833</v>
      </c>
      <c r="BH96" s="360">
        <v>8.7263234557359635</v>
      </c>
      <c r="BI96" s="360">
        <v>9</v>
      </c>
      <c r="BJ96" s="362">
        <v>202.84995449333456</v>
      </c>
      <c r="BK96" s="362">
        <v>206.77439215049199</v>
      </c>
      <c r="BL96" s="362">
        <v>210.77475396037298</v>
      </c>
      <c r="BM96" s="363">
        <v>209.38900242949114</v>
      </c>
      <c r="BN96" s="363">
        <v>208.01236160693304</v>
      </c>
      <c r="BO96" s="363">
        <v>207.34811080705978</v>
      </c>
      <c r="BP96" s="363">
        <v>206.68598117499468</v>
      </c>
      <c r="BQ96" s="363">
        <v>206.02596593716228</v>
      </c>
      <c r="BR96" s="363">
        <v>205.36805834161746</v>
      </c>
      <c r="BS96" s="363">
        <v>204.71225165797617</v>
      </c>
      <c r="BT96" s="363">
        <v>206.22650159819773</v>
      </c>
      <c r="BU96" s="363">
        <v>207.75195239651586</v>
      </c>
      <c r="BV96" s="363">
        <v>209.28868690531766</v>
      </c>
      <c r="BW96" s="363">
        <v>210.83678858984663</v>
      </c>
      <c r="BX96" s="363">
        <v>212.39634153273582</v>
      </c>
      <c r="BY96" s="435">
        <v>213.2524722926569</v>
      </c>
      <c r="BZ96" s="435">
        <v>214.10860305257799</v>
      </c>
      <c r="CA96" s="435">
        <v>214.96473381249905</v>
      </c>
      <c r="CB96" s="435">
        <v>215.82086457242013</v>
      </c>
      <c r="CC96" s="363">
        <v>216.67699533234122</v>
      </c>
      <c r="CD96" s="435">
        <v>217.37876951190214</v>
      </c>
      <c r="CE96" s="435">
        <v>218.08054369146305</v>
      </c>
      <c r="CF96" s="435">
        <v>218.78231787102399</v>
      </c>
      <c r="CG96" s="435">
        <v>219.48409205058491</v>
      </c>
      <c r="CH96" s="363">
        <v>220.18586623014582</v>
      </c>
      <c r="CI96" s="362">
        <v>191.63714293842665</v>
      </c>
      <c r="CJ96" s="362">
        <v>195.34465188086679</v>
      </c>
      <c r="CK96" s="362">
        <v>199.12388816356844</v>
      </c>
      <c r="CL96" s="363">
        <v>197.81473596353936</v>
      </c>
      <c r="CM96" s="363">
        <v>196.51419086484125</v>
      </c>
      <c r="CN96" s="363">
        <v>195.88665744586552</v>
      </c>
      <c r="CO96" s="363">
        <v>195.26112794421607</v>
      </c>
      <c r="CP96" s="363">
        <v>194.63759596073623</v>
      </c>
      <c r="CQ96" s="363">
        <v>194.01605511670394</v>
      </c>
      <c r="CR96" s="363">
        <v>193.39649905376643</v>
      </c>
      <c r="CS96" s="363">
        <v>194.82704673598579</v>
      </c>
      <c r="CT96" s="363">
        <v>196.26817613339188</v>
      </c>
      <c r="CU96" s="363">
        <v>197.71996551859155</v>
      </c>
      <c r="CV96" s="363">
        <v>199.1824937431717</v>
      </c>
      <c r="CW96" s="363">
        <v>200.65584024198156</v>
      </c>
      <c r="CX96" s="435">
        <v>201.46464719105273</v>
      </c>
      <c r="CY96" s="435">
        <v>202.2734541401239</v>
      </c>
      <c r="CZ96" s="435">
        <v>203.08226108919507</v>
      </c>
      <c r="DA96" s="435">
        <v>203.89106803826624</v>
      </c>
      <c r="DB96" s="363">
        <v>204.69987498733741</v>
      </c>
      <c r="DC96" s="435">
        <v>205.36285762933466</v>
      </c>
      <c r="DD96" s="435">
        <v>206.02584027133193</v>
      </c>
      <c r="DE96" s="435">
        <v>206.68882291332918</v>
      </c>
      <c r="DF96" s="435">
        <v>207.35180555532645</v>
      </c>
      <c r="DG96" s="363">
        <v>208.0147881973237</v>
      </c>
      <c r="DH96" s="362">
        <v>9.1741185449246796</v>
      </c>
      <c r="DI96" s="362">
        <v>9.3516056751478782</v>
      </c>
      <c r="DJ96" s="362">
        <v>9.5325265610218928</v>
      </c>
      <c r="DK96" s="363">
        <v>9.4698543812332669</v>
      </c>
      <c r="DL96" s="363">
        <v>9.4075942435296334</v>
      </c>
      <c r="DM96" s="363">
        <v>9.3775527500680305</v>
      </c>
      <c r="DN96" s="363">
        <v>9.3476071888188539</v>
      </c>
      <c r="DO96" s="363">
        <v>9.3177572534395008</v>
      </c>
      <c r="DP96" s="363">
        <v>9.2880026385656134</v>
      </c>
      <c r="DQ96" s="363">
        <v>9.2583430398079667</v>
      </c>
      <c r="DR96" s="363">
        <v>9.3268267054461269</v>
      </c>
      <c r="DS96" s="363">
        <v>9.3958169425559923</v>
      </c>
      <c r="DT96" s="363">
        <v>9.465317498230446</v>
      </c>
      <c r="DU96" s="363">
        <v>9.5353321472794956</v>
      </c>
      <c r="DV96" s="363">
        <v>9.6058646924352882</v>
      </c>
      <c r="DW96" s="435">
        <v>9.6445841740397587</v>
      </c>
      <c r="DX96" s="435">
        <v>9.6833036556442291</v>
      </c>
      <c r="DY96" s="435">
        <v>9.7220231372487014</v>
      </c>
      <c r="DZ96" s="435">
        <v>9.7607426188531718</v>
      </c>
      <c r="EA96" s="363">
        <v>9.7994621004576423</v>
      </c>
      <c r="EB96" s="435">
        <v>9.8312006311915532</v>
      </c>
      <c r="EC96" s="435">
        <v>9.862939161925464</v>
      </c>
      <c r="ED96" s="435">
        <v>9.8946776926593749</v>
      </c>
      <c r="EE96" s="435">
        <v>9.9264162233932858</v>
      </c>
      <c r="EF96" s="363">
        <v>9.9581547541271966</v>
      </c>
      <c r="EG96" s="364">
        <v>0</v>
      </c>
      <c r="EH96" s="364">
        <v>0</v>
      </c>
      <c r="EI96" s="364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436">
        <v>0</v>
      </c>
      <c r="EW96" s="436">
        <v>0</v>
      </c>
      <c r="EX96" s="436">
        <v>0</v>
      </c>
      <c r="EY96" s="436">
        <v>0</v>
      </c>
      <c r="EZ96" s="365">
        <v>0</v>
      </c>
      <c r="FA96" s="436">
        <v>0</v>
      </c>
      <c r="FB96" s="436">
        <v>0</v>
      </c>
      <c r="FC96" s="436">
        <v>0</v>
      </c>
      <c r="FD96" s="436">
        <v>0</v>
      </c>
      <c r="FE96" s="365">
        <v>0</v>
      </c>
      <c r="FF96" s="364">
        <v>0</v>
      </c>
      <c r="FG96" s="364">
        <v>0</v>
      </c>
      <c r="FH96" s="364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5">
        <v>0</v>
      </c>
      <c r="FP96" s="365">
        <v>0</v>
      </c>
      <c r="FQ96" s="365">
        <v>0</v>
      </c>
      <c r="FR96" s="365">
        <v>0</v>
      </c>
      <c r="FS96" s="365">
        <v>0</v>
      </c>
      <c r="FT96" s="365">
        <v>0</v>
      </c>
      <c r="FU96" s="436">
        <v>0</v>
      </c>
      <c r="FV96" s="436">
        <v>0</v>
      </c>
      <c r="FW96" s="436">
        <v>0</v>
      </c>
      <c r="FX96" s="436">
        <v>0</v>
      </c>
      <c r="FY96" s="365">
        <v>0</v>
      </c>
      <c r="FZ96" s="436">
        <v>0</v>
      </c>
      <c r="GA96" s="436">
        <v>0</v>
      </c>
      <c r="GB96" s="436">
        <v>0</v>
      </c>
      <c r="GC96" s="436">
        <v>0</v>
      </c>
      <c r="GD96" s="365">
        <v>0</v>
      </c>
    </row>
    <row r="97" spans="1:186" ht="15" x14ac:dyDescent="0.25">
      <c r="A97" s="357">
        <v>124</v>
      </c>
      <c r="B97" s="357">
        <v>87</v>
      </c>
      <c r="C97" s="357" t="s">
        <v>1007</v>
      </c>
      <c r="D97" s="2">
        <v>99705</v>
      </c>
      <c r="E97" s="268" t="s">
        <v>218</v>
      </c>
      <c r="F97" s="358" t="s">
        <v>985</v>
      </c>
      <c r="G97" s="49">
        <v>931</v>
      </c>
      <c r="H97" s="49">
        <v>349</v>
      </c>
      <c r="I97" s="49">
        <v>330</v>
      </c>
      <c r="J97" s="49">
        <v>19</v>
      </c>
      <c r="K97" s="49">
        <v>3</v>
      </c>
      <c r="L97" s="49">
        <v>211</v>
      </c>
      <c r="M97" s="49">
        <v>214</v>
      </c>
      <c r="N97" s="49">
        <v>2</v>
      </c>
      <c r="O97" s="49">
        <v>0</v>
      </c>
      <c r="P97" s="49">
        <v>0</v>
      </c>
      <c r="Q97" s="49">
        <v>216</v>
      </c>
      <c r="R97" s="49">
        <v>3358.6666666666665</v>
      </c>
      <c r="S97" s="49">
        <v>2376.4075829383883</v>
      </c>
      <c r="T97" s="49">
        <v>2390.1775700934577</v>
      </c>
      <c r="U97" s="49">
        <v>3396</v>
      </c>
      <c r="V97" s="49">
        <v>0</v>
      </c>
      <c r="W97" s="49">
        <v>0</v>
      </c>
      <c r="X97" s="49">
        <v>2399.4907407407409</v>
      </c>
      <c r="Y97" s="434">
        <v>511497.99999999994</v>
      </c>
      <c r="Z97" s="434">
        <v>6792</v>
      </c>
      <c r="AA97" s="49">
        <v>4.8925233644859816</v>
      </c>
      <c r="AB97" s="49">
        <v>344.10747663551405</v>
      </c>
      <c r="AC97" s="49">
        <v>0</v>
      </c>
      <c r="AD97" s="285">
        <v>2</v>
      </c>
      <c r="AE97" s="285">
        <v>0</v>
      </c>
      <c r="AF97" s="359">
        <v>351</v>
      </c>
      <c r="AG97" s="360">
        <v>4.6261682242990663</v>
      </c>
      <c r="AH97" s="360">
        <v>325.37383177570092</v>
      </c>
      <c r="AI97" s="361">
        <v>330</v>
      </c>
      <c r="AJ97" s="360">
        <v>0</v>
      </c>
      <c r="AK97" s="360">
        <v>4.541003879117949</v>
      </c>
      <c r="AL97" s="360">
        <v>319.38393949796239</v>
      </c>
      <c r="AM97" s="360">
        <v>323.92494337708035</v>
      </c>
      <c r="AN97" s="360">
        <v>0</v>
      </c>
      <c r="AO97" s="360">
        <v>4.3158091576768882</v>
      </c>
      <c r="AP97" s="360">
        <v>303.54524408994109</v>
      </c>
      <c r="AQ97" s="360">
        <v>307.86105324761797</v>
      </c>
      <c r="AR97" s="360">
        <v>0</v>
      </c>
      <c r="AS97" s="360">
        <v>1.8802153346698185</v>
      </c>
      <c r="AT97" s="360">
        <v>0</v>
      </c>
      <c r="AU97" s="360">
        <v>300.65148693938306</v>
      </c>
      <c r="AV97" s="360">
        <v>312.07133140209254</v>
      </c>
      <c r="AW97" s="360">
        <v>323.9249433770803</v>
      </c>
      <c r="AX97" s="360">
        <v>336.22879894292373</v>
      </c>
      <c r="AY97" s="360">
        <v>349</v>
      </c>
      <c r="AZ97" s="360">
        <v>287.2073578991899</v>
      </c>
      <c r="BA97" s="360">
        <v>297.35493892536937</v>
      </c>
      <c r="BB97" s="360">
        <v>307.86105324761797</v>
      </c>
      <c r="BC97" s="360">
        <v>318.738368527722</v>
      </c>
      <c r="BD97" s="360">
        <v>330</v>
      </c>
      <c r="BE97" s="360">
        <v>1.7676048523637691</v>
      </c>
      <c r="BF97" s="360">
        <v>1.823040797418187</v>
      </c>
      <c r="BG97" s="360">
        <v>1.8802153346698185</v>
      </c>
      <c r="BH97" s="360">
        <v>1.9391829901635476</v>
      </c>
      <c r="BI97" s="360">
        <v>2</v>
      </c>
      <c r="BJ97" s="362">
        <v>352.24011286770423</v>
      </c>
      <c r="BK97" s="362">
        <v>355.51030691419203</v>
      </c>
      <c r="BL97" s="362">
        <v>358.81086141285721</v>
      </c>
      <c r="BM97" s="363">
        <v>356.45183742560408</v>
      </c>
      <c r="BN97" s="363">
        <v>354.10832298605669</v>
      </c>
      <c r="BO97" s="363">
        <v>352.97754049328478</v>
      </c>
      <c r="BP97" s="363">
        <v>351.85036895502304</v>
      </c>
      <c r="BQ97" s="363">
        <v>350.72679684032482</v>
      </c>
      <c r="BR97" s="363">
        <v>349.60681265506565</v>
      </c>
      <c r="BS97" s="363">
        <v>348.4904049418256</v>
      </c>
      <c r="BT97" s="363">
        <v>351.06817725675575</v>
      </c>
      <c r="BU97" s="363">
        <v>353.66501727057624</v>
      </c>
      <c r="BV97" s="363">
        <v>356.28106602644243</v>
      </c>
      <c r="BW97" s="363">
        <v>358.91646561080142</v>
      </c>
      <c r="BX97" s="363">
        <v>361.57135916110877</v>
      </c>
      <c r="BY97" s="435">
        <v>363.02878710101794</v>
      </c>
      <c r="BZ97" s="435">
        <v>364.48621504092711</v>
      </c>
      <c r="CA97" s="435">
        <v>365.94364298083627</v>
      </c>
      <c r="CB97" s="435">
        <v>367.40107092074544</v>
      </c>
      <c r="CC97" s="363">
        <v>368.85849886065461</v>
      </c>
      <c r="CD97" s="435">
        <v>370.05315900450131</v>
      </c>
      <c r="CE97" s="435">
        <v>371.24781914834801</v>
      </c>
      <c r="CF97" s="435">
        <v>372.44247929219478</v>
      </c>
      <c r="CG97" s="435">
        <v>373.63713943604148</v>
      </c>
      <c r="CH97" s="363">
        <v>374.83179957988818</v>
      </c>
      <c r="CI97" s="362">
        <v>333.06371703823038</v>
      </c>
      <c r="CJ97" s="362">
        <v>336.15587759794658</v>
      </c>
      <c r="CK97" s="362">
        <v>339.27674574854694</v>
      </c>
      <c r="CL97" s="363">
        <v>337.04615000128751</v>
      </c>
      <c r="CM97" s="363">
        <v>334.83021944240318</v>
      </c>
      <c r="CN97" s="363">
        <v>333.76099817416616</v>
      </c>
      <c r="CO97" s="363">
        <v>332.6951912755232</v>
      </c>
      <c r="CP97" s="363">
        <v>331.63278784328708</v>
      </c>
      <c r="CQ97" s="363">
        <v>330.57377700908791</v>
      </c>
      <c r="CR97" s="363">
        <v>329.51814793926206</v>
      </c>
      <c r="CS97" s="363">
        <v>331.95558307945385</v>
      </c>
      <c r="CT97" s="363">
        <v>334.41104784896891</v>
      </c>
      <c r="CU97" s="363">
        <v>336.88467561239543</v>
      </c>
      <c r="CV97" s="363">
        <v>339.37660072081513</v>
      </c>
      <c r="CW97" s="363">
        <v>341.88695851910001</v>
      </c>
      <c r="CX97" s="435">
        <v>343.26504224451554</v>
      </c>
      <c r="CY97" s="435">
        <v>344.64312596993108</v>
      </c>
      <c r="CZ97" s="435">
        <v>346.02120969534667</v>
      </c>
      <c r="DA97" s="435">
        <v>347.39929342076221</v>
      </c>
      <c r="DB97" s="363">
        <v>348.77737714617774</v>
      </c>
      <c r="DC97" s="435">
        <v>349.90699848563168</v>
      </c>
      <c r="DD97" s="435">
        <v>351.03661982508555</v>
      </c>
      <c r="DE97" s="435">
        <v>352.16624116453949</v>
      </c>
      <c r="DF97" s="435">
        <v>353.29586250399336</v>
      </c>
      <c r="DG97" s="363">
        <v>354.4254838434473</v>
      </c>
      <c r="DH97" s="362">
        <v>2.018567982049881</v>
      </c>
      <c r="DI97" s="362">
        <v>2.0373083490784643</v>
      </c>
      <c r="DJ97" s="362">
        <v>2.056222701506345</v>
      </c>
      <c r="DK97" s="363">
        <v>2.0427039394017426</v>
      </c>
      <c r="DL97" s="363">
        <v>2.0292740572266861</v>
      </c>
      <c r="DM97" s="363">
        <v>2.0227939283282796</v>
      </c>
      <c r="DN97" s="363">
        <v>2.0163344925789284</v>
      </c>
      <c r="DO97" s="363">
        <v>2.0098956838987094</v>
      </c>
      <c r="DP97" s="363">
        <v>2.0034774364187142</v>
      </c>
      <c r="DQ97" s="363">
        <v>1.997079684480376</v>
      </c>
      <c r="DR97" s="363">
        <v>2.0118520186633564</v>
      </c>
      <c r="DS97" s="363">
        <v>2.0267336233270843</v>
      </c>
      <c r="DT97" s="363">
        <v>2.0417253067417902</v>
      </c>
      <c r="DU97" s="363">
        <v>2.0568278831564553</v>
      </c>
      <c r="DV97" s="363">
        <v>2.0720421728430303</v>
      </c>
      <c r="DW97" s="435">
        <v>2.0803941954213063</v>
      </c>
      <c r="DX97" s="435">
        <v>2.0887462179995824</v>
      </c>
      <c r="DY97" s="435">
        <v>2.097098240577858</v>
      </c>
      <c r="DZ97" s="435">
        <v>2.105450263156134</v>
      </c>
      <c r="EA97" s="363">
        <v>2.1138022857344101</v>
      </c>
      <c r="EB97" s="435">
        <v>2.1206484756704946</v>
      </c>
      <c r="EC97" s="435">
        <v>2.1274946656065787</v>
      </c>
      <c r="ED97" s="435">
        <v>2.1343408555426633</v>
      </c>
      <c r="EE97" s="435">
        <v>2.1411870454787474</v>
      </c>
      <c r="EF97" s="363">
        <v>2.1480332354148319</v>
      </c>
      <c r="EG97" s="364">
        <v>0</v>
      </c>
      <c r="EH97" s="364">
        <v>0</v>
      </c>
      <c r="EI97" s="364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436">
        <v>0</v>
      </c>
      <c r="EW97" s="436">
        <v>0</v>
      </c>
      <c r="EX97" s="436">
        <v>0</v>
      </c>
      <c r="EY97" s="436">
        <v>0</v>
      </c>
      <c r="EZ97" s="365">
        <v>0</v>
      </c>
      <c r="FA97" s="436">
        <v>0</v>
      </c>
      <c r="FB97" s="436">
        <v>0</v>
      </c>
      <c r="FC97" s="436">
        <v>0</v>
      </c>
      <c r="FD97" s="436">
        <v>0</v>
      </c>
      <c r="FE97" s="365">
        <v>0</v>
      </c>
      <c r="FF97" s="364">
        <v>0</v>
      </c>
      <c r="FG97" s="364">
        <v>0</v>
      </c>
      <c r="FH97" s="364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5">
        <v>0</v>
      </c>
      <c r="FP97" s="365">
        <v>0</v>
      </c>
      <c r="FQ97" s="365">
        <v>0</v>
      </c>
      <c r="FR97" s="365">
        <v>0</v>
      </c>
      <c r="FS97" s="365">
        <v>0</v>
      </c>
      <c r="FT97" s="365">
        <v>0</v>
      </c>
      <c r="FU97" s="436">
        <v>0</v>
      </c>
      <c r="FV97" s="436">
        <v>0</v>
      </c>
      <c r="FW97" s="436">
        <v>0</v>
      </c>
      <c r="FX97" s="436">
        <v>0</v>
      </c>
      <c r="FY97" s="365">
        <v>0</v>
      </c>
      <c r="FZ97" s="436">
        <v>0</v>
      </c>
      <c r="GA97" s="436">
        <v>0</v>
      </c>
      <c r="GB97" s="436">
        <v>0</v>
      </c>
      <c r="GC97" s="436">
        <v>0</v>
      </c>
      <c r="GD97" s="365">
        <v>0</v>
      </c>
    </row>
    <row r="98" spans="1:186" ht="15" x14ac:dyDescent="0.25">
      <c r="A98" s="357">
        <v>125</v>
      </c>
      <c r="B98" s="357">
        <v>87</v>
      </c>
      <c r="C98" s="357" t="s">
        <v>1008</v>
      </c>
      <c r="D98" s="2">
        <v>99705</v>
      </c>
      <c r="E98" s="268" t="s">
        <v>218</v>
      </c>
      <c r="F98" s="358" t="s">
        <v>985</v>
      </c>
      <c r="G98" s="49">
        <v>634</v>
      </c>
      <c r="H98" s="49">
        <v>218</v>
      </c>
      <c r="I98" s="49">
        <v>209</v>
      </c>
      <c r="J98" s="49">
        <v>9</v>
      </c>
      <c r="K98" s="49">
        <v>0</v>
      </c>
      <c r="L98" s="49">
        <v>172</v>
      </c>
      <c r="M98" s="49">
        <v>172</v>
      </c>
      <c r="N98" s="49">
        <v>2</v>
      </c>
      <c r="O98" s="49">
        <v>0</v>
      </c>
      <c r="P98" s="49">
        <v>0</v>
      </c>
      <c r="Q98" s="49">
        <v>174</v>
      </c>
      <c r="R98" s="49">
        <v>0</v>
      </c>
      <c r="S98" s="49">
        <v>2376.3023255813955</v>
      </c>
      <c r="T98" s="49">
        <v>2376.3023255813955</v>
      </c>
      <c r="U98" s="49">
        <v>1576</v>
      </c>
      <c r="V98" s="49">
        <v>0</v>
      </c>
      <c r="W98" s="49">
        <v>0</v>
      </c>
      <c r="X98" s="49">
        <v>2367.1034482758619</v>
      </c>
      <c r="Y98" s="434">
        <v>408724</v>
      </c>
      <c r="Z98" s="434">
        <v>3152</v>
      </c>
      <c r="AA98" s="49">
        <v>0</v>
      </c>
      <c r="AB98" s="49">
        <v>218</v>
      </c>
      <c r="AC98" s="49">
        <v>0</v>
      </c>
      <c r="AD98" s="285">
        <v>2</v>
      </c>
      <c r="AE98" s="285">
        <v>0</v>
      </c>
      <c r="AF98" s="359">
        <v>220</v>
      </c>
      <c r="AG98" s="360">
        <v>0</v>
      </c>
      <c r="AH98" s="360">
        <v>209</v>
      </c>
      <c r="AI98" s="361">
        <v>209</v>
      </c>
      <c r="AJ98" s="360">
        <v>0</v>
      </c>
      <c r="AK98" s="360">
        <v>0</v>
      </c>
      <c r="AL98" s="360">
        <v>202.3370706481476</v>
      </c>
      <c r="AM98" s="360">
        <v>202.3370706481476</v>
      </c>
      <c r="AN98" s="360">
        <v>0</v>
      </c>
      <c r="AO98" s="360">
        <v>0</v>
      </c>
      <c r="AP98" s="360">
        <v>194.97866705682472</v>
      </c>
      <c r="AQ98" s="360">
        <v>194.97866705682472</v>
      </c>
      <c r="AR98" s="360">
        <v>0</v>
      </c>
      <c r="AS98" s="360">
        <v>1.8802153346698185</v>
      </c>
      <c r="AT98" s="360">
        <v>0</v>
      </c>
      <c r="AU98" s="360">
        <v>187.79949613978658</v>
      </c>
      <c r="AV98" s="360">
        <v>194.93280872680853</v>
      </c>
      <c r="AW98" s="360">
        <v>202.3370706481476</v>
      </c>
      <c r="AX98" s="360">
        <v>210.02257355174032</v>
      </c>
      <c r="AY98" s="360">
        <v>218</v>
      </c>
      <c r="AZ98" s="360">
        <v>181.89799333615358</v>
      </c>
      <c r="BA98" s="360">
        <v>188.32479465273394</v>
      </c>
      <c r="BB98" s="360">
        <v>194.97866705682472</v>
      </c>
      <c r="BC98" s="360">
        <v>201.86763340089061</v>
      </c>
      <c r="BD98" s="360">
        <v>209</v>
      </c>
      <c r="BE98" s="360">
        <v>1.7676048523637691</v>
      </c>
      <c r="BF98" s="360">
        <v>1.823040797418187</v>
      </c>
      <c r="BG98" s="360">
        <v>1.8802153346698185</v>
      </c>
      <c r="BH98" s="360">
        <v>1.9391829901635476</v>
      </c>
      <c r="BI98" s="360">
        <v>2</v>
      </c>
      <c r="BJ98" s="362">
        <v>220.02391004343701</v>
      </c>
      <c r="BK98" s="362">
        <v>222.06661004955259</v>
      </c>
      <c r="BL98" s="362">
        <v>224.12827446419161</v>
      </c>
      <c r="BM98" s="363">
        <v>222.65472939478994</v>
      </c>
      <c r="BN98" s="363">
        <v>221.19087223770876</v>
      </c>
      <c r="BO98" s="363">
        <v>220.48453818778248</v>
      </c>
      <c r="BP98" s="363">
        <v>219.7804596911032</v>
      </c>
      <c r="BQ98" s="363">
        <v>219.07862954495934</v>
      </c>
      <c r="BR98" s="363">
        <v>218.37904056963987</v>
      </c>
      <c r="BS98" s="363">
        <v>217.68168560836097</v>
      </c>
      <c r="BT98" s="363">
        <v>219.29187003430587</v>
      </c>
      <c r="BU98" s="363">
        <v>220.9139649426522</v>
      </c>
      <c r="BV98" s="363">
        <v>222.54805843485514</v>
      </c>
      <c r="BW98" s="363">
        <v>224.19423926405361</v>
      </c>
      <c r="BX98" s="363">
        <v>225.85259683989031</v>
      </c>
      <c r="BY98" s="435">
        <v>226.76296730092238</v>
      </c>
      <c r="BZ98" s="435">
        <v>227.67333776195449</v>
      </c>
      <c r="CA98" s="435">
        <v>228.58370822298656</v>
      </c>
      <c r="CB98" s="435">
        <v>229.49407868401866</v>
      </c>
      <c r="CC98" s="363">
        <v>230.40444914505073</v>
      </c>
      <c r="CD98" s="435">
        <v>231.15068384808393</v>
      </c>
      <c r="CE98" s="435">
        <v>231.89691855111712</v>
      </c>
      <c r="CF98" s="435">
        <v>232.64315325415029</v>
      </c>
      <c r="CG98" s="435">
        <v>233.38938795718349</v>
      </c>
      <c r="CH98" s="363">
        <v>234.13562266021668</v>
      </c>
      <c r="CI98" s="362">
        <v>210.94035412421258</v>
      </c>
      <c r="CJ98" s="362">
        <v>212.89872247869951</v>
      </c>
      <c r="CK98" s="362">
        <v>214.87527230741304</v>
      </c>
      <c r="CL98" s="363">
        <v>213.46256166748208</v>
      </c>
      <c r="CM98" s="363">
        <v>212.05913898018866</v>
      </c>
      <c r="CN98" s="363">
        <v>211.38196551030521</v>
      </c>
      <c r="CO98" s="363">
        <v>210.70695447449802</v>
      </c>
      <c r="CP98" s="363">
        <v>210.03409896741513</v>
      </c>
      <c r="CQ98" s="363">
        <v>209.36339210575565</v>
      </c>
      <c r="CR98" s="363">
        <v>208.69482702819926</v>
      </c>
      <c r="CS98" s="363">
        <v>210.23853595032074</v>
      </c>
      <c r="CT98" s="363">
        <v>211.79366363768031</v>
      </c>
      <c r="CU98" s="363">
        <v>213.36029455451708</v>
      </c>
      <c r="CV98" s="363">
        <v>214.93851378984954</v>
      </c>
      <c r="CW98" s="363">
        <v>216.52840706209665</v>
      </c>
      <c r="CX98" s="435">
        <v>217.4011934215265</v>
      </c>
      <c r="CY98" s="435">
        <v>218.27397978095632</v>
      </c>
      <c r="CZ98" s="435">
        <v>219.14676614038618</v>
      </c>
      <c r="DA98" s="435">
        <v>220.019552499816</v>
      </c>
      <c r="DB98" s="363">
        <v>220.89233885924585</v>
      </c>
      <c r="DC98" s="435">
        <v>221.60776570756667</v>
      </c>
      <c r="DD98" s="435">
        <v>222.32319255588749</v>
      </c>
      <c r="DE98" s="435">
        <v>223.0386194042083</v>
      </c>
      <c r="DF98" s="435">
        <v>223.75404625252912</v>
      </c>
      <c r="DG98" s="363">
        <v>224.46947310084994</v>
      </c>
      <c r="DH98" s="362">
        <v>2.018567982049881</v>
      </c>
      <c r="DI98" s="362">
        <v>2.0373083490784643</v>
      </c>
      <c r="DJ98" s="362">
        <v>2.056222701506345</v>
      </c>
      <c r="DK98" s="363">
        <v>2.0427039394017426</v>
      </c>
      <c r="DL98" s="363">
        <v>2.0292740572266861</v>
      </c>
      <c r="DM98" s="363">
        <v>2.0227939283282796</v>
      </c>
      <c r="DN98" s="363">
        <v>2.0163344925789284</v>
      </c>
      <c r="DO98" s="363">
        <v>2.0098956838987094</v>
      </c>
      <c r="DP98" s="363">
        <v>2.0034774364187142</v>
      </c>
      <c r="DQ98" s="363">
        <v>1.997079684480376</v>
      </c>
      <c r="DR98" s="363">
        <v>2.0118520186633564</v>
      </c>
      <c r="DS98" s="363">
        <v>2.0267336233270843</v>
      </c>
      <c r="DT98" s="363">
        <v>2.0417253067417902</v>
      </c>
      <c r="DU98" s="363">
        <v>2.0568278831564553</v>
      </c>
      <c r="DV98" s="363">
        <v>2.0720421728430303</v>
      </c>
      <c r="DW98" s="435">
        <v>2.0803941954213063</v>
      </c>
      <c r="DX98" s="435">
        <v>2.0887462179995824</v>
      </c>
      <c r="DY98" s="435">
        <v>2.097098240577858</v>
      </c>
      <c r="DZ98" s="435">
        <v>2.105450263156134</v>
      </c>
      <c r="EA98" s="363">
        <v>2.1138022857344101</v>
      </c>
      <c r="EB98" s="435">
        <v>2.1206484756704946</v>
      </c>
      <c r="EC98" s="435">
        <v>2.1274946656065787</v>
      </c>
      <c r="ED98" s="435">
        <v>2.1343408555426633</v>
      </c>
      <c r="EE98" s="435">
        <v>2.1411870454787474</v>
      </c>
      <c r="EF98" s="363">
        <v>2.1480332354148319</v>
      </c>
      <c r="EG98" s="364">
        <v>0</v>
      </c>
      <c r="EH98" s="364">
        <v>0</v>
      </c>
      <c r="EI98" s="364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436">
        <v>0</v>
      </c>
      <c r="EW98" s="436">
        <v>0</v>
      </c>
      <c r="EX98" s="436">
        <v>0</v>
      </c>
      <c r="EY98" s="436">
        <v>0</v>
      </c>
      <c r="EZ98" s="365">
        <v>0</v>
      </c>
      <c r="FA98" s="436">
        <v>0</v>
      </c>
      <c r="FB98" s="436">
        <v>0</v>
      </c>
      <c r="FC98" s="436">
        <v>0</v>
      </c>
      <c r="FD98" s="436">
        <v>0</v>
      </c>
      <c r="FE98" s="365">
        <v>0</v>
      </c>
      <c r="FF98" s="364">
        <v>0</v>
      </c>
      <c r="FG98" s="364">
        <v>0</v>
      </c>
      <c r="FH98" s="364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5">
        <v>0</v>
      </c>
      <c r="FP98" s="365">
        <v>0</v>
      </c>
      <c r="FQ98" s="365">
        <v>0</v>
      </c>
      <c r="FR98" s="365">
        <v>0</v>
      </c>
      <c r="FS98" s="365">
        <v>0</v>
      </c>
      <c r="FT98" s="365">
        <v>0</v>
      </c>
      <c r="FU98" s="436">
        <v>0</v>
      </c>
      <c r="FV98" s="436">
        <v>0</v>
      </c>
      <c r="FW98" s="436">
        <v>0</v>
      </c>
      <c r="FX98" s="436">
        <v>0</v>
      </c>
      <c r="FY98" s="365">
        <v>0</v>
      </c>
      <c r="FZ98" s="436">
        <v>0</v>
      </c>
      <c r="GA98" s="436">
        <v>0</v>
      </c>
      <c r="GB98" s="436">
        <v>0</v>
      </c>
      <c r="GC98" s="436">
        <v>0</v>
      </c>
      <c r="GD98" s="365">
        <v>0</v>
      </c>
    </row>
    <row r="99" spans="1:186" ht="15" x14ac:dyDescent="0.25">
      <c r="A99" s="357">
        <v>126</v>
      </c>
      <c r="B99" s="357">
        <v>87</v>
      </c>
      <c r="C99" s="357" t="s">
        <v>1009</v>
      </c>
      <c r="D99" s="2">
        <v>99705</v>
      </c>
      <c r="E99" s="268" t="s">
        <v>218</v>
      </c>
      <c r="F99" s="358" t="s">
        <v>985</v>
      </c>
      <c r="G99" s="49">
        <v>288</v>
      </c>
      <c r="H99" s="49">
        <v>124</v>
      </c>
      <c r="I99" s="49">
        <v>111</v>
      </c>
      <c r="J99" s="49">
        <v>13</v>
      </c>
      <c r="K99" s="49">
        <v>0</v>
      </c>
      <c r="L99" s="49">
        <v>143</v>
      </c>
      <c r="M99" s="49">
        <v>143</v>
      </c>
      <c r="N99" s="49">
        <v>0</v>
      </c>
      <c r="O99" s="49">
        <v>0</v>
      </c>
      <c r="P99" s="49">
        <v>0</v>
      </c>
      <c r="Q99" s="49">
        <v>143</v>
      </c>
      <c r="R99" s="49">
        <v>0</v>
      </c>
      <c r="S99" s="49">
        <v>2043.4685314685314</v>
      </c>
      <c r="T99" s="49">
        <v>2043.4685314685314</v>
      </c>
      <c r="U99" s="49">
        <v>0</v>
      </c>
      <c r="V99" s="49">
        <v>0</v>
      </c>
      <c r="W99" s="49">
        <v>0</v>
      </c>
      <c r="X99" s="49">
        <v>2043.4685314685314</v>
      </c>
      <c r="Y99" s="434">
        <v>292216</v>
      </c>
      <c r="Z99" s="434">
        <v>0</v>
      </c>
      <c r="AA99" s="49">
        <v>0</v>
      </c>
      <c r="AB99" s="49">
        <v>124</v>
      </c>
      <c r="AC99" s="49">
        <v>0</v>
      </c>
      <c r="AD99" s="285">
        <v>0</v>
      </c>
      <c r="AE99" s="285">
        <v>0</v>
      </c>
      <c r="AF99" s="359">
        <v>124</v>
      </c>
      <c r="AG99" s="360">
        <v>0</v>
      </c>
      <c r="AH99" s="360">
        <v>111</v>
      </c>
      <c r="AI99" s="361">
        <v>111</v>
      </c>
      <c r="AJ99" s="360">
        <v>0</v>
      </c>
      <c r="AK99" s="360">
        <v>0</v>
      </c>
      <c r="AL99" s="360">
        <v>115.0908108273867</v>
      </c>
      <c r="AM99" s="360">
        <v>115.0908108273867</v>
      </c>
      <c r="AN99" s="360">
        <v>0</v>
      </c>
      <c r="AO99" s="360">
        <v>0</v>
      </c>
      <c r="AP99" s="360">
        <v>103.55326336510787</v>
      </c>
      <c r="AQ99" s="360">
        <v>103.55326336510787</v>
      </c>
      <c r="AR99" s="360">
        <v>0</v>
      </c>
      <c r="AS99" s="360">
        <v>0</v>
      </c>
      <c r="AT99" s="360">
        <v>0</v>
      </c>
      <c r="AU99" s="360">
        <v>106.82173174923639</v>
      </c>
      <c r="AV99" s="360">
        <v>110.87921230332228</v>
      </c>
      <c r="AW99" s="360">
        <v>115.0908108273867</v>
      </c>
      <c r="AX99" s="360">
        <v>119.46238128631101</v>
      </c>
      <c r="AY99" s="360">
        <v>124</v>
      </c>
      <c r="AZ99" s="360">
        <v>96.606111293363867</v>
      </c>
      <c r="BA99" s="360">
        <v>100.01938854762425</v>
      </c>
      <c r="BB99" s="360">
        <v>103.55326336510787</v>
      </c>
      <c r="BC99" s="360">
        <v>107.2119966865974</v>
      </c>
      <c r="BD99" s="360">
        <v>111</v>
      </c>
      <c r="BE99" s="360">
        <v>0</v>
      </c>
      <c r="BF99" s="360">
        <v>0</v>
      </c>
      <c r="BG99" s="360">
        <v>0</v>
      </c>
      <c r="BH99" s="360">
        <v>0</v>
      </c>
      <c r="BI99" s="360">
        <v>0</v>
      </c>
      <c r="BJ99" s="362">
        <v>125.00029625679839</v>
      </c>
      <c r="BK99" s="362">
        <v>126.00866180876908</v>
      </c>
      <c r="BL99" s="362">
        <v>127.02516175015204</v>
      </c>
      <c r="BM99" s="363">
        <v>126.19002704332239</v>
      </c>
      <c r="BN99" s="363">
        <v>125.36038298077882</v>
      </c>
      <c r="BO99" s="363">
        <v>124.96006670138024</v>
      </c>
      <c r="BP99" s="363">
        <v>124.56102876143584</v>
      </c>
      <c r="BQ99" s="363">
        <v>124.1632650787939</v>
      </c>
      <c r="BR99" s="363">
        <v>123.76677158433844</v>
      </c>
      <c r="BS99" s="363">
        <v>123.37154422194747</v>
      </c>
      <c r="BT99" s="363">
        <v>124.28411956587581</v>
      </c>
      <c r="BU99" s="363">
        <v>125.20344520026698</v>
      </c>
      <c r="BV99" s="363">
        <v>126.12957105680238</v>
      </c>
      <c r="BW99" s="363">
        <v>127.06254743650651</v>
      </c>
      <c r="BX99" s="363">
        <v>128.00242501247877</v>
      </c>
      <c r="BY99" s="435">
        <v>128.51837934863565</v>
      </c>
      <c r="BZ99" s="435">
        <v>129.03433368479253</v>
      </c>
      <c r="CA99" s="435">
        <v>129.55028802094944</v>
      </c>
      <c r="CB99" s="435">
        <v>130.06624235710632</v>
      </c>
      <c r="CC99" s="363">
        <v>130.5821966932632</v>
      </c>
      <c r="CD99" s="435">
        <v>131.00512675009327</v>
      </c>
      <c r="CE99" s="435">
        <v>131.42805680692337</v>
      </c>
      <c r="CF99" s="435">
        <v>131.85098686375343</v>
      </c>
      <c r="CG99" s="435">
        <v>132.27391692058353</v>
      </c>
      <c r="CH99" s="363">
        <v>132.6968469774136</v>
      </c>
      <c r="CI99" s="362">
        <v>111.8954264879405</v>
      </c>
      <c r="CJ99" s="362">
        <v>112.79807629655942</v>
      </c>
      <c r="CK99" s="362">
        <v>113.70800769570062</v>
      </c>
      <c r="CL99" s="363">
        <v>112.96042743394182</v>
      </c>
      <c r="CM99" s="363">
        <v>112.21776218440685</v>
      </c>
      <c r="CN99" s="363">
        <v>111.85941454720329</v>
      </c>
      <c r="CO99" s="363">
        <v>111.50221122999498</v>
      </c>
      <c r="CP99" s="363">
        <v>111.14614857859776</v>
      </c>
      <c r="CQ99" s="363">
        <v>110.79122295049652</v>
      </c>
      <c r="CR99" s="363">
        <v>110.43743071480782</v>
      </c>
      <c r="CS99" s="363">
        <v>111.25433283719529</v>
      </c>
      <c r="CT99" s="363">
        <v>112.07727755830351</v>
      </c>
      <c r="CU99" s="363">
        <v>112.90630957504085</v>
      </c>
      <c r="CV99" s="363">
        <v>113.74147391493727</v>
      </c>
      <c r="CW99" s="363">
        <v>114.58281593858986</v>
      </c>
      <c r="CX99" s="435">
        <v>115.04467828789159</v>
      </c>
      <c r="CY99" s="435">
        <v>115.50654063719332</v>
      </c>
      <c r="CZ99" s="435">
        <v>115.96840298649505</v>
      </c>
      <c r="DA99" s="435">
        <v>116.43026533579679</v>
      </c>
      <c r="DB99" s="363">
        <v>116.89212768509852</v>
      </c>
      <c r="DC99" s="435">
        <v>117.27071830048673</v>
      </c>
      <c r="DD99" s="435">
        <v>117.64930891587494</v>
      </c>
      <c r="DE99" s="435">
        <v>118.02789953126316</v>
      </c>
      <c r="DF99" s="435">
        <v>118.40649014665136</v>
      </c>
      <c r="DG99" s="363">
        <v>118.78508076203958</v>
      </c>
      <c r="DH99" s="362">
        <v>0</v>
      </c>
      <c r="DI99" s="362">
        <v>0</v>
      </c>
      <c r="DJ99" s="362">
        <v>0</v>
      </c>
      <c r="DK99" s="363">
        <v>0</v>
      </c>
      <c r="DL99" s="363">
        <v>0</v>
      </c>
      <c r="DM99" s="363">
        <v>0</v>
      </c>
      <c r="DN99" s="363">
        <v>0</v>
      </c>
      <c r="DO99" s="363">
        <v>0</v>
      </c>
      <c r="DP99" s="363">
        <v>0</v>
      </c>
      <c r="DQ99" s="363">
        <v>0</v>
      </c>
      <c r="DR99" s="363">
        <v>0</v>
      </c>
      <c r="DS99" s="363">
        <v>0</v>
      </c>
      <c r="DT99" s="363">
        <v>0</v>
      </c>
      <c r="DU99" s="363">
        <v>0</v>
      </c>
      <c r="DV99" s="363">
        <v>0</v>
      </c>
      <c r="DW99" s="435">
        <v>0</v>
      </c>
      <c r="DX99" s="435">
        <v>0</v>
      </c>
      <c r="DY99" s="435">
        <v>0</v>
      </c>
      <c r="DZ99" s="435">
        <v>0</v>
      </c>
      <c r="EA99" s="363">
        <v>0</v>
      </c>
      <c r="EB99" s="435">
        <v>0</v>
      </c>
      <c r="EC99" s="435">
        <v>0</v>
      </c>
      <c r="ED99" s="435">
        <v>0</v>
      </c>
      <c r="EE99" s="435">
        <v>0</v>
      </c>
      <c r="EF99" s="363">
        <v>0</v>
      </c>
      <c r="EG99" s="364">
        <v>0</v>
      </c>
      <c r="EH99" s="364">
        <v>0</v>
      </c>
      <c r="EI99" s="364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436">
        <v>0</v>
      </c>
      <c r="EW99" s="436">
        <v>0</v>
      </c>
      <c r="EX99" s="436">
        <v>0</v>
      </c>
      <c r="EY99" s="436">
        <v>0</v>
      </c>
      <c r="EZ99" s="365">
        <v>0</v>
      </c>
      <c r="FA99" s="436">
        <v>0</v>
      </c>
      <c r="FB99" s="436">
        <v>0</v>
      </c>
      <c r="FC99" s="436">
        <v>0</v>
      </c>
      <c r="FD99" s="436">
        <v>0</v>
      </c>
      <c r="FE99" s="365">
        <v>0</v>
      </c>
      <c r="FF99" s="364">
        <v>0</v>
      </c>
      <c r="FG99" s="364">
        <v>0</v>
      </c>
      <c r="FH99" s="364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5">
        <v>0</v>
      </c>
      <c r="FP99" s="365">
        <v>0</v>
      </c>
      <c r="FQ99" s="365">
        <v>0</v>
      </c>
      <c r="FR99" s="365">
        <v>0</v>
      </c>
      <c r="FS99" s="365">
        <v>0</v>
      </c>
      <c r="FT99" s="365">
        <v>0</v>
      </c>
      <c r="FU99" s="436">
        <v>0</v>
      </c>
      <c r="FV99" s="436">
        <v>0</v>
      </c>
      <c r="FW99" s="436">
        <v>0</v>
      </c>
      <c r="FX99" s="436">
        <v>0</v>
      </c>
      <c r="FY99" s="365">
        <v>0</v>
      </c>
      <c r="FZ99" s="436">
        <v>0</v>
      </c>
      <c r="GA99" s="436">
        <v>0</v>
      </c>
      <c r="GB99" s="436">
        <v>0</v>
      </c>
      <c r="GC99" s="436">
        <v>0</v>
      </c>
      <c r="GD99" s="365">
        <v>0</v>
      </c>
    </row>
    <row r="100" spans="1:186" ht="15" x14ac:dyDescent="0.25">
      <c r="A100" s="357">
        <v>95</v>
      </c>
      <c r="B100" s="357">
        <v>88</v>
      </c>
      <c r="C100" s="357" t="s">
        <v>1010</v>
      </c>
      <c r="D100" s="2">
        <v>99709</v>
      </c>
      <c r="E100" s="268" t="s">
        <v>19</v>
      </c>
      <c r="F100" s="358" t="s">
        <v>915</v>
      </c>
      <c r="G100" s="49">
        <v>68</v>
      </c>
      <c r="H100" s="49">
        <v>25</v>
      </c>
      <c r="I100" s="49">
        <v>24</v>
      </c>
      <c r="J100" s="49">
        <v>1</v>
      </c>
      <c r="K100" s="49">
        <v>0</v>
      </c>
      <c r="L100" s="49">
        <v>0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834.49503068156923</v>
      </c>
      <c r="T100" s="49">
        <v>834.49503068156923</v>
      </c>
      <c r="U100" s="49">
        <v>1408.3846153846155</v>
      </c>
      <c r="V100" s="49">
        <v>0</v>
      </c>
      <c r="W100" s="49">
        <v>0</v>
      </c>
      <c r="X100" s="49">
        <v>1365.173957061457</v>
      </c>
      <c r="Y100" s="434">
        <v>0</v>
      </c>
      <c r="Z100" s="434">
        <v>0</v>
      </c>
      <c r="AA100" s="49">
        <v>0.57280838530838529</v>
      </c>
      <c r="AB100" s="49">
        <v>24.394707207207208</v>
      </c>
      <c r="AC100" s="49">
        <v>3.2484407484407486E-2</v>
      </c>
      <c r="AD100" s="285">
        <v>0</v>
      </c>
      <c r="AE100" s="285">
        <v>0</v>
      </c>
      <c r="AF100" s="359">
        <v>25</v>
      </c>
      <c r="AG100" s="360">
        <v>0.5498960498960499</v>
      </c>
      <c r="AH100" s="360">
        <v>23.418918918918919</v>
      </c>
      <c r="AI100" s="361">
        <v>23.968814968814968</v>
      </c>
      <c r="AJ100" s="360">
        <v>3.118503118503119E-2</v>
      </c>
      <c r="AK100" s="360">
        <v>0.54540431280220691</v>
      </c>
      <c r="AL100" s="360">
        <v>23.227625261098147</v>
      </c>
      <c r="AM100" s="360">
        <v>23.773029573900356</v>
      </c>
      <c r="AN100" s="360">
        <v>3.0930301293130829E-2</v>
      </c>
      <c r="AO100" s="360">
        <v>0.52457588221104934</v>
      </c>
      <c r="AP100" s="360">
        <v>22.340586106489095</v>
      </c>
      <c r="AQ100" s="360">
        <v>22.865161988700144</v>
      </c>
      <c r="AR100" s="360">
        <v>2.9749104851288247E-2</v>
      </c>
      <c r="AS100" s="360">
        <v>0</v>
      </c>
      <c r="AT100" s="360">
        <v>0</v>
      </c>
      <c r="AU100" s="360">
        <v>22.635689683556482</v>
      </c>
      <c r="AV100" s="360">
        <v>23.197390376350942</v>
      </c>
      <c r="AW100" s="360">
        <v>23.773029573900352</v>
      </c>
      <c r="AX100" s="360">
        <v>24.362953157769923</v>
      </c>
      <c r="AY100" s="360">
        <v>24.967515592515593</v>
      </c>
      <c r="AZ100" s="360">
        <v>21.812327119622555</v>
      </c>
      <c r="BA100" s="360">
        <v>22.332541121437281</v>
      </c>
      <c r="BB100" s="360">
        <v>22.865161988700141</v>
      </c>
      <c r="BC100" s="360">
        <v>23.41048561946409</v>
      </c>
      <c r="BD100" s="360">
        <v>23.968814968814968</v>
      </c>
      <c r="BE100" s="360">
        <v>0</v>
      </c>
      <c r="BF100" s="360">
        <v>0</v>
      </c>
      <c r="BG100" s="360">
        <v>0</v>
      </c>
      <c r="BH100" s="360">
        <v>0</v>
      </c>
      <c r="BI100" s="360">
        <v>0</v>
      </c>
      <c r="BJ100" s="362">
        <v>25.095414912226726</v>
      </c>
      <c r="BK100" s="362">
        <v>25.223969412703525</v>
      </c>
      <c r="BL100" s="362">
        <v>25.353182450193977</v>
      </c>
      <c r="BM100" s="363">
        <v>25.186496399170579</v>
      </c>
      <c r="BN100" s="363">
        <v>25.020906235799956</v>
      </c>
      <c r="BO100" s="363">
        <v>24.941006383443636</v>
      </c>
      <c r="BP100" s="363">
        <v>24.861361677177808</v>
      </c>
      <c r="BQ100" s="363">
        <v>24.781971302238411</v>
      </c>
      <c r="BR100" s="363">
        <v>24.702834446463207</v>
      </c>
      <c r="BS100" s="363">
        <v>24.62395030028344</v>
      </c>
      <c r="BT100" s="363">
        <v>24.806092868538318</v>
      </c>
      <c r="BU100" s="363">
        <v>24.989582739511313</v>
      </c>
      <c r="BV100" s="363">
        <v>25.174429879157298</v>
      </c>
      <c r="BW100" s="363">
        <v>25.360644327148993</v>
      </c>
      <c r="BX100" s="363">
        <v>25.54823619742222</v>
      </c>
      <c r="BY100" s="435">
        <v>25.651216459287848</v>
      </c>
      <c r="BZ100" s="435">
        <v>25.754196721153477</v>
      </c>
      <c r="CA100" s="435">
        <v>25.857176983019102</v>
      </c>
      <c r="CB100" s="435">
        <v>25.96015724488473</v>
      </c>
      <c r="CC100" s="363">
        <v>26.063137506750358</v>
      </c>
      <c r="CD100" s="435">
        <v>26.14755088396435</v>
      </c>
      <c r="CE100" s="435">
        <v>26.231964261178341</v>
      </c>
      <c r="CF100" s="435">
        <v>26.316377638392332</v>
      </c>
      <c r="CG100" s="435">
        <v>26.400791015606323</v>
      </c>
      <c r="CH100" s="363">
        <v>26.485204392820314</v>
      </c>
      <c r="CI100" s="362">
        <v>24.091598315737656</v>
      </c>
      <c r="CJ100" s="362">
        <v>24.21501063619538</v>
      </c>
      <c r="CK100" s="362">
        <v>24.339055152186216</v>
      </c>
      <c r="CL100" s="363">
        <v>24.179036543203754</v>
      </c>
      <c r="CM100" s="363">
        <v>24.020069986367957</v>
      </c>
      <c r="CN100" s="363">
        <v>23.94336612810589</v>
      </c>
      <c r="CO100" s="363">
        <v>23.866907210090691</v>
      </c>
      <c r="CP100" s="363">
        <v>23.790692450148875</v>
      </c>
      <c r="CQ100" s="363">
        <v>23.714721068604675</v>
      </c>
      <c r="CR100" s="363">
        <v>23.6389922882721</v>
      </c>
      <c r="CS100" s="363">
        <v>23.813849153796781</v>
      </c>
      <c r="CT100" s="363">
        <v>23.989999429930858</v>
      </c>
      <c r="CU100" s="363">
        <v>24.167452683991005</v>
      </c>
      <c r="CV100" s="363">
        <v>24.346218554063032</v>
      </c>
      <c r="CW100" s="363">
        <v>24.526306749525332</v>
      </c>
      <c r="CX100" s="435">
        <v>24.625167800916334</v>
      </c>
      <c r="CY100" s="435">
        <v>24.724028852307335</v>
      </c>
      <c r="CZ100" s="435">
        <v>24.822889903698339</v>
      </c>
      <c r="DA100" s="435">
        <v>24.92175095508934</v>
      </c>
      <c r="DB100" s="363">
        <v>25.020612006480341</v>
      </c>
      <c r="DC100" s="435">
        <v>25.101648848605773</v>
      </c>
      <c r="DD100" s="435">
        <v>25.182685690731205</v>
      </c>
      <c r="DE100" s="435">
        <v>25.263722532856637</v>
      </c>
      <c r="DF100" s="435">
        <v>25.344759374982068</v>
      </c>
      <c r="DG100" s="363">
        <v>25.4257962171075</v>
      </c>
      <c r="DH100" s="362">
        <v>0</v>
      </c>
      <c r="DI100" s="362">
        <v>0</v>
      </c>
      <c r="DJ100" s="362">
        <v>0</v>
      </c>
      <c r="DK100" s="363">
        <v>0</v>
      </c>
      <c r="DL100" s="363">
        <v>0</v>
      </c>
      <c r="DM100" s="363">
        <v>0</v>
      </c>
      <c r="DN100" s="363">
        <v>0</v>
      </c>
      <c r="DO100" s="363">
        <v>0</v>
      </c>
      <c r="DP100" s="363">
        <v>0</v>
      </c>
      <c r="DQ100" s="363">
        <v>0</v>
      </c>
      <c r="DR100" s="363">
        <v>0</v>
      </c>
      <c r="DS100" s="363">
        <v>0</v>
      </c>
      <c r="DT100" s="363">
        <v>0</v>
      </c>
      <c r="DU100" s="363">
        <v>0</v>
      </c>
      <c r="DV100" s="363">
        <v>0</v>
      </c>
      <c r="DW100" s="435">
        <v>0</v>
      </c>
      <c r="DX100" s="435">
        <v>0</v>
      </c>
      <c r="DY100" s="435">
        <v>0</v>
      </c>
      <c r="DZ100" s="435">
        <v>0</v>
      </c>
      <c r="EA100" s="363">
        <v>0</v>
      </c>
      <c r="EB100" s="435">
        <v>0</v>
      </c>
      <c r="EC100" s="435">
        <v>0</v>
      </c>
      <c r="ED100" s="435">
        <v>0</v>
      </c>
      <c r="EE100" s="435">
        <v>0</v>
      </c>
      <c r="EF100" s="363">
        <v>0</v>
      </c>
      <c r="EG100" s="364">
        <v>3.2650813052597878E-2</v>
      </c>
      <c r="EH100" s="364">
        <v>3.2818071054779505E-2</v>
      </c>
      <c r="EI100" s="364">
        <v>3.2986185857655448E-2</v>
      </c>
      <c r="EJ100" s="365">
        <v>3.2769316158171455E-2</v>
      </c>
      <c r="EK100" s="365">
        <v>3.255387228181103E-2</v>
      </c>
      <c r="EL100" s="365">
        <v>3.2449917230605828E-2</v>
      </c>
      <c r="EM100" s="365">
        <v>3.2346294141527204E-2</v>
      </c>
      <c r="EN100" s="365">
        <v>3.2243001954512636E-2</v>
      </c>
      <c r="EO100" s="365">
        <v>3.2140039612884731E-2</v>
      </c>
      <c r="EP100" s="365">
        <v>3.2037406063340414E-2</v>
      </c>
      <c r="EQ100" s="365">
        <v>3.2274385725394636E-2</v>
      </c>
      <c r="ER100" s="365">
        <v>3.2513118318385784E-2</v>
      </c>
      <c r="ES100" s="365">
        <v>3.2753616808687616E-2</v>
      </c>
      <c r="ET100" s="365">
        <v>3.2995894258585734E-2</v>
      </c>
      <c r="EU100" s="365">
        <v>3.3239963826987018E-2</v>
      </c>
      <c r="EV100" s="436">
        <v>3.3373948034462461E-2</v>
      </c>
      <c r="EW100" s="436">
        <v>3.3507932241937904E-2</v>
      </c>
      <c r="EX100" s="436">
        <v>3.3641916449413355E-2</v>
      </c>
      <c r="EY100" s="436">
        <v>3.3775900656888798E-2</v>
      </c>
      <c r="EZ100" s="365">
        <v>3.3909884864364241E-2</v>
      </c>
      <c r="FA100" s="436">
        <v>3.4019712313250516E-2</v>
      </c>
      <c r="FB100" s="436">
        <v>3.4129539762136792E-2</v>
      </c>
      <c r="FC100" s="436">
        <v>3.4239367211023074E-2</v>
      </c>
      <c r="FD100" s="436">
        <v>3.4349194659909349E-2</v>
      </c>
      <c r="FE100" s="365">
        <v>3.4459022108795624E-2</v>
      </c>
      <c r="FF100" s="364">
        <v>0</v>
      </c>
      <c r="FG100" s="364">
        <v>0</v>
      </c>
      <c r="FH100" s="364">
        <v>0</v>
      </c>
      <c r="FI100" s="365">
        <v>0</v>
      </c>
      <c r="FJ100" s="365">
        <v>0</v>
      </c>
      <c r="FK100" s="365">
        <v>0</v>
      </c>
      <c r="FL100" s="365">
        <v>0</v>
      </c>
      <c r="FM100" s="365">
        <v>0</v>
      </c>
      <c r="FN100" s="365">
        <v>0</v>
      </c>
      <c r="FO100" s="365">
        <v>0</v>
      </c>
      <c r="FP100" s="365">
        <v>0</v>
      </c>
      <c r="FQ100" s="365">
        <v>0</v>
      </c>
      <c r="FR100" s="365">
        <v>0</v>
      </c>
      <c r="FS100" s="365">
        <v>0</v>
      </c>
      <c r="FT100" s="365">
        <v>0</v>
      </c>
      <c r="FU100" s="436">
        <v>0</v>
      </c>
      <c r="FV100" s="436">
        <v>0</v>
      </c>
      <c r="FW100" s="436">
        <v>0</v>
      </c>
      <c r="FX100" s="436">
        <v>0</v>
      </c>
      <c r="FY100" s="365">
        <v>0</v>
      </c>
      <c r="FZ100" s="436">
        <v>0</v>
      </c>
      <c r="GA100" s="436">
        <v>0</v>
      </c>
      <c r="GB100" s="436">
        <v>0</v>
      </c>
      <c r="GC100" s="436">
        <v>0</v>
      </c>
      <c r="GD100" s="365">
        <v>0</v>
      </c>
    </row>
    <row r="101" spans="1:186" ht="15" x14ac:dyDescent="0.25">
      <c r="A101" s="357">
        <v>97</v>
      </c>
      <c r="B101" s="357">
        <v>88</v>
      </c>
      <c r="C101" s="357" t="s">
        <v>1011</v>
      </c>
      <c r="D101" s="2">
        <v>99709</v>
      </c>
      <c r="E101" s="268" t="s">
        <v>19</v>
      </c>
      <c r="F101" s="358" t="s">
        <v>915</v>
      </c>
      <c r="G101" s="49">
        <v>43</v>
      </c>
      <c r="H101" s="49">
        <v>18</v>
      </c>
      <c r="I101" s="49">
        <v>16</v>
      </c>
      <c r="J101" s="49">
        <v>2</v>
      </c>
      <c r="K101" s="49">
        <v>0</v>
      </c>
      <c r="L101" s="49">
        <v>23</v>
      </c>
      <c r="M101" s="49">
        <v>23</v>
      </c>
      <c r="N101" s="49">
        <v>0</v>
      </c>
      <c r="O101" s="49">
        <v>0</v>
      </c>
      <c r="P101" s="49">
        <v>0</v>
      </c>
      <c r="Q101" s="49">
        <v>23</v>
      </c>
      <c r="R101" s="49">
        <v>0</v>
      </c>
      <c r="S101" s="49">
        <v>1447.6521739130435</v>
      </c>
      <c r="T101" s="49">
        <v>1447.6521739130435</v>
      </c>
      <c r="U101" s="49">
        <v>0</v>
      </c>
      <c r="V101" s="49">
        <v>0</v>
      </c>
      <c r="W101" s="49">
        <v>0</v>
      </c>
      <c r="X101" s="49">
        <v>1447.6521739130435</v>
      </c>
      <c r="Y101" s="434">
        <v>33296</v>
      </c>
      <c r="Z101" s="434">
        <v>0</v>
      </c>
      <c r="AA101" s="49">
        <v>0</v>
      </c>
      <c r="AB101" s="49">
        <v>18</v>
      </c>
      <c r="AC101" s="49">
        <v>0</v>
      </c>
      <c r="AD101" s="285">
        <v>0</v>
      </c>
      <c r="AE101" s="285">
        <v>0</v>
      </c>
      <c r="AF101" s="359">
        <v>18</v>
      </c>
      <c r="AG101" s="360">
        <v>0</v>
      </c>
      <c r="AH101" s="360">
        <v>16</v>
      </c>
      <c r="AI101" s="361">
        <v>16</v>
      </c>
      <c r="AJ101" s="360">
        <v>0</v>
      </c>
      <c r="AK101" s="360">
        <v>0</v>
      </c>
      <c r="AL101" s="360">
        <v>17.13885111013931</v>
      </c>
      <c r="AM101" s="360">
        <v>17.13885111013931</v>
      </c>
      <c r="AN101" s="360">
        <v>0</v>
      </c>
      <c r="AO101" s="360">
        <v>0</v>
      </c>
      <c r="AP101" s="360">
        <v>15.263274062367621</v>
      </c>
      <c r="AQ101" s="360">
        <v>15.263274062367621</v>
      </c>
      <c r="AR101" s="360">
        <v>0</v>
      </c>
      <c r="AS101" s="360">
        <v>0</v>
      </c>
      <c r="AT101" s="360">
        <v>0</v>
      </c>
      <c r="AU101" s="360">
        <v>16.318900965306856</v>
      </c>
      <c r="AV101" s="360">
        <v>16.723851647437645</v>
      </c>
      <c r="AW101" s="360">
        <v>17.13885111013931</v>
      </c>
      <c r="AX101" s="360">
        <v>17.564148712149631</v>
      </c>
      <c r="AY101" s="360">
        <v>18</v>
      </c>
      <c r="AZ101" s="360">
        <v>14.560470943934011</v>
      </c>
      <c r="BA101" s="360">
        <v>14.907731500614217</v>
      </c>
      <c r="BB101" s="360">
        <v>15.263274062367621</v>
      </c>
      <c r="BC101" s="360">
        <v>15.627296151218289</v>
      </c>
      <c r="BD101" s="360">
        <v>16</v>
      </c>
      <c r="BE101" s="360">
        <v>0</v>
      </c>
      <c r="BF101" s="360">
        <v>0</v>
      </c>
      <c r="BG101" s="360">
        <v>0</v>
      </c>
      <c r="BH101" s="360">
        <v>0</v>
      </c>
      <c r="BI101" s="360">
        <v>0</v>
      </c>
      <c r="BJ101" s="362">
        <v>18.168179835822947</v>
      </c>
      <c r="BK101" s="362">
        <v>18.337931030377973</v>
      </c>
      <c r="BL101" s="362">
        <v>18.50926826537917</v>
      </c>
      <c r="BM101" s="363">
        <v>18.387577947386561</v>
      </c>
      <c r="BN101" s="363">
        <v>18.26668768984371</v>
      </c>
      <c r="BO101" s="363">
        <v>18.20835624350428</v>
      </c>
      <c r="BP101" s="363">
        <v>18.150211068353681</v>
      </c>
      <c r="BQ101" s="363">
        <v>18.092251569567718</v>
      </c>
      <c r="BR101" s="363">
        <v>18.034477154221662</v>
      </c>
      <c r="BS101" s="363">
        <v>17.976887231284177</v>
      </c>
      <c r="BT101" s="363">
        <v>18.109861687843921</v>
      </c>
      <c r="BU101" s="363">
        <v>18.243819752181246</v>
      </c>
      <c r="BV101" s="363">
        <v>18.378768700011243</v>
      </c>
      <c r="BW101" s="363">
        <v>18.514715860867231</v>
      </c>
      <c r="BX101" s="363">
        <v>18.651668618498839</v>
      </c>
      <c r="BY101" s="435">
        <v>18.726850079313646</v>
      </c>
      <c r="BZ101" s="435">
        <v>18.802031540128453</v>
      </c>
      <c r="CA101" s="435">
        <v>18.877213000943257</v>
      </c>
      <c r="CB101" s="435">
        <v>18.952394461758065</v>
      </c>
      <c r="CC101" s="363">
        <v>19.027575922572872</v>
      </c>
      <c r="CD101" s="435">
        <v>19.08920249931959</v>
      </c>
      <c r="CE101" s="435">
        <v>19.150829076066309</v>
      </c>
      <c r="CF101" s="435">
        <v>19.212455652813023</v>
      </c>
      <c r="CG101" s="435">
        <v>19.274082229559742</v>
      </c>
      <c r="CH101" s="363">
        <v>19.33570880630646</v>
      </c>
      <c r="CI101" s="362">
        <v>16.149493187398175</v>
      </c>
      <c r="CJ101" s="362">
        <v>16.300383138113755</v>
      </c>
      <c r="CK101" s="362">
        <v>16.45268290255926</v>
      </c>
      <c r="CL101" s="363">
        <v>16.344513731010274</v>
      </c>
      <c r="CM101" s="363">
        <v>16.23705572430552</v>
      </c>
      <c r="CN101" s="363">
        <v>16.185205549781578</v>
      </c>
      <c r="CO101" s="363">
        <v>16.133520949647714</v>
      </c>
      <c r="CP101" s="363">
        <v>16.082001395171304</v>
      </c>
      <c r="CQ101" s="363">
        <v>16.03064635930814</v>
      </c>
      <c r="CR101" s="363">
        <v>15.979455316697043</v>
      </c>
      <c r="CS101" s="363">
        <v>16.097654833639041</v>
      </c>
      <c r="CT101" s="363">
        <v>16.216728668605551</v>
      </c>
      <c r="CU101" s="363">
        <v>16.336683288898879</v>
      </c>
      <c r="CV101" s="363">
        <v>16.457525209659757</v>
      </c>
      <c r="CW101" s="363">
        <v>16.57926099422119</v>
      </c>
      <c r="CX101" s="435">
        <v>16.646088959389907</v>
      </c>
      <c r="CY101" s="435">
        <v>16.712916924558623</v>
      </c>
      <c r="CZ101" s="435">
        <v>16.77974488972734</v>
      </c>
      <c r="DA101" s="435">
        <v>16.846572854896056</v>
      </c>
      <c r="DB101" s="363">
        <v>16.913400820064773</v>
      </c>
      <c r="DC101" s="435">
        <v>16.96817999939519</v>
      </c>
      <c r="DD101" s="435">
        <v>17.022959178725603</v>
      </c>
      <c r="DE101" s="435">
        <v>17.07773835805602</v>
      </c>
      <c r="DF101" s="435">
        <v>17.132517537386434</v>
      </c>
      <c r="DG101" s="363">
        <v>17.187296716716851</v>
      </c>
      <c r="DH101" s="362">
        <v>0</v>
      </c>
      <c r="DI101" s="362">
        <v>0</v>
      </c>
      <c r="DJ101" s="362">
        <v>0</v>
      </c>
      <c r="DK101" s="363">
        <v>0</v>
      </c>
      <c r="DL101" s="363">
        <v>0</v>
      </c>
      <c r="DM101" s="363">
        <v>0</v>
      </c>
      <c r="DN101" s="363">
        <v>0</v>
      </c>
      <c r="DO101" s="363">
        <v>0</v>
      </c>
      <c r="DP101" s="363">
        <v>0</v>
      </c>
      <c r="DQ101" s="363">
        <v>0</v>
      </c>
      <c r="DR101" s="363">
        <v>0</v>
      </c>
      <c r="DS101" s="363">
        <v>0</v>
      </c>
      <c r="DT101" s="363">
        <v>0</v>
      </c>
      <c r="DU101" s="363">
        <v>0</v>
      </c>
      <c r="DV101" s="363">
        <v>0</v>
      </c>
      <c r="DW101" s="435">
        <v>0</v>
      </c>
      <c r="DX101" s="435">
        <v>0</v>
      </c>
      <c r="DY101" s="435">
        <v>0</v>
      </c>
      <c r="DZ101" s="435">
        <v>0</v>
      </c>
      <c r="EA101" s="363">
        <v>0</v>
      </c>
      <c r="EB101" s="435">
        <v>0</v>
      </c>
      <c r="EC101" s="435">
        <v>0</v>
      </c>
      <c r="ED101" s="435">
        <v>0</v>
      </c>
      <c r="EE101" s="435">
        <v>0</v>
      </c>
      <c r="EF101" s="363">
        <v>0</v>
      </c>
      <c r="EG101" s="364">
        <v>0</v>
      </c>
      <c r="EH101" s="364">
        <v>0</v>
      </c>
      <c r="EI101" s="364">
        <v>0</v>
      </c>
      <c r="EJ101" s="365">
        <v>0</v>
      </c>
      <c r="EK101" s="365">
        <v>0</v>
      </c>
      <c r="EL101" s="365">
        <v>0</v>
      </c>
      <c r="EM101" s="365">
        <v>0</v>
      </c>
      <c r="EN101" s="365">
        <v>0</v>
      </c>
      <c r="EO101" s="365">
        <v>0</v>
      </c>
      <c r="EP101" s="365">
        <v>0</v>
      </c>
      <c r="EQ101" s="365">
        <v>0</v>
      </c>
      <c r="ER101" s="365">
        <v>0</v>
      </c>
      <c r="ES101" s="365">
        <v>0</v>
      </c>
      <c r="ET101" s="365">
        <v>0</v>
      </c>
      <c r="EU101" s="365">
        <v>0</v>
      </c>
      <c r="EV101" s="436">
        <v>0</v>
      </c>
      <c r="EW101" s="436">
        <v>0</v>
      </c>
      <c r="EX101" s="436">
        <v>0</v>
      </c>
      <c r="EY101" s="436">
        <v>0</v>
      </c>
      <c r="EZ101" s="365">
        <v>0</v>
      </c>
      <c r="FA101" s="436">
        <v>0</v>
      </c>
      <c r="FB101" s="436">
        <v>0</v>
      </c>
      <c r="FC101" s="436">
        <v>0</v>
      </c>
      <c r="FD101" s="436">
        <v>0</v>
      </c>
      <c r="FE101" s="365">
        <v>0</v>
      </c>
      <c r="FF101" s="364">
        <v>0</v>
      </c>
      <c r="FG101" s="364">
        <v>0</v>
      </c>
      <c r="FH101" s="364">
        <v>0</v>
      </c>
      <c r="FI101" s="365">
        <v>0</v>
      </c>
      <c r="FJ101" s="365">
        <v>0</v>
      </c>
      <c r="FK101" s="365">
        <v>0</v>
      </c>
      <c r="FL101" s="365">
        <v>0</v>
      </c>
      <c r="FM101" s="365">
        <v>0</v>
      </c>
      <c r="FN101" s="365">
        <v>0</v>
      </c>
      <c r="FO101" s="365">
        <v>0</v>
      </c>
      <c r="FP101" s="365">
        <v>0</v>
      </c>
      <c r="FQ101" s="365">
        <v>0</v>
      </c>
      <c r="FR101" s="365">
        <v>0</v>
      </c>
      <c r="FS101" s="365">
        <v>0</v>
      </c>
      <c r="FT101" s="365">
        <v>0</v>
      </c>
      <c r="FU101" s="436">
        <v>0</v>
      </c>
      <c r="FV101" s="436">
        <v>0</v>
      </c>
      <c r="FW101" s="436">
        <v>0</v>
      </c>
      <c r="FX101" s="436">
        <v>0</v>
      </c>
      <c r="FY101" s="365">
        <v>0</v>
      </c>
      <c r="FZ101" s="436">
        <v>0</v>
      </c>
      <c r="GA101" s="436">
        <v>0</v>
      </c>
      <c r="GB101" s="436">
        <v>0</v>
      </c>
      <c r="GC101" s="436">
        <v>0</v>
      </c>
      <c r="GD101" s="365">
        <v>0</v>
      </c>
    </row>
    <row r="102" spans="1:186" ht="15" x14ac:dyDescent="0.25">
      <c r="A102" s="357">
        <v>98</v>
      </c>
      <c r="B102" s="357">
        <v>88</v>
      </c>
      <c r="C102" s="357" t="s">
        <v>1012</v>
      </c>
      <c r="D102" s="2">
        <v>99709</v>
      </c>
      <c r="E102" s="268" t="s">
        <v>19</v>
      </c>
      <c r="F102" s="358" t="s">
        <v>915</v>
      </c>
      <c r="G102" s="49">
        <v>60</v>
      </c>
      <c r="H102" s="49">
        <v>31</v>
      </c>
      <c r="I102" s="49">
        <v>27</v>
      </c>
      <c r="J102" s="49">
        <v>4</v>
      </c>
      <c r="K102" s="49">
        <v>0</v>
      </c>
      <c r="L102" s="49">
        <v>48</v>
      </c>
      <c r="M102" s="49">
        <v>48</v>
      </c>
      <c r="N102" s="49">
        <v>0</v>
      </c>
      <c r="O102" s="49">
        <v>0</v>
      </c>
      <c r="P102" s="49">
        <v>0</v>
      </c>
      <c r="Q102" s="49">
        <v>48</v>
      </c>
      <c r="R102" s="49">
        <v>0</v>
      </c>
      <c r="S102" s="49">
        <v>1689.0416666666667</v>
      </c>
      <c r="T102" s="49">
        <v>1689.0416666666667</v>
      </c>
      <c r="U102" s="49">
        <v>0</v>
      </c>
      <c r="V102" s="49">
        <v>0</v>
      </c>
      <c r="W102" s="49">
        <v>0</v>
      </c>
      <c r="X102" s="49">
        <v>1689.0416666666667</v>
      </c>
      <c r="Y102" s="434">
        <v>81074</v>
      </c>
      <c r="Z102" s="434">
        <v>0</v>
      </c>
      <c r="AA102" s="49">
        <v>0</v>
      </c>
      <c r="AB102" s="49">
        <v>31</v>
      </c>
      <c r="AC102" s="49">
        <v>0</v>
      </c>
      <c r="AD102" s="285">
        <v>0</v>
      </c>
      <c r="AE102" s="285">
        <v>0</v>
      </c>
      <c r="AF102" s="359">
        <v>31</v>
      </c>
      <c r="AG102" s="360">
        <v>0</v>
      </c>
      <c r="AH102" s="360">
        <v>27</v>
      </c>
      <c r="AI102" s="361">
        <v>27</v>
      </c>
      <c r="AJ102" s="360">
        <v>0</v>
      </c>
      <c r="AK102" s="360">
        <v>0</v>
      </c>
      <c r="AL102" s="360">
        <v>29.51691024523992</v>
      </c>
      <c r="AM102" s="360">
        <v>29.51691024523992</v>
      </c>
      <c r="AN102" s="360">
        <v>0</v>
      </c>
      <c r="AO102" s="360">
        <v>0</v>
      </c>
      <c r="AP102" s="360">
        <v>25.75677498024536</v>
      </c>
      <c r="AQ102" s="360">
        <v>25.75677498024536</v>
      </c>
      <c r="AR102" s="360">
        <v>0</v>
      </c>
      <c r="AS102" s="360">
        <v>0</v>
      </c>
      <c r="AT102" s="360">
        <v>0</v>
      </c>
      <c r="AU102" s="360">
        <v>28.104773884695138</v>
      </c>
      <c r="AV102" s="360">
        <v>28.802188948364833</v>
      </c>
      <c r="AW102" s="360">
        <v>29.51691024523992</v>
      </c>
      <c r="AX102" s="360">
        <v>30.249367226479919</v>
      </c>
      <c r="AY102" s="360">
        <v>31</v>
      </c>
      <c r="AZ102" s="360">
        <v>24.570794717888642</v>
      </c>
      <c r="BA102" s="360">
        <v>25.156796907286491</v>
      </c>
      <c r="BB102" s="360">
        <v>25.75677498024536</v>
      </c>
      <c r="BC102" s="360">
        <v>26.37106225518086</v>
      </c>
      <c r="BD102" s="360">
        <v>27</v>
      </c>
      <c r="BE102" s="360">
        <v>0</v>
      </c>
      <c r="BF102" s="360">
        <v>0</v>
      </c>
      <c r="BG102" s="360">
        <v>0</v>
      </c>
      <c r="BH102" s="360">
        <v>0</v>
      </c>
      <c r="BI102" s="360">
        <v>0</v>
      </c>
      <c r="BJ102" s="362">
        <v>31.289643050583965</v>
      </c>
      <c r="BK102" s="362">
        <v>31.5819923300954</v>
      </c>
      <c r="BL102" s="362">
        <v>31.877073123708566</v>
      </c>
      <c r="BM102" s="363">
        <v>31.667495353832408</v>
      </c>
      <c r="BN102" s="363">
        <v>31.459295465841944</v>
      </c>
      <c r="BO102" s="363">
        <v>31.358835752701808</v>
      </c>
      <c r="BP102" s="363">
        <v>31.258696839942449</v>
      </c>
      <c r="BQ102" s="363">
        <v>31.158877703144402</v>
      </c>
      <c r="BR102" s="363">
        <v>31.059377321159523</v>
      </c>
      <c r="BS102" s="363">
        <v>30.960194676100521</v>
      </c>
      <c r="BT102" s="363">
        <v>31.18920624017564</v>
      </c>
      <c r="BU102" s="363">
        <v>31.419911795423253</v>
      </c>
      <c r="BV102" s="363">
        <v>31.652323872241578</v>
      </c>
      <c r="BW102" s="363">
        <v>31.886455093715782</v>
      </c>
      <c r="BX102" s="363">
        <v>32.122318176303551</v>
      </c>
      <c r="BY102" s="435">
        <v>32.251797358817939</v>
      </c>
      <c r="BZ102" s="435">
        <v>32.381276541332326</v>
      </c>
      <c r="CA102" s="435">
        <v>32.510755723846721</v>
      </c>
      <c r="CB102" s="435">
        <v>32.640234906361108</v>
      </c>
      <c r="CC102" s="363">
        <v>32.769714088875496</v>
      </c>
      <c r="CD102" s="435">
        <v>32.875848748828176</v>
      </c>
      <c r="CE102" s="435">
        <v>32.981983408780856</v>
      </c>
      <c r="CF102" s="435">
        <v>33.088118068733536</v>
      </c>
      <c r="CG102" s="435">
        <v>33.194252728686216</v>
      </c>
      <c r="CH102" s="363">
        <v>33.300387388638896</v>
      </c>
      <c r="CI102" s="362">
        <v>27.252269753734421</v>
      </c>
      <c r="CJ102" s="362">
        <v>27.506896545566963</v>
      </c>
      <c r="CK102" s="362">
        <v>27.763902398068751</v>
      </c>
      <c r="CL102" s="363">
        <v>27.581366921079837</v>
      </c>
      <c r="CM102" s="363">
        <v>27.400031534765564</v>
      </c>
      <c r="CN102" s="363">
        <v>27.312534365256415</v>
      </c>
      <c r="CO102" s="363">
        <v>27.225316602530519</v>
      </c>
      <c r="CP102" s="363">
        <v>27.138377354351576</v>
      </c>
      <c r="CQ102" s="363">
        <v>27.051715731332486</v>
      </c>
      <c r="CR102" s="363">
        <v>26.96533084692626</v>
      </c>
      <c r="CS102" s="363">
        <v>27.16479253176588</v>
      </c>
      <c r="CT102" s="363">
        <v>27.365729628271868</v>
      </c>
      <c r="CU102" s="363">
        <v>27.568153050016857</v>
      </c>
      <c r="CV102" s="363">
        <v>27.772073791300841</v>
      </c>
      <c r="CW102" s="363">
        <v>27.977502927748258</v>
      </c>
      <c r="CX102" s="435">
        <v>28.090275118970467</v>
      </c>
      <c r="CY102" s="435">
        <v>28.203047310192677</v>
      </c>
      <c r="CZ102" s="435">
        <v>28.315819501414882</v>
      </c>
      <c r="DA102" s="435">
        <v>28.428591692637092</v>
      </c>
      <c r="DB102" s="363">
        <v>28.541363883859301</v>
      </c>
      <c r="DC102" s="435">
        <v>28.633803748979378</v>
      </c>
      <c r="DD102" s="435">
        <v>28.726243614099456</v>
      </c>
      <c r="DE102" s="435">
        <v>28.81868347921953</v>
      </c>
      <c r="DF102" s="435">
        <v>28.911123344339607</v>
      </c>
      <c r="DG102" s="363">
        <v>29.003563209459685</v>
      </c>
      <c r="DH102" s="362">
        <v>0</v>
      </c>
      <c r="DI102" s="362">
        <v>0</v>
      </c>
      <c r="DJ102" s="362">
        <v>0</v>
      </c>
      <c r="DK102" s="363">
        <v>0</v>
      </c>
      <c r="DL102" s="363">
        <v>0</v>
      </c>
      <c r="DM102" s="363">
        <v>0</v>
      </c>
      <c r="DN102" s="363">
        <v>0</v>
      </c>
      <c r="DO102" s="363">
        <v>0</v>
      </c>
      <c r="DP102" s="363">
        <v>0</v>
      </c>
      <c r="DQ102" s="363">
        <v>0</v>
      </c>
      <c r="DR102" s="363">
        <v>0</v>
      </c>
      <c r="DS102" s="363">
        <v>0</v>
      </c>
      <c r="DT102" s="363">
        <v>0</v>
      </c>
      <c r="DU102" s="363">
        <v>0</v>
      </c>
      <c r="DV102" s="363">
        <v>0</v>
      </c>
      <c r="DW102" s="435">
        <v>0</v>
      </c>
      <c r="DX102" s="435">
        <v>0</v>
      </c>
      <c r="DY102" s="435">
        <v>0</v>
      </c>
      <c r="DZ102" s="435">
        <v>0</v>
      </c>
      <c r="EA102" s="363">
        <v>0</v>
      </c>
      <c r="EB102" s="435">
        <v>0</v>
      </c>
      <c r="EC102" s="435">
        <v>0</v>
      </c>
      <c r="ED102" s="435">
        <v>0</v>
      </c>
      <c r="EE102" s="435">
        <v>0</v>
      </c>
      <c r="EF102" s="363">
        <v>0</v>
      </c>
      <c r="EG102" s="364">
        <v>0</v>
      </c>
      <c r="EH102" s="364">
        <v>0</v>
      </c>
      <c r="EI102" s="364">
        <v>0</v>
      </c>
      <c r="EJ102" s="365">
        <v>0</v>
      </c>
      <c r="EK102" s="365">
        <v>0</v>
      </c>
      <c r="EL102" s="365">
        <v>0</v>
      </c>
      <c r="EM102" s="365">
        <v>0</v>
      </c>
      <c r="EN102" s="365">
        <v>0</v>
      </c>
      <c r="EO102" s="365">
        <v>0</v>
      </c>
      <c r="EP102" s="365">
        <v>0</v>
      </c>
      <c r="EQ102" s="365">
        <v>0</v>
      </c>
      <c r="ER102" s="365">
        <v>0</v>
      </c>
      <c r="ES102" s="365">
        <v>0</v>
      </c>
      <c r="ET102" s="365">
        <v>0</v>
      </c>
      <c r="EU102" s="365">
        <v>0</v>
      </c>
      <c r="EV102" s="436">
        <v>0</v>
      </c>
      <c r="EW102" s="436">
        <v>0</v>
      </c>
      <c r="EX102" s="436">
        <v>0</v>
      </c>
      <c r="EY102" s="436">
        <v>0</v>
      </c>
      <c r="EZ102" s="365">
        <v>0</v>
      </c>
      <c r="FA102" s="436">
        <v>0</v>
      </c>
      <c r="FB102" s="436">
        <v>0</v>
      </c>
      <c r="FC102" s="436">
        <v>0</v>
      </c>
      <c r="FD102" s="436">
        <v>0</v>
      </c>
      <c r="FE102" s="365">
        <v>0</v>
      </c>
      <c r="FF102" s="364">
        <v>0</v>
      </c>
      <c r="FG102" s="364">
        <v>0</v>
      </c>
      <c r="FH102" s="364">
        <v>0</v>
      </c>
      <c r="FI102" s="365">
        <v>0</v>
      </c>
      <c r="FJ102" s="365">
        <v>0</v>
      </c>
      <c r="FK102" s="365">
        <v>0</v>
      </c>
      <c r="FL102" s="365">
        <v>0</v>
      </c>
      <c r="FM102" s="365">
        <v>0</v>
      </c>
      <c r="FN102" s="365">
        <v>0</v>
      </c>
      <c r="FO102" s="365">
        <v>0</v>
      </c>
      <c r="FP102" s="365">
        <v>0</v>
      </c>
      <c r="FQ102" s="365">
        <v>0</v>
      </c>
      <c r="FR102" s="365">
        <v>0</v>
      </c>
      <c r="FS102" s="365">
        <v>0</v>
      </c>
      <c r="FT102" s="365">
        <v>0</v>
      </c>
      <c r="FU102" s="436">
        <v>0</v>
      </c>
      <c r="FV102" s="436">
        <v>0</v>
      </c>
      <c r="FW102" s="436">
        <v>0</v>
      </c>
      <c r="FX102" s="436">
        <v>0</v>
      </c>
      <c r="FY102" s="365">
        <v>0</v>
      </c>
      <c r="FZ102" s="436">
        <v>0</v>
      </c>
      <c r="GA102" s="436">
        <v>0</v>
      </c>
      <c r="GB102" s="436">
        <v>0</v>
      </c>
      <c r="GC102" s="436">
        <v>0</v>
      </c>
      <c r="GD102" s="365">
        <v>0</v>
      </c>
    </row>
    <row r="103" spans="1:186" ht="15" x14ac:dyDescent="0.25">
      <c r="A103" s="357">
        <v>119</v>
      </c>
      <c r="B103" s="357">
        <v>88</v>
      </c>
      <c r="C103" s="357" t="s">
        <v>1013</v>
      </c>
      <c r="D103" s="2">
        <v>99705</v>
      </c>
      <c r="E103" s="268" t="s">
        <v>218</v>
      </c>
      <c r="F103" s="358" t="s">
        <v>985</v>
      </c>
      <c r="G103" s="49">
        <v>16</v>
      </c>
      <c r="H103" s="49">
        <v>6</v>
      </c>
      <c r="I103" s="49">
        <v>6</v>
      </c>
      <c r="J103" s="49">
        <v>0</v>
      </c>
      <c r="K103" s="49">
        <v>0</v>
      </c>
      <c r="L103" s="49">
        <v>14</v>
      </c>
      <c r="M103" s="49">
        <v>14</v>
      </c>
      <c r="N103" s="49">
        <v>7</v>
      </c>
      <c r="O103" s="49">
        <v>0</v>
      </c>
      <c r="P103" s="49">
        <v>0</v>
      </c>
      <c r="Q103" s="49">
        <v>21</v>
      </c>
      <c r="R103" s="49">
        <v>0</v>
      </c>
      <c r="S103" s="49">
        <v>1348.9285714285713</v>
      </c>
      <c r="T103" s="49">
        <v>1348.9285714285713</v>
      </c>
      <c r="U103" s="49">
        <v>3902.8571428571427</v>
      </c>
      <c r="V103" s="49">
        <v>0</v>
      </c>
      <c r="W103" s="49">
        <v>0</v>
      </c>
      <c r="X103" s="49">
        <v>2200.2380952380954</v>
      </c>
      <c r="Y103" s="434">
        <v>18885</v>
      </c>
      <c r="Z103" s="434">
        <v>27320</v>
      </c>
      <c r="AA103" s="49">
        <v>0</v>
      </c>
      <c r="AB103" s="49">
        <v>6</v>
      </c>
      <c r="AC103" s="49">
        <v>0</v>
      </c>
      <c r="AD103" s="285">
        <v>7</v>
      </c>
      <c r="AE103" s="285">
        <v>0</v>
      </c>
      <c r="AF103" s="359">
        <v>13</v>
      </c>
      <c r="AG103" s="360">
        <v>0</v>
      </c>
      <c r="AH103" s="360">
        <v>6</v>
      </c>
      <c r="AI103" s="361">
        <v>6</v>
      </c>
      <c r="AJ103" s="360">
        <v>0</v>
      </c>
      <c r="AK103" s="360">
        <v>0</v>
      </c>
      <c r="AL103" s="360">
        <v>5.5689102013251635</v>
      </c>
      <c r="AM103" s="360">
        <v>5.5689102013251635</v>
      </c>
      <c r="AN103" s="360">
        <v>0</v>
      </c>
      <c r="AO103" s="360">
        <v>0</v>
      </c>
      <c r="AP103" s="360">
        <v>5.5974736954112361</v>
      </c>
      <c r="AQ103" s="360">
        <v>5.5974736954112361</v>
      </c>
      <c r="AR103" s="360">
        <v>0</v>
      </c>
      <c r="AS103" s="360">
        <v>6.5807536713443655</v>
      </c>
      <c r="AT103" s="360">
        <v>0</v>
      </c>
      <c r="AU103" s="360">
        <v>5.1687934717372448</v>
      </c>
      <c r="AV103" s="360">
        <v>5.3651231759672076</v>
      </c>
      <c r="AW103" s="360">
        <v>5.5689102013251635</v>
      </c>
      <c r="AX103" s="360">
        <v>5.7804378041763389</v>
      </c>
      <c r="AY103" s="360">
        <v>6</v>
      </c>
      <c r="AZ103" s="360">
        <v>5.2219519618034527</v>
      </c>
      <c r="BA103" s="360">
        <v>5.4064534350067159</v>
      </c>
      <c r="BB103" s="360">
        <v>5.5974736954112361</v>
      </c>
      <c r="BC103" s="360">
        <v>5.7952430641403998</v>
      </c>
      <c r="BD103" s="360">
        <v>6</v>
      </c>
      <c r="BE103" s="360">
        <v>6.1866169832731917</v>
      </c>
      <c r="BF103" s="360">
        <v>6.3806427909636545</v>
      </c>
      <c r="BG103" s="360">
        <v>6.5807536713443655</v>
      </c>
      <c r="BH103" s="360">
        <v>6.7871404655724161</v>
      </c>
      <c r="BI103" s="360">
        <v>7</v>
      </c>
      <c r="BJ103" s="362">
        <v>6.0616426334995595</v>
      </c>
      <c r="BK103" s="362">
        <v>6.1239185693765794</v>
      </c>
      <c r="BL103" s="362">
        <v>6.1868343140354511</v>
      </c>
      <c r="BM103" s="363">
        <v>6.1461585928644098</v>
      </c>
      <c r="BN103" s="363">
        <v>6.1057502967137918</v>
      </c>
      <c r="BO103" s="363">
        <v>6.0862526597123798</v>
      </c>
      <c r="BP103" s="363">
        <v>6.0668172849768922</v>
      </c>
      <c r="BQ103" s="363">
        <v>6.0474439736837597</v>
      </c>
      <c r="BR103" s="363">
        <v>6.0281325276443223</v>
      </c>
      <c r="BS103" s="363">
        <v>6.0088827493028019</v>
      </c>
      <c r="BT103" s="363">
        <v>6.0533302617024614</v>
      </c>
      <c r="BU103" s="363">
        <v>6.0981065509215293</v>
      </c>
      <c r="BV103" s="363">
        <v>6.1432140489115623</v>
      </c>
      <c r="BW103" s="363">
        <v>6.1886552056131885</v>
      </c>
      <c r="BX103" s="363">
        <v>6.2344324890891585</v>
      </c>
      <c r="BY103" s="435">
        <v>6.2595623448392299</v>
      </c>
      <c r="BZ103" s="435">
        <v>6.2846922005893013</v>
      </c>
      <c r="CA103" s="435">
        <v>6.3098220563393728</v>
      </c>
      <c r="CB103" s="435">
        <v>6.3349519120894442</v>
      </c>
      <c r="CC103" s="363">
        <v>6.3600817678395156</v>
      </c>
      <c r="CD103" s="435">
        <v>6.3806808220110023</v>
      </c>
      <c r="CE103" s="435">
        <v>6.4012798761824898</v>
      </c>
      <c r="CF103" s="435">
        <v>6.4218789303539765</v>
      </c>
      <c r="CG103" s="435">
        <v>6.4424779845254641</v>
      </c>
      <c r="CH103" s="363">
        <v>6.4630770386969507</v>
      </c>
      <c r="CI103" s="362">
        <v>6.0616426334995595</v>
      </c>
      <c r="CJ103" s="362">
        <v>6.1239185693765794</v>
      </c>
      <c r="CK103" s="362">
        <v>6.1868343140354511</v>
      </c>
      <c r="CL103" s="363">
        <v>6.1461585928644098</v>
      </c>
      <c r="CM103" s="363">
        <v>6.1057502967137918</v>
      </c>
      <c r="CN103" s="363">
        <v>6.0862526597123798</v>
      </c>
      <c r="CO103" s="363">
        <v>6.0668172849768922</v>
      </c>
      <c r="CP103" s="363">
        <v>6.0474439736837597</v>
      </c>
      <c r="CQ103" s="363">
        <v>6.0281325276443223</v>
      </c>
      <c r="CR103" s="363">
        <v>6.0088827493028019</v>
      </c>
      <c r="CS103" s="363">
        <v>6.0533302617024614</v>
      </c>
      <c r="CT103" s="363">
        <v>6.0981065509215293</v>
      </c>
      <c r="CU103" s="363">
        <v>6.1432140489115623</v>
      </c>
      <c r="CV103" s="363">
        <v>6.1886552056131885</v>
      </c>
      <c r="CW103" s="363">
        <v>6.2344324890891585</v>
      </c>
      <c r="CX103" s="435">
        <v>6.2595623448392299</v>
      </c>
      <c r="CY103" s="435">
        <v>6.2846922005893013</v>
      </c>
      <c r="CZ103" s="435">
        <v>6.3098220563393728</v>
      </c>
      <c r="DA103" s="435">
        <v>6.3349519120894442</v>
      </c>
      <c r="DB103" s="363">
        <v>6.3600817678395156</v>
      </c>
      <c r="DC103" s="435">
        <v>6.3806808220110023</v>
      </c>
      <c r="DD103" s="435">
        <v>6.4012798761824898</v>
      </c>
      <c r="DE103" s="435">
        <v>6.4218789303539765</v>
      </c>
      <c r="DF103" s="435">
        <v>6.4424779845254641</v>
      </c>
      <c r="DG103" s="363">
        <v>6.4630770386969507</v>
      </c>
      <c r="DH103" s="362">
        <v>7.0719164057494863</v>
      </c>
      <c r="DI103" s="362">
        <v>7.144571664272676</v>
      </c>
      <c r="DJ103" s="362">
        <v>7.217973366374693</v>
      </c>
      <c r="DK103" s="363">
        <v>7.1705183583418117</v>
      </c>
      <c r="DL103" s="363">
        <v>7.1233753461660907</v>
      </c>
      <c r="DM103" s="363">
        <v>7.100628102997776</v>
      </c>
      <c r="DN103" s="363">
        <v>7.0779534991397073</v>
      </c>
      <c r="DO103" s="363">
        <v>7.0553513026310526</v>
      </c>
      <c r="DP103" s="363">
        <v>7.0328212822517093</v>
      </c>
      <c r="DQ103" s="363">
        <v>7.0103632075199362</v>
      </c>
      <c r="DR103" s="363">
        <v>7.0622186386528716</v>
      </c>
      <c r="DS103" s="363">
        <v>7.114457642741784</v>
      </c>
      <c r="DT103" s="363">
        <v>7.1670830570634898</v>
      </c>
      <c r="DU103" s="363">
        <v>7.2200977398820534</v>
      </c>
      <c r="DV103" s="363">
        <v>7.2735045706040173</v>
      </c>
      <c r="DW103" s="435">
        <v>7.3028227356457673</v>
      </c>
      <c r="DX103" s="435">
        <v>7.3321409006875173</v>
      </c>
      <c r="DY103" s="435">
        <v>7.3614590657292682</v>
      </c>
      <c r="DZ103" s="435">
        <v>7.3907772307710182</v>
      </c>
      <c r="EA103" s="363">
        <v>7.4200953958127682</v>
      </c>
      <c r="EB103" s="435">
        <v>7.4441276256795028</v>
      </c>
      <c r="EC103" s="435">
        <v>7.4681598555462383</v>
      </c>
      <c r="ED103" s="435">
        <v>7.4921920854129729</v>
      </c>
      <c r="EE103" s="435">
        <v>7.5162243152797084</v>
      </c>
      <c r="EF103" s="363">
        <v>7.5402565451464429</v>
      </c>
      <c r="EG103" s="364">
        <v>0</v>
      </c>
      <c r="EH103" s="364">
        <v>0</v>
      </c>
      <c r="EI103" s="364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436">
        <v>0</v>
      </c>
      <c r="EW103" s="436">
        <v>0</v>
      </c>
      <c r="EX103" s="436">
        <v>0</v>
      </c>
      <c r="EY103" s="436">
        <v>0</v>
      </c>
      <c r="EZ103" s="365">
        <v>0</v>
      </c>
      <c r="FA103" s="436">
        <v>0</v>
      </c>
      <c r="FB103" s="436">
        <v>0</v>
      </c>
      <c r="FC103" s="436">
        <v>0</v>
      </c>
      <c r="FD103" s="436">
        <v>0</v>
      </c>
      <c r="FE103" s="365">
        <v>0</v>
      </c>
      <c r="FF103" s="364">
        <v>0</v>
      </c>
      <c r="FG103" s="364">
        <v>0</v>
      </c>
      <c r="FH103" s="364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5">
        <v>0</v>
      </c>
      <c r="FP103" s="365">
        <v>0</v>
      </c>
      <c r="FQ103" s="365">
        <v>0</v>
      </c>
      <c r="FR103" s="365">
        <v>0</v>
      </c>
      <c r="FS103" s="365">
        <v>0</v>
      </c>
      <c r="FT103" s="365">
        <v>0</v>
      </c>
      <c r="FU103" s="436">
        <v>0</v>
      </c>
      <c r="FV103" s="436">
        <v>0</v>
      </c>
      <c r="FW103" s="436">
        <v>0</v>
      </c>
      <c r="FX103" s="436">
        <v>0</v>
      </c>
      <c r="FY103" s="365">
        <v>0</v>
      </c>
      <c r="FZ103" s="436">
        <v>0</v>
      </c>
      <c r="GA103" s="436">
        <v>0</v>
      </c>
      <c r="GB103" s="436">
        <v>0</v>
      </c>
      <c r="GC103" s="436">
        <v>0</v>
      </c>
      <c r="GD103" s="365">
        <v>0</v>
      </c>
    </row>
    <row r="104" spans="1:186" ht="15" x14ac:dyDescent="0.25">
      <c r="A104" s="357">
        <v>120</v>
      </c>
      <c r="B104" s="357">
        <v>88</v>
      </c>
      <c r="C104" s="357" t="s">
        <v>1014</v>
      </c>
      <c r="D104" s="2">
        <v>99705</v>
      </c>
      <c r="E104" s="268" t="s">
        <v>218</v>
      </c>
      <c r="F104" s="358" t="s">
        <v>985</v>
      </c>
      <c r="G104" s="49">
        <v>59</v>
      </c>
      <c r="H104" s="49">
        <v>34</v>
      </c>
      <c r="I104" s="49">
        <v>21</v>
      </c>
      <c r="J104" s="49">
        <v>13</v>
      </c>
      <c r="K104" s="49">
        <v>0</v>
      </c>
      <c r="L104" s="49">
        <v>44</v>
      </c>
      <c r="M104" s="49">
        <v>44</v>
      </c>
      <c r="N104" s="49">
        <v>6</v>
      </c>
      <c r="O104" s="49">
        <v>0</v>
      </c>
      <c r="P104" s="49">
        <v>0</v>
      </c>
      <c r="Q104" s="49">
        <v>50</v>
      </c>
      <c r="R104" s="49">
        <v>0</v>
      </c>
      <c r="S104" s="49">
        <v>2236.7954545454545</v>
      </c>
      <c r="T104" s="49">
        <v>2236.7954545454545</v>
      </c>
      <c r="U104" s="49">
        <v>3832.5</v>
      </c>
      <c r="V104" s="49">
        <v>0</v>
      </c>
      <c r="W104" s="49">
        <v>0</v>
      </c>
      <c r="X104" s="49">
        <v>2428.2800000000002</v>
      </c>
      <c r="Y104" s="434">
        <v>98419</v>
      </c>
      <c r="Z104" s="434">
        <v>22995</v>
      </c>
      <c r="AA104" s="49">
        <v>0</v>
      </c>
      <c r="AB104" s="49">
        <v>34</v>
      </c>
      <c r="AC104" s="49">
        <v>0</v>
      </c>
      <c r="AD104" s="285">
        <v>6</v>
      </c>
      <c r="AE104" s="285">
        <v>0</v>
      </c>
      <c r="AF104" s="359">
        <v>40</v>
      </c>
      <c r="AG104" s="360">
        <v>0</v>
      </c>
      <c r="AH104" s="360">
        <v>21</v>
      </c>
      <c r="AI104" s="361">
        <v>21</v>
      </c>
      <c r="AJ104" s="360">
        <v>0</v>
      </c>
      <c r="AK104" s="360">
        <v>0</v>
      </c>
      <c r="AL104" s="360">
        <v>31.557157807509256</v>
      </c>
      <c r="AM104" s="360">
        <v>31.557157807509256</v>
      </c>
      <c r="AN104" s="360">
        <v>0</v>
      </c>
      <c r="AO104" s="360">
        <v>0</v>
      </c>
      <c r="AP104" s="360">
        <v>19.591157933939325</v>
      </c>
      <c r="AQ104" s="360">
        <v>19.591157933939325</v>
      </c>
      <c r="AR104" s="360">
        <v>0</v>
      </c>
      <c r="AS104" s="360">
        <v>5.6406460040094561</v>
      </c>
      <c r="AT104" s="360">
        <v>0</v>
      </c>
      <c r="AU104" s="360">
        <v>29.289829673177721</v>
      </c>
      <c r="AV104" s="360">
        <v>30.402364663814176</v>
      </c>
      <c r="AW104" s="360">
        <v>31.557157807509256</v>
      </c>
      <c r="AX104" s="360">
        <v>32.755814223665922</v>
      </c>
      <c r="AY104" s="360">
        <v>34</v>
      </c>
      <c r="AZ104" s="360">
        <v>18.276831866312083</v>
      </c>
      <c r="BA104" s="360">
        <v>18.922587022523505</v>
      </c>
      <c r="BB104" s="360">
        <v>19.591157933939325</v>
      </c>
      <c r="BC104" s="360">
        <v>20.283350724491399</v>
      </c>
      <c r="BD104" s="360">
        <v>21</v>
      </c>
      <c r="BE104" s="360">
        <v>5.302814557091307</v>
      </c>
      <c r="BF104" s="360">
        <v>5.4691223922545618</v>
      </c>
      <c r="BG104" s="360">
        <v>5.6406460040094561</v>
      </c>
      <c r="BH104" s="360">
        <v>5.8175489704906429</v>
      </c>
      <c r="BI104" s="360">
        <v>6</v>
      </c>
      <c r="BJ104" s="362">
        <v>34.349308256497508</v>
      </c>
      <c r="BK104" s="362">
        <v>34.702205226467285</v>
      </c>
      <c r="BL104" s="362">
        <v>35.058727779534223</v>
      </c>
      <c r="BM104" s="363">
        <v>34.82823202623166</v>
      </c>
      <c r="BN104" s="363">
        <v>34.599251681378156</v>
      </c>
      <c r="BO104" s="363">
        <v>34.488765071703483</v>
      </c>
      <c r="BP104" s="363">
        <v>34.378631281535725</v>
      </c>
      <c r="BQ104" s="363">
        <v>34.268849184207973</v>
      </c>
      <c r="BR104" s="363">
        <v>34.159417656651165</v>
      </c>
      <c r="BS104" s="363">
        <v>34.050335579382548</v>
      </c>
      <c r="BT104" s="363">
        <v>34.302204816313946</v>
      </c>
      <c r="BU104" s="363">
        <v>34.555937121888661</v>
      </c>
      <c r="BV104" s="363">
        <v>34.811546277165519</v>
      </c>
      <c r="BW104" s="363">
        <v>35.069046165141401</v>
      </c>
      <c r="BX104" s="363">
        <v>35.328450771505231</v>
      </c>
      <c r="BY104" s="435">
        <v>35.470853287422301</v>
      </c>
      <c r="BZ104" s="435">
        <v>35.613255803339371</v>
      </c>
      <c r="CA104" s="435">
        <v>35.755658319256447</v>
      </c>
      <c r="CB104" s="435">
        <v>35.898060835173517</v>
      </c>
      <c r="CC104" s="363">
        <v>36.040463351090587</v>
      </c>
      <c r="CD104" s="435">
        <v>36.157191324729013</v>
      </c>
      <c r="CE104" s="435">
        <v>36.273919298367439</v>
      </c>
      <c r="CF104" s="435">
        <v>36.390647272005872</v>
      </c>
      <c r="CG104" s="435">
        <v>36.507375245644297</v>
      </c>
      <c r="CH104" s="363">
        <v>36.624103219282723</v>
      </c>
      <c r="CI104" s="362">
        <v>21.215749217248458</v>
      </c>
      <c r="CJ104" s="362">
        <v>21.433714992818029</v>
      </c>
      <c r="CK104" s="362">
        <v>21.653920099124079</v>
      </c>
      <c r="CL104" s="363">
        <v>21.511555075025434</v>
      </c>
      <c r="CM104" s="363">
        <v>21.37012603849827</v>
      </c>
      <c r="CN104" s="363">
        <v>21.30188430899333</v>
      </c>
      <c r="CO104" s="363">
        <v>21.233860497419123</v>
      </c>
      <c r="CP104" s="363">
        <v>21.166053907893158</v>
      </c>
      <c r="CQ104" s="363">
        <v>21.098463846755131</v>
      </c>
      <c r="CR104" s="363">
        <v>21.031089622559808</v>
      </c>
      <c r="CS104" s="363">
        <v>21.186655915958614</v>
      </c>
      <c r="CT104" s="363">
        <v>21.343372928225349</v>
      </c>
      <c r="CU104" s="363">
        <v>21.501249171190469</v>
      </c>
      <c r="CV104" s="363">
        <v>21.66029321964616</v>
      </c>
      <c r="CW104" s="363">
        <v>21.820513711812055</v>
      </c>
      <c r="CX104" s="435">
        <v>21.908468206937304</v>
      </c>
      <c r="CY104" s="435">
        <v>21.996422702062553</v>
      </c>
      <c r="CZ104" s="435">
        <v>22.084377197187806</v>
      </c>
      <c r="DA104" s="435">
        <v>22.172331692313055</v>
      </c>
      <c r="DB104" s="363">
        <v>22.260286187438304</v>
      </c>
      <c r="DC104" s="435">
        <v>22.332382877038508</v>
      </c>
      <c r="DD104" s="435">
        <v>22.404479566638713</v>
      </c>
      <c r="DE104" s="435">
        <v>22.476576256238921</v>
      </c>
      <c r="DF104" s="435">
        <v>22.548672945839126</v>
      </c>
      <c r="DG104" s="363">
        <v>22.620769635439331</v>
      </c>
      <c r="DH104" s="362">
        <v>6.0616426334995595</v>
      </c>
      <c r="DI104" s="362">
        <v>6.1239185693765794</v>
      </c>
      <c r="DJ104" s="362">
        <v>6.1868343140354511</v>
      </c>
      <c r="DK104" s="363">
        <v>6.1461585928644098</v>
      </c>
      <c r="DL104" s="363">
        <v>6.1057502967137918</v>
      </c>
      <c r="DM104" s="363">
        <v>6.0862526597123798</v>
      </c>
      <c r="DN104" s="363">
        <v>6.0668172849768922</v>
      </c>
      <c r="DO104" s="363">
        <v>6.0474439736837597</v>
      </c>
      <c r="DP104" s="363">
        <v>6.0281325276443223</v>
      </c>
      <c r="DQ104" s="363">
        <v>6.0088827493028019</v>
      </c>
      <c r="DR104" s="363">
        <v>6.0533302617024614</v>
      </c>
      <c r="DS104" s="363">
        <v>6.0981065509215293</v>
      </c>
      <c r="DT104" s="363">
        <v>6.1432140489115623</v>
      </c>
      <c r="DU104" s="363">
        <v>6.1886552056131885</v>
      </c>
      <c r="DV104" s="363">
        <v>6.2344324890891585</v>
      </c>
      <c r="DW104" s="435">
        <v>6.2595623448392299</v>
      </c>
      <c r="DX104" s="435">
        <v>6.2846922005893013</v>
      </c>
      <c r="DY104" s="435">
        <v>6.3098220563393728</v>
      </c>
      <c r="DZ104" s="435">
        <v>6.3349519120894442</v>
      </c>
      <c r="EA104" s="363">
        <v>6.3600817678395156</v>
      </c>
      <c r="EB104" s="435">
        <v>6.3806808220110023</v>
      </c>
      <c r="EC104" s="435">
        <v>6.4012798761824898</v>
      </c>
      <c r="ED104" s="435">
        <v>6.4218789303539765</v>
      </c>
      <c r="EE104" s="435">
        <v>6.4424779845254641</v>
      </c>
      <c r="EF104" s="363">
        <v>6.4630770386969507</v>
      </c>
      <c r="EG104" s="364">
        <v>0</v>
      </c>
      <c r="EH104" s="364">
        <v>0</v>
      </c>
      <c r="EI104" s="364">
        <v>0</v>
      </c>
      <c r="EJ104" s="365">
        <v>0</v>
      </c>
      <c r="EK104" s="365">
        <v>0</v>
      </c>
      <c r="EL104" s="365">
        <v>0</v>
      </c>
      <c r="EM104" s="365">
        <v>0</v>
      </c>
      <c r="EN104" s="365">
        <v>0</v>
      </c>
      <c r="EO104" s="365">
        <v>0</v>
      </c>
      <c r="EP104" s="365">
        <v>0</v>
      </c>
      <c r="EQ104" s="365">
        <v>0</v>
      </c>
      <c r="ER104" s="365">
        <v>0</v>
      </c>
      <c r="ES104" s="365">
        <v>0</v>
      </c>
      <c r="ET104" s="365">
        <v>0</v>
      </c>
      <c r="EU104" s="365">
        <v>0</v>
      </c>
      <c r="EV104" s="436">
        <v>0</v>
      </c>
      <c r="EW104" s="436">
        <v>0</v>
      </c>
      <c r="EX104" s="436">
        <v>0</v>
      </c>
      <c r="EY104" s="436">
        <v>0</v>
      </c>
      <c r="EZ104" s="365">
        <v>0</v>
      </c>
      <c r="FA104" s="436">
        <v>0</v>
      </c>
      <c r="FB104" s="436">
        <v>0</v>
      </c>
      <c r="FC104" s="436">
        <v>0</v>
      </c>
      <c r="FD104" s="436">
        <v>0</v>
      </c>
      <c r="FE104" s="365">
        <v>0</v>
      </c>
      <c r="FF104" s="364">
        <v>0</v>
      </c>
      <c r="FG104" s="364">
        <v>0</v>
      </c>
      <c r="FH104" s="364">
        <v>0</v>
      </c>
      <c r="FI104" s="365">
        <v>0</v>
      </c>
      <c r="FJ104" s="365">
        <v>0</v>
      </c>
      <c r="FK104" s="365">
        <v>0</v>
      </c>
      <c r="FL104" s="365">
        <v>0</v>
      </c>
      <c r="FM104" s="365">
        <v>0</v>
      </c>
      <c r="FN104" s="365">
        <v>0</v>
      </c>
      <c r="FO104" s="365">
        <v>0</v>
      </c>
      <c r="FP104" s="365">
        <v>0</v>
      </c>
      <c r="FQ104" s="365">
        <v>0</v>
      </c>
      <c r="FR104" s="365">
        <v>0</v>
      </c>
      <c r="FS104" s="365">
        <v>0</v>
      </c>
      <c r="FT104" s="365">
        <v>0</v>
      </c>
      <c r="FU104" s="436">
        <v>0</v>
      </c>
      <c r="FV104" s="436">
        <v>0</v>
      </c>
      <c r="FW104" s="436">
        <v>0</v>
      </c>
      <c r="FX104" s="436">
        <v>0</v>
      </c>
      <c r="FY104" s="365">
        <v>0</v>
      </c>
      <c r="FZ104" s="436">
        <v>0</v>
      </c>
      <c r="GA104" s="436">
        <v>0</v>
      </c>
      <c r="GB104" s="436">
        <v>0</v>
      </c>
      <c r="GC104" s="436">
        <v>0</v>
      </c>
      <c r="GD104" s="365">
        <v>0</v>
      </c>
    </row>
    <row r="105" spans="1:186" ht="15" x14ac:dyDescent="0.25">
      <c r="A105" s="357">
        <v>121</v>
      </c>
      <c r="B105" s="357">
        <v>88</v>
      </c>
      <c r="C105" s="357" t="s">
        <v>1015</v>
      </c>
      <c r="D105" s="2">
        <v>99705</v>
      </c>
      <c r="E105" s="268" t="s">
        <v>218</v>
      </c>
      <c r="F105" s="358" t="s">
        <v>985</v>
      </c>
      <c r="G105" s="49">
        <v>57</v>
      </c>
      <c r="H105" s="49">
        <v>24</v>
      </c>
      <c r="I105" s="49">
        <v>23</v>
      </c>
      <c r="J105" s="49">
        <v>1</v>
      </c>
      <c r="K105" s="49">
        <v>0</v>
      </c>
      <c r="L105" s="49">
        <v>55</v>
      </c>
      <c r="M105" s="49">
        <v>55</v>
      </c>
      <c r="N105" s="49">
        <v>6</v>
      </c>
      <c r="O105" s="49">
        <v>0</v>
      </c>
      <c r="P105" s="49">
        <v>0</v>
      </c>
      <c r="Q105" s="49">
        <v>61</v>
      </c>
      <c r="R105" s="49">
        <v>0</v>
      </c>
      <c r="S105" s="49">
        <v>1767.5454545454545</v>
      </c>
      <c r="T105" s="49">
        <v>1767.5454545454545</v>
      </c>
      <c r="U105" s="49">
        <v>5690.5</v>
      </c>
      <c r="V105" s="49">
        <v>0</v>
      </c>
      <c r="W105" s="49">
        <v>0</v>
      </c>
      <c r="X105" s="49">
        <v>2153.4098360655739</v>
      </c>
      <c r="Y105" s="434">
        <v>97215</v>
      </c>
      <c r="Z105" s="434">
        <v>34143</v>
      </c>
      <c r="AA105" s="49">
        <v>0</v>
      </c>
      <c r="AB105" s="49">
        <v>24</v>
      </c>
      <c r="AC105" s="49">
        <v>0</v>
      </c>
      <c r="AD105" s="285">
        <v>6</v>
      </c>
      <c r="AE105" s="285">
        <v>0</v>
      </c>
      <c r="AF105" s="359">
        <v>30</v>
      </c>
      <c r="AG105" s="360">
        <v>0</v>
      </c>
      <c r="AH105" s="360">
        <v>23</v>
      </c>
      <c r="AI105" s="361">
        <v>23</v>
      </c>
      <c r="AJ105" s="360">
        <v>0</v>
      </c>
      <c r="AK105" s="360">
        <v>0</v>
      </c>
      <c r="AL105" s="360">
        <v>22.275640805300654</v>
      </c>
      <c r="AM105" s="360">
        <v>22.275640805300654</v>
      </c>
      <c r="AN105" s="360">
        <v>0</v>
      </c>
      <c r="AO105" s="360">
        <v>0</v>
      </c>
      <c r="AP105" s="360">
        <v>21.456982499076403</v>
      </c>
      <c r="AQ105" s="360">
        <v>21.456982499076403</v>
      </c>
      <c r="AR105" s="360">
        <v>0</v>
      </c>
      <c r="AS105" s="360">
        <v>5.6406460040094561</v>
      </c>
      <c r="AT105" s="360">
        <v>0</v>
      </c>
      <c r="AU105" s="360">
        <v>20.675173886948979</v>
      </c>
      <c r="AV105" s="360">
        <v>21.46049270386883</v>
      </c>
      <c r="AW105" s="360">
        <v>22.275640805300654</v>
      </c>
      <c r="AX105" s="360">
        <v>23.121751216705356</v>
      </c>
      <c r="AY105" s="360">
        <v>24</v>
      </c>
      <c r="AZ105" s="360">
        <v>20.017482520246567</v>
      </c>
      <c r="BA105" s="360">
        <v>20.724738167525746</v>
      </c>
      <c r="BB105" s="360">
        <v>21.456982499076403</v>
      </c>
      <c r="BC105" s="360">
        <v>22.2150984125382</v>
      </c>
      <c r="BD105" s="360">
        <v>23</v>
      </c>
      <c r="BE105" s="360">
        <v>5.302814557091307</v>
      </c>
      <c r="BF105" s="360">
        <v>5.4691223922545618</v>
      </c>
      <c r="BG105" s="360">
        <v>5.6406460040094561</v>
      </c>
      <c r="BH105" s="360">
        <v>5.8175489704906429</v>
      </c>
      <c r="BI105" s="360">
        <v>6</v>
      </c>
      <c r="BJ105" s="362">
        <v>24.676508898528645</v>
      </c>
      <c r="BK105" s="362">
        <v>25.372087142465141</v>
      </c>
      <c r="BL105" s="362">
        <v>26.087272256053552</v>
      </c>
      <c r="BM105" s="363">
        <v>25.915759886634994</v>
      </c>
      <c r="BN105" s="363">
        <v>25.745375135795133</v>
      </c>
      <c r="BO105" s="363">
        <v>25.663161819745657</v>
      </c>
      <c r="BP105" s="363">
        <v>25.581211037425064</v>
      </c>
      <c r="BQ105" s="363">
        <v>25.499521950478179</v>
      </c>
      <c r="BR105" s="363">
        <v>25.418093723226967</v>
      </c>
      <c r="BS105" s="363">
        <v>25.336925522661986</v>
      </c>
      <c r="BT105" s="363">
        <v>25.52434194570143</v>
      </c>
      <c r="BU105" s="363">
        <v>25.713144681993185</v>
      </c>
      <c r="BV105" s="363">
        <v>25.903343986051784</v>
      </c>
      <c r="BW105" s="363">
        <v>26.094950188244081</v>
      </c>
      <c r="BX105" s="363">
        <v>26.287973695350288</v>
      </c>
      <c r="BY105" s="435">
        <v>26.393935703613586</v>
      </c>
      <c r="BZ105" s="435">
        <v>26.49989771187688</v>
      </c>
      <c r="CA105" s="435">
        <v>26.605859720140177</v>
      </c>
      <c r="CB105" s="435">
        <v>26.711821728403471</v>
      </c>
      <c r="CC105" s="363">
        <v>26.817783736666769</v>
      </c>
      <c r="CD105" s="435">
        <v>26.904641264622494</v>
      </c>
      <c r="CE105" s="435">
        <v>26.99149879257822</v>
      </c>
      <c r="CF105" s="435">
        <v>27.078356320533949</v>
      </c>
      <c r="CG105" s="435">
        <v>27.165213848489675</v>
      </c>
      <c r="CH105" s="363">
        <v>27.2520713764454</v>
      </c>
      <c r="CI105" s="362">
        <v>23.648321027756619</v>
      </c>
      <c r="CJ105" s="362">
        <v>24.314916844862427</v>
      </c>
      <c r="CK105" s="362">
        <v>25.000302578717985</v>
      </c>
      <c r="CL105" s="363">
        <v>24.8359365580252</v>
      </c>
      <c r="CM105" s="363">
        <v>24.672651171803668</v>
      </c>
      <c r="CN105" s="363">
        <v>24.593863410589584</v>
      </c>
      <c r="CO105" s="363">
        <v>24.515327244199018</v>
      </c>
      <c r="CP105" s="363">
        <v>24.437041869208251</v>
      </c>
      <c r="CQ105" s="363">
        <v>24.359006484759174</v>
      </c>
      <c r="CR105" s="363">
        <v>24.281220292551069</v>
      </c>
      <c r="CS105" s="363">
        <v>24.460827697963868</v>
      </c>
      <c r="CT105" s="363">
        <v>24.641763653576799</v>
      </c>
      <c r="CU105" s="363">
        <v>24.824037986632959</v>
      </c>
      <c r="CV105" s="363">
        <v>25.00766059706724</v>
      </c>
      <c r="CW105" s="363">
        <v>25.192641458044022</v>
      </c>
      <c r="CX105" s="435">
        <v>25.294188382629681</v>
      </c>
      <c r="CY105" s="435">
        <v>25.39573530721534</v>
      </c>
      <c r="CZ105" s="435">
        <v>25.497282231800998</v>
      </c>
      <c r="DA105" s="435">
        <v>25.598829156386657</v>
      </c>
      <c r="DB105" s="363">
        <v>25.700376080972315</v>
      </c>
      <c r="DC105" s="435">
        <v>25.783614545263219</v>
      </c>
      <c r="DD105" s="435">
        <v>25.866853009554124</v>
      </c>
      <c r="DE105" s="435">
        <v>25.950091473845031</v>
      </c>
      <c r="DF105" s="435">
        <v>26.033329938135935</v>
      </c>
      <c r="DG105" s="363">
        <v>26.116568402426839</v>
      </c>
      <c r="DH105" s="362">
        <v>6.1691272246321613</v>
      </c>
      <c r="DI105" s="362">
        <v>6.3430217856162852</v>
      </c>
      <c r="DJ105" s="362">
        <v>6.521818064013388</v>
      </c>
      <c r="DK105" s="363">
        <v>6.4789399716587486</v>
      </c>
      <c r="DL105" s="363">
        <v>6.4363437839487831</v>
      </c>
      <c r="DM105" s="363">
        <v>6.4157904549364142</v>
      </c>
      <c r="DN105" s="363">
        <v>6.3953027593562659</v>
      </c>
      <c r="DO105" s="363">
        <v>6.3748804876195448</v>
      </c>
      <c r="DP105" s="363">
        <v>6.3545234308067418</v>
      </c>
      <c r="DQ105" s="363">
        <v>6.3342313806654964</v>
      </c>
      <c r="DR105" s="363">
        <v>6.3810854864253574</v>
      </c>
      <c r="DS105" s="363">
        <v>6.4282861704982963</v>
      </c>
      <c r="DT105" s="363">
        <v>6.4758359965129459</v>
      </c>
      <c r="DU105" s="363">
        <v>6.5237375470610202</v>
      </c>
      <c r="DV105" s="363">
        <v>6.5719934238375721</v>
      </c>
      <c r="DW105" s="435">
        <v>6.5984839259033965</v>
      </c>
      <c r="DX105" s="435">
        <v>6.62497442796922</v>
      </c>
      <c r="DY105" s="435">
        <v>6.6514649300350444</v>
      </c>
      <c r="DZ105" s="435">
        <v>6.6779554321008678</v>
      </c>
      <c r="EA105" s="363">
        <v>6.7044459341666922</v>
      </c>
      <c r="EB105" s="435">
        <v>6.7261603161556236</v>
      </c>
      <c r="EC105" s="435">
        <v>6.747874698144555</v>
      </c>
      <c r="ED105" s="435">
        <v>6.7695890801334873</v>
      </c>
      <c r="EE105" s="435">
        <v>6.7913034621224186</v>
      </c>
      <c r="EF105" s="363">
        <v>6.81301784411135</v>
      </c>
      <c r="EG105" s="364">
        <v>0</v>
      </c>
      <c r="EH105" s="364">
        <v>0</v>
      </c>
      <c r="EI105" s="364">
        <v>0</v>
      </c>
      <c r="EJ105" s="365">
        <v>0</v>
      </c>
      <c r="EK105" s="365">
        <v>0</v>
      </c>
      <c r="EL105" s="365">
        <v>0</v>
      </c>
      <c r="EM105" s="365">
        <v>0</v>
      </c>
      <c r="EN105" s="365">
        <v>0</v>
      </c>
      <c r="EO105" s="365">
        <v>0</v>
      </c>
      <c r="EP105" s="365">
        <v>0</v>
      </c>
      <c r="EQ105" s="365">
        <v>0</v>
      </c>
      <c r="ER105" s="365">
        <v>0</v>
      </c>
      <c r="ES105" s="365">
        <v>0</v>
      </c>
      <c r="ET105" s="365">
        <v>0</v>
      </c>
      <c r="EU105" s="365">
        <v>0</v>
      </c>
      <c r="EV105" s="436">
        <v>0</v>
      </c>
      <c r="EW105" s="436">
        <v>0</v>
      </c>
      <c r="EX105" s="436">
        <v>0</v>
      </c>
      <c r="EY105" s="436">
        <v>0</v>
      </c>
      <c r="EZ105" s="365">
        <v>0</v>
      </c>
      <c r="FA105" s="436">
        <v>0</v>
      </c>
      <c r="FB105" s="436">
        <v>0</v>
      </c>
      <c r="FC105" s="436">
        <v>0</v>
      </c>
      <c r="FD105" s="436">
        <v>0</v>
      </c>
      <c r="FE105" s="365">
        <v>0</v>
      </c>
      <c r="FF105" s="364">
        <v>0</v>
      </c>
      <c r="FG105" s="364">
        <v>0</v>
      </c>
      <c r="FH105" s="364">
        <v>0</v>
      </c>
      <c r="FI105" s="365">
        <v>0</v>
      </c>
      <c r="FJ105" s="365">
        <v>0</v>
      </c>
      <c r="FK105" s="365">
        <v>0</v>
      </c>
      <c r="FL105" s="365">
        <v>0</v>
      </c>
      <c r="FM105" s="365">
        <v>0</v>
      </c>
      <c r="FN105" s="365">
        <v>0</v>
      </c>
      <c r="FO105" s="365">
        <v>0</v>
      </c>
      <c r="FP105" s="365">
        <v>0</v>
      </c>
      <c r="FQ105" s="365">
        <v>0</v>
      </c>
      <c r="FR105" s="365">
        <v>0</v>
      </c>
      <c r="FS105" s="365">
        <v>0</v>
      </c>
      <c r="FT105" s="365">
        <v>0</v>
      </c>
      <c r="FU105" s="436">
        <v>0</v>
      </c>
      <c r="FV105" s="436">
        <v>0</v>
      </c>
      <c r="FW105" s="436">
        <v>0</v>
      </c>
      <c r="FX105" s="436">
        <v>0</v>
      </c>
      <c r="FY105" s="365">
        <v>0</v>
      </c>
      <c r="FZ105" s="436">
        <v>0</v>
      </c>
      <c r="GA105" s="436">
        <v>0</v>
      </c>
      <c r="GB105" s="436">
        <v>0</v>
      </c>
      <c r="GC105" s="436">
        <v>0</v>
      </c>
      <c r="GD105" s="365">
        <v>0</v>
      </c>
    </row>
    <row r="106" spans="1:186" ht="15" x14ac:dyDescent="0.25">
      <c r="A106" s="357">
        <v>122</v>
      </c>
      <c r="B106" s="357">
        <v>88</v>
      </c>
      <c r="C106" s="357" t="s">
        <v>1016</v>
      </c>
      <c r="D106" s="2">
        <v>99705</v>
      </c>
      <c r="E106" s="268" t="s">
        <v>218</v>
      </c>
      <c r="F106" s="358" t="s">
        <v>985</v>
      </c>
      <c r="G106" s="49">
        <v>304</v>
      </c>
      <c r="H106" s="49">
        <v>136</v>
      </c>
      <c r="I106" s="49">
        <v>114</v>
      </c>
      <c r="J106" s="49">
        <v>22</v>
      </c>
      <c r="K106" s="49">
        <v>7</v>
      </c>
      <c r="L106" s="49">
        <v>41</v>
      </c>
      <c r="M106" s="49">
        <v>48</v>
      </c>
      <c r="N106" s="49">
        <v>11</v>
      </c>
      <c r="O106" s="49">
        <v>0</v>
      </c>
      <c r="P106" s="49">
        <v>0</v>
      </c>
      <c r="Q106" s="49">
        <v>59</v>
      </c>
      <c r="R106" s="49">
        <v>6557.5714285714284</v>
      </c>
      <c r="S106" s="49">
        <v>1965.7073170731708</v>
      </c>
      <c r="T106" s="49">
        <v>2635.3541666666665</v>
      </c>
      <c r="U106" s="49">
        <v>7188.545454545455</v>
      </c>
      <c r="V106" s="49">
        <v>0</v>
      </c>
      <c r="W106" s="49">
        <v>0</v>
      </c>
      <c r="X106" s="49">
        <v>3484.2542372881358</v>
      </c>
      <c r="Y106" s="434">
        <v>126497</v>
      </c>
      <c r="Z106" s="434">
        <v>79074</v>
      </c>
      <c r="AA106" s="49">
        <v>19.833333333333332</v>
      </c>
      <c r="AB106" s="49">
        <v>116.16666666666667</v>
      </c>
      <c r="AC106" s="49">
        <v>0</v>
      </c>
      <c r="AD106" s="285">
        <v>11</v>
      </c>
      <c r="AE106" s="285">
        <v>0</v>
      </c>
      <c r="AF106" s="359">
        <v>147</v>
      </c>
      <c r="AG106" s="360">
        <v>16.625</v>
      </c>
      <c r="AH106" s="360">
        <v>97.375</v>
      </c>
      <c r="AI106" s="361">
        <v>114</v>
      </c>
      <c r="AJ106" s="360">
        <v>0</v>
      </c>
      <c r="AK106" s="360">
        <v>18.408342054380398</v>
      </c>
      <c r="AL106" s="360">
        <v>107.82028917565664</v>
      </c>
      <c r="AM106" s="360">
        <v>126.22863123003704</v>
      </c>
      <c r="AN106" s="360">
        <v>0</v>
      </c>
      <c r="AO106" s="360">
        <v>15.509666697701965</v>
      </c>
      <c r="AP106" s="360">
        <v>90.84233351511152</v>
      </c>
      <c r="AQ106" s="360">
        <v>106.35200021281348</v>
      </c>
      <c r="AR106" s="360">
        <v>0</v>
      </c>
      <c r="AS106" s="360">
        <v>10.341184340684002</v>
      </c>
      <c r="AT106" s="360">
        <v>0</v>
      </c>
      <c r="AU106" s="360">
        <v>117.15931869271088</v>
      </c>
      <c r="AV106" s="360">
        <v>121.6094586552567</v>
      </c>
      <c r="AW106" s="360">
        <v>126.22863123003702</v>
      </c>
      <c r="AX106" s="360">
        <v>131.02325689466369</v>
      </c>
      <c r="AY106" s="360">
        <v>136</v>
      </c>
      <c r="AZ106" s="360">
        <v>99.217087274265594</v>
      </c>
      <c r="BA106" s="360">
        <v>102.7226152651276</v>
      </c>
      <c r="BB106" s="360">
        <v>106.35200021281348</v>
      </c>
      <c r="BC106" s="360">
        <v>110.10961821866761</v>
      </c>
      <c r="BD106" s="360">
        <v>114</v>
      </c>
      <c r="BE106" s="360">
        <v>9.7218266880007302</v>
      </c>
      <c r="BF106" s="360">
        <v>10.02672438580003</v>
      </c>
      <c r="BG106" s="360">
        <v>10.341184340684002</v>
      </c>
      <c r="BH106" s="360">
        <v>10.665506445899512</v>
      </c>
      <c r="BI106" s="360">
        <v>11</v>
      </c>
      <c r="BJ106" s="362">
        <v>139.83355042499565</v>
      </c>
      <c r="BK106" s="362">
        <v>143.77516047396912</v>
      </c>
      <c r="BL106" s="362">
        <v>147.82787611763678</v>
      </c>
      <c r="BM106" s="363">
        <v>146.85597269093159</v>
      </c>
      <c r="BN106" s="363">
        <v>145.89045910283906</v>
      </c>
      <c r="BO106" s="363">
        <v>145.42458364522537</v>
      </c>
      <c r="BP106" s="363">
        <v>144.96019587874201</v>
      </c>
      <c r="BQ106" s="363">
        <v>144.49729105270967</v>
      </c>
      <c r="BR106" s="363">
        <v>144.03586443161944</v>
      </c>
      <c r="BS106" s="363">
        <v>143.57591129508458</v>
      </c>
      <c r="BT106" s="363">
        <v>144.6379376923081</v>
      </c>
      <c r="BU106" s="363">
        <v>145.70781986462802</v>
      </c>
      <c r="BV106" s="363">
        <v>146.78561592096008</v>
      </c>
      <c r="BW106" s="363">
        <v>147.87138440004978</v>
      </c>
      <c r="BX106" s="363">
        <v>148.9651842736516</v>
      </c>
      <c r="BY106" s="435">
        <v>149.56563565381029</v>
      </c>
      <c r="BZ106" s="435">
        <v>150.16608703396895</v>
      </c>
      <c r="CA106" s="435">
        <v>150.76653841412764</v>
      </c>
      <c r="CB106" s="435">
        <v>151.3669897942863</v>
      </c>
      <c r="CC106" s="363">
        <v>151.96744117444499</v>
      </c>
      <c r="CD106" s="435">
        <v>152.45963383286076</v>
      </c>
      <c r="CE106" s="435">
        <v>152.95182649127656</v>
      </c>
      <c r="CF106" s="435">
        <v>153.44401914969234</v>
      </c>
      <c r="CG106" s="435">
        <v>153.93621180810814</v>
      </c>
      <c r="CH106" s="363">
        <v>154.42840446652392</v>
      </c>
      <c r="CI106" s="362">
        <v>117.21341726801107</v>
      </c>
      <c r="CJ106" s="362">
        <v>120.51741392670942</v>
      </c>
      <c r="CK106" s="362">
        <v>123.91454321625436</v>
      </c>
      <c r="CL106" s="363">
        <v>123.0998594615162</v>
      </c>
      <c r="CM106" s="363">
        <v>122.29053189502687</v>
      </c>
      <c r="CN106" s="363">
        <v>121.90001864379185</v>
      </c>
      <c r="CO106" s="363">
        <v>121.51075242776905</v>
      </c>
      <c r="CP106" s="363">
        <v>121.12272926477134</v>
      </c>
      <c r="CQ106" s="363">
        <v>120.73594518532808</v>
      </c>
      <c r="CR106" s="363">
        <v>120.35039623264441</v>
      </c>
      <c r="CS106" s="363">
        <v>121.24062424208178</v>
      </c>
      <c r="CT106" s="363">
        <v>122.13743723946762</v>
      </c>
      <c r="CU106" s="363">
        <v>123.04088393374596</v>
      </c>
      <c r="CV106" s="363">
        <v>123.95101339415936</v>
      </c>
      <c r="CW106" s="363">
        <v>124.86787505291386</v>
      </c>
      <c r="CX106" s="435">
        <v>125.37119459216451</v>
      </c>
      <c r="CY106" s="435">
        <v>125.87451413141517</v>
      </c>
      <c r="CZ106" s="435">
        <v>126.37783367066582</v>
      </c>
      <c r="DA106" s="435">
        <v>126.88115320991648</v>
      </c>
      <c r="DB106" s="363">
        <v>127.38447274916713</v>
      </c>
      <c r="DC106" s="435">
        <v>127.79704600695683</v>
      </c>
      <c r="DD106" s="435">
        <v>128.20961926474655</v>
      </c>
      <c r="DE106" s="435">
        <v>128.62219252253624</v>
      </c>
      <c r="DF106" s="435">
        <v>129.03476578032593</v>
      </c>
      <c r="DG106" s="363">
        <v>129.44733903811564</v>
      </c>
      <c r="DH106" s="362">
        <v>11.310066578492297</v>
      </c>
      <c r="DI106" s="362">
        <v>11.628873273629857</v>
      </c>
      <c r="DJ106" s="362">
        <v>11.956666450691211</v>
      </c>
      <c r="DK106" s="363">
        <v>11.878056614707704</v>
      </c>
      <c r="DL106" s="363">
        <v>11.799963603906102</v>
      </c>
      <c r="DM106" s="363">
        <v>11.76228250071676</v>
      </c>
      <c r="DN106" s="363">
        <v>11.724721725486488</v>
      </c>
      <c r="DO106" s="363">
        <v>11.687280893969165</v>
      </c>
      <c r="DP106" s="363">
        <v>11.649959623145692</v>
      </c>
      <c r="DQ106" s="363">
        <v>11.612757531220076</v>
      </c>
      <c r="DR106" s="363">
        <v>11.698656725113155</v>
      </c>
      <c r="DS106" s="363">
        <v>11.78519131258021</v>
      </c>
      <c r="DT106" s="363">
        <v>11.872365993607067</v>
      </c>
      <c r="DU106" s="363">
        <v>11.960185502945203</v>
      </c>
      <c r="DV106" s="363">
        <v>12.048654610368882</v>
      </c>
      <c r="DW106" s="435">
        <v>12.097220530822892</v>
      </c>
      <c r="DX106" s="435">
        <v>12.145786451276903</v>
      </c>
      <c r="DY106" s="435">
        <v>12.194352371730913</v>
      </c>
      <c r="DZ106" s="435">
        <v>12.242918292184925</v>
      </c>
      <c r="EA106" s="363">
        <v>12.291484212638935</v>
      </c>
      <c r="EB106" s="435">
        <v>12.331293912951976</v>
      </c>
      <c r="EC106" s="435">
        <v>12.371103613265017</v>
      </c>
      <c r="ED106" s="435">
        <v>12.410913313578058</v>
      </c>
      <c r="EE106" s="435">
        <v>12.4507230138911</v>
      </c>
      <c r="EF106" s="363">
        <v>12.490532714204141</v>
      </c>
      <c r="EG106" s="364">
        <v>0</v>
      </c>
      <c r="EH106" s="364">
        <v>0</v>
      </c>
      <c r="EI106" s="364">
        <v>0</v>
      </c>
      <c r="EJ106" s="365">
        <v>0</v>
      </c>
      <c r="EK106" s="365">
        <v>0</v>
      </c>
      <c r="EL106" s="365">
        <v>0</v>
      </c>
      <c r="EM106" s="365">
        <v>0</v>
      </c>
      <c r="EN106" s="365">
        <v>0</v>
      </c>
      <c r="EO106" s="365">
        <v>0</v>
      </c>
      <c r="EP106" s="365">
        <v>0</v>
      </c>
      <c r="EQ106" s="365">
        <v>0</v>
      </c>
      <c r="ER106" s="365">
        <v>0</v>
      </c>
      <c r="ES106" s="365">
        <v>0</v>
      </c>
      <c r="ET106" s="365">
        <v>0</v>
      </c>
      <c r="EU106" s="365">
        <v>0</v>
      </c>
      <c r="EV106" s="436">
        <v>0</v>
      </c>
      <c r="EW106" s="436">
        <v>0</v>
      </c>
      <c r="EX106" s="436">
        <v>0</v>
      </c>
      <c r="EY106" s="436">
        <v>0</v>
      </c>
      <c r="EZ106" s="365">
        <v>0</v>
      </c>
      <c r="FA106" s="436">
        <v>0</v>
      </c>
      <c r="FB106" s="436">
        <v>0</v>
      </c>
      <c r="FC106" s="436">
        <v>0</v>
      </c>
      <c r="FD106" s="436">
        <v>0</v>
      </c>
      <c r="FE106" s="365">
        <v>0</v>
      </c>
      <c r="FF106" s="364">
        <v>0</v>
      </c>
      <c r="FG106" s="364">
        <v>0</v>
      </c>
      <c r="FH106" s="364">
        <v>0</v>
      </c>
      <c r="FI106" s="365">
        <v>0</v>
      </c>
      <c r="FJ106" s="365">
        <v>0</v>
      </c>
      <c r="FK106" s="365">
        <v>0</v>
      </c>
      <c r="FL106" s="365">
        <v>0</v>
      </c>
      <c r="FM106" s="365">
        <v>0</v>
      </c>
      <c r="FN106" s="365">
        <v>0</v>
      </c>
      <c r="FO106" s="365">
        <v>0</v>
      </c>
      <c r="FP106" s="365">
        <v>0</v>
      </c>
      <c r="FQ106" s="365">
        <v>0</v>
      </c>
      <c r="FR106" s="365">
        <v>0</v>
      </c>
      <c r="FS106" s="365">
        <v>0</v>
      </c>
      <c r="FT106" s="365">
        <v>0</v>
      </c>
      <c r="FU106" s="436">
        <v>0</v>
      </c>
      <c r="FV106" s="436">
        <v>0</v>
      </c>
      <c r="FW106" s="436">
        <v>0</v>
      </c>
      <c r="FX106" s="436">
        <v>0</v>
      </c>
      <c r="FY106" s="365">
        <v>0</v>
      </c>
      <c r="FZ106" s="436">
        <v>0</v>
      </c>
      <c r="GA106" s="436">
        <v>0</v>
      </c>
      <c r="GB106" s="436">
        <v>0</v>
      </c>
      <c r="GC106" s="436">
        <v>0</v>
      </c>
      <c r="GD106" s="365">
        <v>0</v>
      </c>
    </row>
    <row r="107" spans="1:186" ht="15" x14ac:dyDescent="0.25">
      <c r="A107" s="357">
        <v>123</v>
      </c>
      <c r="B107" s="357">
        <v>88</v>
      </c>
      <c r="C107" s="357" t="s">
        <v>1017</v>
      </c>
      <c r="D107" s="2">
        <v>99705</v>
      </c>
      <c r="E107" s="268" t="s">
        <v>218</v>
      </c>
      <c r="F107" s="358" t="s">
        <v>985</v>
      </c>
      <c r="G107" s="49">
        <v>601</v>
      </c>
      <c r="H107" s="49">
        <v>205</v>
      </c>
      <c r="I107" s="49">
        <v>190</v>
      </c>
      <c r="J107" s="49">
        <v>15</v>
      </c>
      <c r="K107" s="49">
        <v>1</v>
      </c>
      <c r="L107" s="49">
        <v>167</v>
      </c>
      <c r="M107" s="49">
        <v>168</v>
      </c>
      <c r="N107" s="49">
        <v>1</v>
      </c>
      <c r="O107" s="49">
        <v>0</v>
      </c>
      <c r="P107" s="49">
        <v>0</v>
      </c>
      <c r="Q107" s="49">
        <v>169</v>
      </c>
      <c r="R107" s="49">
        <v>18192</v>
      </c>
      <c r="S107" s="49">
        <v>2794.1197604790418</v>
      </c>
      <c r="T107" s="49">
        <v>2885.7738095238096</v>
      </c>
      <c r="U107" s="49">
        <v>4980</v>
      </c>
      <c r="V107" s="49">
        <v>0</v>
      </c>
      <c r="W107" s="49">
        <v>0</v>
      </c>
      <c r="X107" s="49">
        <v>2898.165680473373</v>
      </c>
      <c r="Y107" s="434">
        <v>484810</v>
      </c>
      <c r="Z107" s="434">
        <v>4980</v>
      </c>
      <c r="AA107" s="49">
        <v>1.2202380952380953</v>
      </c>
      <c r="AB107" s="49">
        <v>203.7797619047619</v>
      </c>
      <c r="AC107" s="49">
        <v>0</v>
      </c>
      <c r="AD107" s="285">
        <v>1</v>
      </c>
      <c r="AE107" s="285">
        <v>0</v>
      </c>
      <c r="AF107" s="359">
        <v>206</v>
      </c>
      <c r="AG107" s="360">
        <v>1.1309523809523809</v>
      </c>
      <c r="AH107" s="360">
        <v>188.86904761904762</v>
      </c>
      <c r="AI107" s="361">
        <v>190</v>
      </c>
      <c r="AJ107" s="360">
        <v>0</v>
      </c>
      <c r="AK107" s="360">
        <v>1.1325660627695024</v>
      </c>
      <c r="AL107" s="360">
        <v>189.13853248250689</v>
      </c>
      <c r="AM107" s="360">
        <v>190.2710985452764</v>
      </c>
      <c r="AN107" s="360">
        <v>0</v>
      </c>
      <c r="AO107" s="360">
        <v>1.0550793671906098</v>
      </c>
      <c r="AP107" s="360">
        <v>176.19825432083186</v>
      </c>
      <c r="AQ107" s="360">
        <v>177.25333368802248</v>
      </c>
      <c r="AR107" s="360">
        <v>0</v>
      </c>
      <c r="AS107" s="360">
        <v>0.94010766733490925</v>
      </c>
      <c r="AT107" s="360">
        <v>0</v>
      </c>
      <c r="AU107" s="360">
        <v>176.60044361768919</v>
      </c>
      <c r="AV107" s="360">
        <v>183.30837517887957</v>
      </c>
      <c r="AW107" s="360">
        <v>190.2710985452764</v>
      </c>
      <c r="AX107" s="360">
        <v>197.49829164269158</v>
      </c>
      <c r="AY107" s="360">
        <v>205</v>
      </c>
      <c r="AZ107" s="360">
        <v>165.36181212377599</v>
      </c>
      <c r="BA107" s="360">
        <v>171.20435877521268</v>
      </c>
      <c r="BB107" s="360">
        <v>177.25333368802245</v>
      </c>
      <c r="BC107" s="360">
        <v>183.51603036444601</v>
      </c>
      <c r="BD107" s="360">
        <v>190</v>
      </c>
      <c r="BE107" s="360">
        <v>0.88380242618188454</v>
      </c>
      <c r="BF107" s="360">
        <v>0.91152039870909352</v>
      </c>
      <c r="BG107" s="360">
        <v>0.94010766733490925</v>
      </c>
      <c r="BH107" s="360">
        <v>0.96959149508177378</v>
      </c>
      <c r="BI107" s="360">
        <v>1</v>
      </c>
      <c r="BJ107" s="362">
        <v>209.54797612861344</v>
      </c>
      <c r="BK107" s="362">
        <v>214.19685024194121</v>
      </c>
      <c r="BL107" s="362">
        <v>218.94886078693898</v>
      </c>
      <c r="BM107" s="363">
        <v>217.50936809002246</v>
      </c>
      <c r="BN107" s="363">
        <v>216.07933942601767</v>
      </c>
      <c r="BO107" s="363">
        <v>215.38932815485563</v>
      </c>
      <c r="BP107" s="363">
        <v>214.7015203130247</v>
      </c>
      <c r="BQ107" s="363">
        <v>214.01590886426177</v>
      </c>
      <c r="BR107" s="363">
        <v>213.33248679477285</v>
      </c>
      <c r="BS107" s="363">
        <v>212.65124711316128</v>
      </c>
      <c r="BT107" s="363">
        <v>214.22422154737902</v>
      </c>
      <c r="BU107" s="363">
        <v>215.80883122288634</v>
      </c>
      <c r="BV107" s="363">
        <v>217.40516220518884</v>
      </c>
      <c r="BW107" s="363">
        <v>219.01330119641588</v>
      </c>
      <c r="BX107" s="363">
        <v>220.63333554002944</v>
      </c>
      <c r="BY107" s="435">
        <v>221.52266811448291</v>
      </c>
      <c r="BZ107" s="435">
        <v>222.41200068893639</v>
      </c>
      <c r="CA107" s="435">
        <v>223.30133326338986</v>
      </c>
      <c r="CB107" s="435">
        <v>224.19066583784334</v>
      </c>
      <c r="CC107" s="363">
        <v>225.07999841229682</v>
      </c>
      <c r="CD107" s="435">
        <v>225.80898826643011</v>
      </c>
      <c r="CE107" s="435">
        <v>226.53797812056339</v>
      </c>
      <c r="CF107" s="435">
        <v>227.26696797469671</v>
      </c>
      <c r="CG107" s="435">
        <v>227.99595782883</v>
      </c>
      <c r="CH107" s="363">
        <v>228.72494768296329</v>
      </c>
      <c r="CI107" s="362">
        <v>194.21519738749538</v>
      </c>
      <c r="CJ107" s="362">
        <v>198.52390998033576</v>
      </c>
      <c r="CK107" s="362">
        <v>202.92821243667515</v>
      </c>
      <c r="CL107" s="363">
        <v>201.59404847367935</v>
      </c>
      <c r="CM107" s="363">
        <v>200.26865605338222</v>
      </c>
      <c r="CN107" s="363">
        <v>199.62913341181741</v>
      </c>
      <c r="CO107" s="363">
        <v>198.99165297304728</v>
      </c>
      <c r="CP107" s="363">
        <v>198.35620821565723</v>
      </c>
      <c r="CQ107" s="363">
        <v>197.72279263905776</v>
      </c>
      <c r="CR107" s="363">
        <v>197.09139976341777</v>
      </c>
      <c r="CS107" s="363">
        <v>198.54927850732687</v>
      </c>
      <c r="CT107" s="363">
        <v>200.01794113340685</v>
      </c>
      <c r="CU107" s="363">
        <v>201.49746740968723</v>
      </c>
      <c r="CV107" s="363">
        <v>202.98793769423909</v>
      </c>
      <c r="CW107" s="363">
        <v>204.48943293953948</v>
      </c>
      <c r="CX107" s="435">
        <v>205.31369239878904</v>
      </c>
      <c r="CY107" s="435">
        <v>206.1379518580386</v>
      </c>
      <c r="CZ107" s="435">
        <v>206.96221131728817</v>
      </c>
      <c r="DA107" s="435">
        <v>207.78647077653773</v>
      </c>
      <c r="DB107" s="363">
        <v>208.61073023578729</v>
      </c>
      <c r="DC107" s="435">
        <v>209.28637936888643</v>
      </c>
      <c r="DD107" s="435">
        <v>209.9620285019856</v>
      </c>
      <c r="DE107" s="435">
        <v>210.63767763508474</v>
      </c>
      <c r="DF107" s="435">
        <v>211.31332676818391</v>
      </c>
      <c r="DG107" s="363">
        <v>211.98897590128306</v>
      </c>
      <c r="DH107" s="362">
        <v>1.0221852494078705</v>
      </c>
      <c r="DI107" s="362">
        <v>1.0448626841070303</v>
      </c>
      <c r="DJ107" s="362">
        <v>1.0680432233509218</v>
      </c>
      <c r="DK107" s="363">
        <v>1.0610213077562072</v>
      </c>
      <c r="DL107" s="363">
        <v>1.0540455581756958</v>
      </c>
      <c r="DM107" s="363">
        <v>1.050679649535881</v>
      </c>
      <c r="DN107" s="363">
        <v>1.0473244893318279</v>
      </c>
      <c r="DO107" s="363">
        <v>1.0439800432403012</v>
      </c>
      <c r="DP107" s="363">
        <v>1.0406462770476723</v>
      </c>
      <c r="DQ107" s="363">
        <v>1.0373231566495673</v>
      </c>
      <c r="DR107" s="363">
        <v>1.0449962026701414</v>
      </c>
      <c r="DS107" s="363">
        <v>1.0527260059652992</v>
      </c>
      <c r="DT107" s="363">
        <v>1.0605129863667748</v>
      </c>
      <c r="DU107" s="363">
        <v>1.0683575668117848</v>
      </c>
      <c r="DV107" s="363">
        <v>1.0762601733659973</v>
      </c>
      <c r="DW107" s="435">
        <v>1.0805983810462583</v>
      </c>
      <c r="DX107" s="435">
        <v>1.084936588726519</v>
      </c>
      <c r="DY107" s="435">
        <v>1.0892747964067799</v>
      </c>
      <c r="DZ107" s="435">
        <v>1.0936130040870407</v>
      </c>
      <c r="EA107" s="363">
        <v>1.0979512117673016</v>
      </c>
      <c r="EB107" s="435">
        <v>1.1015072598362445</v>
      </c>
      <c r="EC107" s="435">
        <v>1.1050633079051875</v>
      </c>
      <c r="ED107" s="435">
        <v>1.1086193559741302</v>
      </c>
      <c r="EE107" s="435">
        <v>1.1121754040430731</v>
      </c>
      <c r="EF107" s="363">
        <v>1.1157314521120161</v>
      </c>
      <c r="EG107" s="364">
        <v>0</v>
      </c>
      <c r="EH107" s="364">
        <v>0</v>
      </c>
      <c r="EI107" s="364">
        <v>0</v>
      </c>
      <c r="EJ107" s="365">
        <v>0</v>
      </c>
      <c r="EK107" s="365">
        <v>0</v>
      </c>
      <c r="EL107" s="365">
        <v>0</v>
      </c>
      <c r="EM107" s="365">
        <v>0</v>
      </c>
      <c r="EN107" s="365">
        <v>0</v>
      </c>
      <c r="EO107" s="365">
        <v>0</v>
      </c>
      <c r="EP107" s="365">
        <v>0</v>
      </c>
      <c r="EQ107" s="365">
        <v>0</v>
      </c>
      <c r="ER107" s="365">
        <v>0</v>
      </c>
      <c r="ES107" s="365">
        <v>0</v>
      </c>
      <c r="ET107" s="365">
        <v>0</v>
      </c>
      <c r="EU107" s="365">
        <v>0</v>
      </c>
      <c r="EV107" s="436">
        <v>0</v>
      </c>
      <c r="EW107" s="436">
        <v>0</v>
      </c>
      <c r="EX107" s="436">
        <v>0</v>
      </c>
      <c r="EY107" s="436">
        <v>0</v>
      </c>
      <c r="EZ107" s="365">
        <v>0</v>
      </c>
      <c r="FA107" s="436">
        <v>0</v>
      </c>
      <c r="FB107" s="436">
        <v>0</v>
      </c>
      <c r="FC107" s="436">
        <v>0</v>
      </c>
      <c r="FD107" s="436">
        <v>0</v>
      </c>
      <c r="FE107" s="365">
        <v>0</v>
      </c>
      <c r="FF107" s="364">
        <v>0</v>
      </c>
      <c r="FG107" s="364">
        <v>0</v>
      </c>
      <c r="FH107" s="364">
        <v>0</v>
      </c>
      <c r="FI107" s="365">
        <v>0</v>
      </c>
      <c r="FJ107" s="365">
        <v>0</v>
      </c>
      <c r="FK107" s="365">
        <v>0</v>
      </c>
      <c r="FL107" s="365">
        <v>0</v>
      </c>
      <c r="FM107" s="365">
        <v>0</v>
      </c>
      <c r="FN107" s="365">
        <v>0</v>
      </c>
      <c r="FO107" s="365">
        <v>0</v>
      </c>
      <c r="FP107" s="365">
        <v>0</v>
      </c>
      <c r="FQ107" s="365">
        <v>0</v>
      </c>
      <c r="FR107" s="365">
        <v>0</v>
      </c>
      <c r="FS107" s="365">
        <v>0</v>
      </c>
      <c r="FT107" s="365">
        <v>0</v>
      </c>
      <c r="FU107" s="436">
        <v>0</v>
      </c>
      <c r="FV107" s="436">
        <v>0</v>
      </c>
      <c r="FW107" s="436">
        <v>0</v>
      </c>
      <c r="FX107" s="436">
        <v>0</v>
      </c>
      <c r="FY107" s="365">
        <v>0</v>
      </c>
      <c r="FZ107" s="436">
        <v>0</v>
      </c>
      <c r="GA107" s="436">
        <v>0</v>
      </c>
      <c r="GB107" s="436">
        <v>0</v>
      </c>
      <c r="GC107" s="436">
        <v>0</v>
      </c>
      <c r="GD107" s="365">
        <v>0</v>
      </c>
    </row>
    <row r="108" spans="1:186" ht="15" x14ac:dyDescent="0.25">
      <c r="A108" s="357">
        <v>124</v>
      </c>
      <c r="B108" s="357">
        <v>88</v>
      </c>
      <c r="C108" s="357" t="s">
        <v>1018</v>
      </c>
      <c r="D108" s="2">
        <v>99705</v>
      </c>
      <c r="E108" s="268" t="s">
        <v>218</v>
      </c>
      <c r="F108" s="358" t="s">
        <v>985</v>
      </c>
      <c r="G108" s="49">
        <v>580</v>
      </c>
      <c r="H108" s="49">
        <v>222</v>
      </c>
      <c r="I108" s="49">
        <v>200</v>
      </c>
      <c r="J108" s="49">
        <v>22</v>
      </c>
      <c r="K108" s="49">
        <v>3</v>
      </c>
      <c r="L108" s="49">
        <v>163</v>
      </c>
      <c r="M108" s="49">
        <v>166</v>
      </c>
      <c r="N108" s="49">
        <v>2</v>
      </c>
      <c r="O108" s="49">
        <v>0</v>
      </c>
      <c r="P108" s="49">
        <v>0</v>
      </c>
      <c r="Q108" s="49">
        <v>168</v>
      </c>
      <c r="R108" s="49">
        <v>4097.333333333333</v>
      </c>
      <c r="S108" s="49">
        <v>1908.0368098159508</v>
      </c>
      <c r="T108" s="49">
        <v>1947.6024096385543</v>
      </c>
      <c r="U108" s="49">
        <v>3980</v>
      </c>
      <c r="V108" s="49">
        <v>0</v>
      </c>
      <c r="W108" s="49">
        <v>0</v>
      </c>
      <c r="X108" s="49">
        <v>1971.797619047619</v>
      </c>
      <c r="Y108" s="434">
        <v>323302</v>
      </c>
      <c r="Z108" s="434">
        <v>7960</v>
      </c>
      <c r="AA108" s="49">
        <v>4.0120481927710845</v>
      </c>
      <c r="AB108" s="49">
        <v>217.98795180722891</v>
      </c>
      <c r="AC108" s="49">
        <v>0</v>
      </c>
      <c r="AD108" s="285">
        <v>2</v>
      </c>
      <c r="AE108" s="285">
        <v>0</v>
      </c>
      <c r="AF108" s="359">
        <v>224</v>
      </c>
      <c r="AG108" s="360">
        <v>3.6144578313253017</v>
      </c>
      <c r="AH108" s="360">
        <v>196.38554216867468</v>
      </c>
      <c r="AI108" s="361">
        <v>199.99999999999997</v>
      </c>
      <c r="AJ108" s="360">
        <v>0</v>
      </c>
      <c r="AK108" s="360">
        <v>3.723789351488513</v>
      </c>
      <c r="AL108" s="360">
        <v>202.3258880975425</v>
      </c>
      <c r="AM108" s="360">
        <v>206.04967744903101</v>
      </c>
      <c r="AN108" s="360">
        <v>0</v>
      </c>
      <c r="AO108" s="360">
        <v>3.3719721056694194</v>
      </c>
      <c r="AP108" s="360">
        <v>183.21048440803841</v>
      </c>
      <c r="AQ108" s="360">
        <v>186.58245651370783</v>
      </c>
      <c r="AR108" s="360">
        <v>0</v>
      </c>
      <c r="AS108" s="360">
        <v>1.8802153346698185</v>
      </c>
      <c r="AT108" s="360">
        <v>0</v>
      </c>
      <c r="AU108" s="360">
        <v>191.24535845427806</v>
      </c>
      <c r="AV108" s="360">
        <v>198.50955751078666</v>
      </c>
      <c r="AW108" s="360">
        <v>206.04967744903104</v>
      </c>
      <c r="AX108" s="360">
        <v>213.87619875452455</v>
      </c>
      <c r="AY108" s="360">
        <v>222</v>
      </c>
      <c r="AZ108" s="360">
        <v>174.06506539344838</v>
      </c>
      <c r="BA108" s="360">
        <v>180.21511450022385</v>
      </c>
      <c r="BB108" s="360">
        <v>186.58245651370783</v>
      </c>
      <c r="BC108" s="360">
        <v>193.17476880467999</v>
      </c>
      <c r="BD108" s="360">
        <v>199.99999999999997</v>
      </c>
      <c r="BE108" s="360">
        <v>1.7676048523637691</v>
      </c>
      <c r="BF108" s="360">
        <v>1.823040797418187</v>
      </c>
      <c r="BG108" s="360">
        <v>1.8802153346698185</v>
      </c>
      <c r="BH108" s="360">
        <v>1.9391829901635476</v>
      </c>
      <c r="BI108" s="360">
        <v>2</v>
      </c>
      <c r="BJ108" s="362">
        <v>226.92512536854724</v>
      </c>
      <c r="BK108" s="362">
        <v>231.95951587176074</v>
      </c>
      <c r="BL108" s="362">
        <v>237.10559558390466</v>
      </c>
      <c r="BM108" s="363">
        <v>235.54673032187799</v>
      </c>
      <c r="BN108" s="363">
        <v>233.9981139150045</v>
      </c>
      <c r="BO108" s="363">
        <v>233.25088219696562</v>
      </c>
      <c r="BP108" s="363">
        <v>232.50603663166578</v>
      </c>
      <c r="BQ108" s="363">
        <v>231.76356959934688</v>
      </c>
      <c r="BR108" s="363">
        <v>231.02347350458328</v>
      </c>
      <c r="BS108" s="363">
        <v>230.28574077620394</v>
      </c>
      <c r="BT108" s="363">
        <v>231.98915699277143</v>
      </c>
      <c r="BU108" s="363">
        <v>233.70517332429642</v>
      </c>
      <c r="BV108" s="363">
        <v>235.43388297342403</v>
      </c>
      <c r="BW108" s="363">
        <v>237.17537983221624</v>
      </c>
      <c r="BX108" s="363">
        <v>238.92975848725141</v>
      </c>
      <c r="BY108" s="435">
        <v>239.89284059226932</v>
      </c>
      <c r="BZ108" s="435">
        <v>240.85592269728724</v>
      </c>
      <c r="CA108" s="435">
        <v>241.81900480230513</v>
      </c>
      <c r="CB108" s="435">
        <v>242.78208690732305</v>
      </c>
      <c r="CC108" s="363">
        <v>243.74516901234097</v>
      </c>
      <c r="CD108" s="435">
        <v>244.53461168364629</v>
      </c>
      <c r="CE108" s="435">
        <v>245.32405435495161</v>
      </c>
      <c r="CF108" s="435">
        <v>246.11349702625691</v>
      </c>
      <c r="CG108" s="435">
        <v>246.90293969756223</v>
      </c>
      <c r="CH108" s="363">
        <v>247.69238236886756</v>
      </c>
      <c r="CI108" s="362">
        <v>204.43704988157407</v>
      </c>
      <c r="CJ108" s="362">
        <v>208.97253682140604</v>
      </c>
      <c r="CK108" s="362">
        <v>213.60864467018433</v>
      </c>
      <c r="CL108" s="363">
        <v>212.20426155124139</v>
      </c>
      <c r="CM108" s="363">
        <v>210.80911163513915</v>
      </c>
      <c r="CN108" s="363">
        <v>210.13592990717618</v>
      </c>
      <c r="CO108" s="363">
        <v>209.46489786636553</v>
      </c>
      <c r="CP108" s="363">
        <v>208.79600864806022</v>
      </c>
      <c r="CQ108" s="363">
        <v>208.12925540953444</v>
      </c>
      <c r="CR108" s="363">
        <v>207.4646313299134</v>
      </c>
      <c r="CS108" s="363">
        <v>208.99924053402825</v>
      </c>
      <c r="CT108" s="363">
        <v>210.5452011930598</v>
      </c>
      <c r="CU108" s="363">
        <v>212.10259727335492</v>
      </c>
      <c r="CV108" s="363">
        <v>213.6715133623569</v>
      </c>
      <c r="CW108" s="363">
        <v>215.2520346731994</v>
      </c>
      <c r="CX108" s="435">
        <v>216.11967620925157</v>
      </c>
      <c r="CY108" s="435">
        <v>216.98731774530376</v>
      </c>
      <c r="CZ108" s="435">
        <v>217.85495928135592</v>
      </c>
      <c r="DA108" s="435">
        <v>218.72260081740811</v>
      </c>
      <c r="DB108" s="363">
        <v>219.59024235346027</v>
      </c>
      <c r="DC108" s="435">
        <v>220.30145196724885</v>
      </c>
      <c r="DD108" s="435">
        <v>221.01266158103743</v>
      </c>
      <c r="DE108" s="435">
        <v>221.72387119482599</v>
      </c>
      <c r="DF108" s="435">
        <v>222.43508080861457</v>
      </c>
      <c r="DG108" s="363">
        <v>223.14629042240315</v>
      </c>
      <c r="DH108" s="362">
        <v>2.044370498815741</v>
      </c>
      <c r="DI108" s="362">
        <v>2.0897253682140606</v>
      </c>
      <c r="DJ108" s="362">
        <v>2.1360864467018437</v>
      </c>
      <c r="DK108" s="363">
        <v>2.1220426155124144</v>
      </c>
      <c r="DL108" s="363">
        <v>2.1080911163513916</v>
      </c>
      <c r="DM108" s="363">
        <v>2.101359299071762</v>
      </c>
      <c r="DN108" s="363">
        <v>2.0946489786636557</v>
      </c>
      <c r="DO108" s="363">
        <v>2.0879600864806025</v>
      </c>
      <c r="DP108" s="363">
        <v>2.0812925540953446</v>
      </c>
      <c r="DQ108" s="363">
        <v>2.0746463132991346</v>
      </c>
      <c r="DR108" s="363">
        <v>2.0899924053402827</v>
      </c>
      <c r="DS108" s="363">
        <v>2.1054520119305984</v>
      </c>
      <c r="DT108" s="363">
        <v>2.1210259727335496</v>
      </c>
      <c r="DU108" s="363">
        <v>2.1367151336235697</v>
      </c>
      <c r="DV108" s="363">
        <v>2.1525203467319947</v>
      </c>
      <c r="DW108" s="435">
        <v>2.1611967620925165</v>
      </c>
      <c r="DX108" s="435">
        <v>2.169873177453038</v>
      </c>
      <c r="DY108" s="435">
        <v>2.1785495928135599</v>
      </c>
      <c r="DZ108" s="435">
        <v>2.1872260081740813</v>
      </c>
      <c r="EA108" s="363">
        <v>2.1959024235346032</v>
      </c>
      <c r="EB108" s="435">
        <v>2.2030145196724891</v>
      </c>
      <c r="EC108" s="435">
        <v>2.210126615810375</v>
      </c>
      <c r="ED108" s="435">
        <v>2.2172387119482604</v>
      </c>
      <c r="EE108" s="435">
        <v>2.2243508080861463</v>
      </c>
      <c r="EF108" s="363">
        <v>2.2314629042240322</v>
      </c>
      <c r="EG108" s="364">
        <v>0</v>
      </c>
      <c r="EH108" s="364">
        <v>0</v>
      </c>
      <c r="EI108" s="364">
        <v>0</v>
      </c>
      <c r="EJ108" s="365">
        <v>0</v>
      </c>
      <c r="EK108" s="365">
        <v>0</v>
      </c>
      <c r="EL108" s="365">
        <v>0</v>
      </c>
      <c r="EM108" s="365">
        <v>0</v>
      </c>
      <c r="EN108" s="365">
        <v>0</v>
      </c>
      <c r="EO108" s="365">
        <v>0</v>
      </c>
      <c r="EP108" s="365">
        <v>0</v>
      </c>
      <c r="EQ108" s="365">
        <v>0</v>
      </c>
      <c r="ER108" s="365">
        <v>0</v>
      </c>
      <c r="ES108" s="365">
        <v>0</v>
      </c>
      <c r="ET108" s="365">
        <v>0</v>
      </c>
      <c r="EU108" s="365">
        <v>0</v>
      </c>
      <c r="EV108" s="436">
        <v>0</v>
      </c>
      <c r="EW108" s="436">
        <v>0</v>
      </c>
      <c r="EX108" s="436">
        <v>0</v>
      </c>
      <c r="EY108" s="436">
        <v>0</v>
      </c>
      <c r="EZ108" s="365">
        <v>0</v>
      </c>
      <c r="FA108" s="436">
        <v>0</v>
      </c>
      <c r="FB108" s="436">
        <v>0</v>
      </c>
      <c r="FC108" s="436">
        <v>0</v>
      </c>
      <c r="FD108" s="436">
        <v>0</v>
      </c>
      <c r="FE108" s="365">
        <v>0</v>
      </c>
      <c r="FF108" s="364">
        <v>0</v>
      </c>
      <c r="FG108" s="364">
        <v>0</v>
      </c>
      <c r="FH108" s="364">
        <v>0</v>
      </c>
      <c r="FI108" s="365">
        <v>0</v>
      </c>
      <c r="FJ108" s="365">
        <v>0</v>
      </c>
      <c r="FK108" s="365">
        <v>0</v>
      </c>
      <c r="FL108" s="365">
        <v>0</v>
      </c>
      <c r="FM108" s="365">
        <v>0</v>
      </c>
      <c r="FN108" s="365">
        <v>0</v>
      </c>
      <c r="FO108" s="365">
        <v>0</v>
      </c>
      <c r="FP108" s="365">
        <v>0</v>
      </c>
      <c r="FQ108" s="365">
        <v>0</v>
      </c>
      <c r="FR108" s="365">
        <v>0</v>
      </c>
      <c r="FS108" s="365">
        <v>0</v>
      </c>
      <c r="FT108" s="365">
        <v>0</v>
      </c>
      <c r="FU108" s="436">
        <v>0</v>
      </c>
      <c r="FV108" s="436">
        <v>0</v>
      </c>
      <c r="FW108" s="436">
        <v>0</v>
      </c>
      <c r="FX108" s="436">
        <v>0</v>
      </c>
      <c r="FY108" s="365">
        <v>0</v>
      </c>
      <c r="FZ108" s="436">
        <v>0</v>
      </c>
      <c r="GA108" s="436">
        <v>0</v>
      </c>
      <c r="GB108" s="436">
        <v>0</v>
      </c>
      <c r="GC108" s="436">
        <v>0</v>
      </c>
      <c r="GD108" s="365">
        <v>0</v>
      </c>
    </row>
    <row r="109" spans="1:186" ht="15" x14ac:dyDescent="0.25">
      <c r="A109" s="357">
        <v>125</v>
      </c>
      <c r="B109" s="357">
        <v>88</v>
      </c>
      <c r="C109" s="357" t="s">
        <v>1019</v>
      </c>
      <c r="D109" s="2">
        <v>99705</v>
      </c>
      <c r="E109" s="268" t="s">
        <v>218</v>
      </c>
      <c r="F109" s="358" t="s">
        <v>985</v>
      </c>
      <c r="G109" s="49">
        <v>456</v>
      </c>
      <c r="H109" s="49">
        <v>153</v>
      </c>
      <c r="I109" s="49">
        <v>144</v>
      </c>
      <c r="J109" s="49">
        <v>9</v>
      </c>
      <c r="K109" s="49">
        <v>0</v>
      </c>
      <c r="L109" s="49">
        <v>134</v>
      </c>
      <c r="M109" s="49">
        <v>134</v>
      </c>
      <c r="N109" s="49">
        <v>1</v>
      </c>
      <c r="O109" s="49">
        <v>0</v>
      </c>
      <c r="P109" s="49">
        <v>0</v>
      </c>
      <c r="Q109" s="49">
        <v>135</v>
      </c>
      <c r="R109" s="49">
        <v>0</v>
      </c>
      <c r="S109" s="49">
        <v>2169.7462686567164</v>
      </c>
      <c r="T109" s="49">
        <v>2169.7462686567164</v>
      </c>
      <c r="U109" s="49">
        <v>1500</v>
      </c>
      <c r="V109" s="49">
        <v>0</v>
      </c>
      <c r="W109" s="49">
        <v>0</v>
      </c>
      <c r="X109" s="49">
        <v>2164.7851851851851</v>
      </c>
      <c r="Y109" s="434">
        <v>290746</v>
      </c>
      <c r="Z109" s="434">
        <v>1500</v>
      </c>
      <c r="AA109" s="49">
        <v>0</v>
      </c>
      <c r="AB109" s="49">
        <v>153</v>
      </c>
      <c r="AC109" s="49">
        <v>0</v>
      </c>
      <c r="AD109" s="285">
        <v>1</v>
      </c>
      <c r="AE109" s="285">
        <v>0</v>
      </c>
      <c r="AF109" s="359">
        <v>154</v>
      </c>
      <c r="AG109" s="360">
        <v>0</v>
      </c>
      <c r="AH109" s="360">
        <v>144</v>
      </c>
      <c r="AI109" s="361">
        <v>144</v>
      </c>
      <c r="AJ109" s="360">
        <v>0</v>
      </c>
      <c r="AK109" s="360">
        <v>0</v>
      </c>
      <c r="AL109" s="360">
        <v>142.00721013379166</v>
      </c>
      <c r="AM109" s="360">
        <v>142.00721013379166</v>
      </c>
      <c r="AN109" s="360">
        <v>0</v>
      </c>
      <c r="AO109" s="360">
        <v>0</v>
      </c>
      <c r="AP109" s="360">
        <v>134.33936868986964</v>
      </c>
      <c r="AQ109" s="360">
        <v>134.33936868986964</v>
      </c>
      <c r="AR109" s="360">
        <v>0</v>
      </c>
      <c r="AS109" s="360">
        <v>0.94010766733490925</v>
      </c>
      <c r="AT109" s="360">
        <v>0</v>
      </c>
      <c r="AU109" s="360">
        <v>131.80423352929975</v>
      </c>
      <c r="AV109" s="360">
        <v>136.81064098716379</v>
      </c>
      <c r="AW109" s="360">
        <v>142.00721013379166</v>
      </c>
      <c r="AX109" s="360">
        <v>147.40116400649666</v>
      </c>
      <c r="AY109" s="360">
        <v>153</v>
      </c>
      <c r="AZ109" s="360">
        <v>125.32684708328286</v>
      </c>
      <c r="BA109" s="360">
        <v>129.7548824401612</v>
      </c>
      <c r="BB109" s="360">
        <v>134.33936868986964</v>
      </c>
      <c r="BC109" s="360">
        <v>139.08583353936962</v>
      </c>
      <c r="BD109" s="360">
        <v>144</v>
      </c>
      <c r="BE109" s="360">
        <v>0.88380242618188454</v>
      </c>
      <c r="BF109" s="360">
        <v>0.91152039870909352</v>
      </c>
      <c r="BG109" s="360">
        <v>0.94010766733490925</v>
      </c>
      <c r="BH109" s="360">
        <v>0.96959149508177378</v>
      </c>
      <c r="BI109" s="360">
        <v>1</v>
      </c>
      <c r="BJ109" s="362">
        <v>154.23423651040446</v>
      </c>
      <c r="BK109" s="362">
        <v>155.47842948985218</v>
      </c>
      <c r="BL109" s="362">
        <v>156.73265925623599</v>
      </c>
      <c r="BM109" s="363">
        <v>155.70221078732521</v>
      </c>
      <c r="BN109" s="363">
        <v>154.67853706499324</v>
      </c>
      <c r="BO109" s="363">
        <v>154.18459842992885</v>
      </c>
      <c r="BP109" s="363">
        <v>153.69223710080391</v>
      </c>
      <c r="BQ109" s="363">
        <v>153.20144804076989</v>
      </c>
      <c r="BR109" s="363">
        <v>152.71222622906276</v>
      </c>
      <c r="BS109" s="363">
        <v>152.22456666095133</v>
      </c>
      <c r="BT109" s="363">
        <v>153.35056688370162</v>
      </c>
      <c r="BU109" s="363">
        <v>154.48489609387781</v>
      </c>
      <c r="BV109" s="363">
        <v>155.627615900732</v>
      </c>
      <c r="BW109" s="363">
        <v>156.77878836923787</v>
      </c>
      <c r="BX109" s="363">
        <v>157.9384760234617</v>
      </c>
      <c r="BY109" s="435">
        <v>158.57509709952626</v>
      </c>
      <c r="BZ109" s="435">
        <v>159.21171817559079</v>
      </c>
      <c r="CA109" s="435">
        <v>159.84833925165535</v>
      </c>
      <c r="CB109" s="435">
        <v>160.48496032771988</v>
      </c>
      <c r="CC109" s="363">
        <v>161.12158140378443</v>
      </c>
      <c r="CD109" s="435">
        <v>161.64342252229252</v>
      </c>
      <c r="CE109" s="435">
        <v>162.16526364080059</v>
      </c>
      <c r="CF109" s="435">
        <v>162.68710475930868</v>
      </c>
      <c r="CG109" s="435">
        <v>163.20894587781675</v>
      </c>
      <c r="CH109" s="363">
        <v>163.73078699632484</v>
      </c>
      <c r="CI109" s="362">
        <v>145.16163436273362</v>
      </c>
      <c r="CJ109" s="362">
        <v>146.33263951986086</v>
      </c>
      <c r="CK109" s="362">
        <v>147.5130910646927</v>
      </c>
      <c r="CL109" s="363">
        <v>146.54325721160021</v>
      </c>
      <c r="CM109" s="363">
        <v>145.57979959058187</v>
      </c>
      <c r="CN109" s="363">
        <v>145.11491616934481</v>
      </c>
      <c r="CO109" s="363">
        <v>144.65151727134486</v>
      </c>
      <c r="CP109" s="363">
        <v>144.18959815601875</v>
      </c>
      <c r="CQ109" s="363">
        <v>143.72915409794143</v>
      </c>
      <c r="CR109" s="363">
        <v>143.27018038677772</v>
      </c>
      <c r="CS109" s="363">
        <v>144.32994530230741</v>
      </c>
      <c r="CT109" s="363">
        <v>145.39754926482618</v>
      </c>
      <c r="CU109" s="363">
        <v>146.47305025951246</v>
      </c>
      <c r="CV109" s="363">
        <v>147.55650670045918</v>
      </c>
      <c r="CW109" s="363">
        <v>148.64797743384631</v>
      </c>
      <c r="CX109" s="435">
        <v>149.24715021131883</v>
      </c>
      <c r="CY109" s="435">
        <v>149.84632298879134</v>
      </c>
      <c r="CZ109" s="435">
        <v>150.44549576626386</v>
      </c>
      <c r="DA109" s="435">
        <v>151.04466854373638</v>
      </c>
      <c r="DB109" s="363">
        <v>151.6438413212089</v>
      </c>
      <c r="DC109" s="435">
        <v>152.13498590333415</v>
      </c>
      <c r="DD109" s="435">
        <v>152.62613048545941</v>
      </c>
      <c r="DE109" s="435">
        <v>153.11727506758464</v>
      </c>
      <c r="DF109" s="435">
        <v>153.6084196497099</v>
      </c>
      <c r="DG109" s="363">
        <v>154.09956423183516</v>
      </c>
      <c r="DH109" s="362">
        <v>1.0080669052967612</v>
      </c>
      <c r="DI109" s="362">
        <v>1.0161988855545894</v>
      </c>
      <c r="DJ109" s="362">
        <v>1.0243964657270326</v>
      </c>
      <c r="DK109" s="363">
        <v>1.0176615084138902</v>
      </c>
      <c r="DL109" s="363">
        <v>1.0109708304901519</v>
      </c>
      <c r="DM109" s="363">
        <v>1.0077424733982279</v>
      </c>
      <c r="DN109" s="363">
        <v>1.0045244254954502</v>
      </c>
      <c r="DO109" s="363">
        <v>1.0013166538612412</v>
      </c>
      <c r="DP109" s="363">
        <v>0.99811912568014882</v>
      </c>
      <c r="DQ109" s="363">
        <v>0.99493180824151195</v>
      </c>
      <c r="DR109" s="363">
        <v>1.0022912868215792</v>
      </c>
      <c r="DS109" s="363">
        <v>1.0097052032279596</v>
      </c>
      <c r="DT109" s="363">
        <v>1.0171739601355032</v>
      </c>
      <c r="DU109" s="363">
        <v>1.0246979631976332</v>
      </c>
      <c r="DV109" s="363">
        <v>1.0322776210683771</v>
      </c>
      <c r="DW109" s="435">
        <v>1.0364385431341585</v>
      </c>
      <c r="DX109" s="435">
        <v>1.0405994651999397</v>
      </c>
      <c r="DY109" s="435">
        <v>1.0447603872657212</v>
      </c>
      <c r="DZ109" s="435">
        <v>1.0489213093315024</v>
      </c>
      <c r="EA109" s="363">
        <v>1.0530822313972839</v>
      </c>
      <c r="EB109" s="435">
        <v>1.0564929576620425</v>
      </c>
      <c r="EC109" s="435">
        <v>1.0599036839268012</v>
      </c>
      <c r="ED109" s="435">
        <v>1.0633144101915599</v>
      </c>
      <c r="EE109" s="435">
        <v>1.0667251364563186</v>
      </c>
      <c r="EF109" s="363">
        <v>1.0701358627210773</v>
      </c>
      <c r="EG109" s="364">
        <v>0</v>
      </c>
      <c r="EH109" s="364">
        <v>0</v>
      </c>
      <c r="EI109" s="364">
        <v>0</v>
      </c>
      <c r="EJ109" s="365">
        <v>0</v>
      </c>
      <c r="EK109" s="365">
        <v>0</v>
      </c>
      <c r="EL109" s="365">
        <v>0</v>
      </c>
      <c r="EM109" s="365">
        <v>0</v>
      </c>
      <c r="EN109" s="365">
        <v>0</v>
      </c>
      <c r="EO109" s="365">
        <v>0</v>
      </c>
      <c r="EP109" s="365">
        <v>0</v>
      </c>
      <c r="EQ109" s="365">
        <v>0</v>
      </c>
      <c r="ER109" s="365">
        <v>0</v>
      </c>
      <c r="ES109" s="365">
        <v>0</v>
      </c>
      <c r="ET109" s="365">
        <v>0</v>
      </c>
      <c r="EU109" s="365">
        <v>0</v>
      </c>
      <c r="EV109" s="436">
        <v>0</v>
      </c>
      <c r="EW109" s="436">
        <v>0</v>
      </c>
      <c r="EX109" s="436">
        <v>0</v>
      </c>
      <c r="EY109" s="436">
        <v>0</v>
      </c>
      <c r="EZ109" s="365">
        <v>0</v>
      </c>
      <c r="FA109" s="436">
        <v>0</v>
      </c>
      <c r="FB109" s="436">
        <v>0</v>
      </c>
      <c r="FC109" s="436">
        <v>0</v>
      </c>
      <c r="FD109" s="436">
        <v>0</v>
      </c>
      <c r="FE109" s="365">
        <v>0</v>
      </c>
      <c r="FF109" s="364">
        <v>0</v>
      </c>
      <c r="FG109" s="364">
        <v>0</v>
      </c>
      <c r="FH109" s="364">
        <v>0</v>
      </c>
      <c r="FI109" s="365">
        <v>0</v>
      </c>
      <c r="FJ109" s="365">
        <v>0</v>
      </c>
      <c r="FK109" s="365">
        <v>0</v>
      </c>
      <c r="FL109" s="365">
        <v>0</v>
      </c>
      <c r="FM109" s="365">
        <v>0</v>
      </c>
      <c r="FN109" s="365">
        <v>0</v>
      </c>
      <c r="FO109" s="365">
        <v>0</v>
      </c>
      <c r="FP109" s="365">
        <v>0</v>
      </c>
      <c r="FQ109" s="365">
        <v>0</v>
      </c>
      <c r="FR109" s="365">
        <v>0</v>
      </c>
      <c r="FS109" s="365">
        <v>0</v>
      </c>
      <c r="FT109" s="365">
        <v>0</v>
      </c>
      <c r="FU109" s="436">
        <v>0</v>
      </c>
      <c r="FV109" s="436">
        <v>0</v>
      </c>
      <c r="FW109" s="436">
        <v>0</v>
      </c>
      <c r="FX109" s="436">
        <v>0</v>
      </c>
      <c r="FY109" s="365">
        <v>0</v>
      </c>
      <c r="FZ109" s="436">
        <v>0</v>
      </c>
      <c r="GA109" s="436">
        <v>0</v>
      </c>
      <c r="GB109" s="436">
        <v>0</v>
      </c>
      <c r="GC109" s="436">
        <v>0</v>
      </c>
      <c r="GD109" s="365">
        <v>0</v>
      </c>
    </row>
    <row r="110" spans="1:186" ht="15" x14ac:dyDescent="0.25">
      <c r="A110" s="357">
        <v>126</v>
      </c>
      <c r="B110" s="357">
        <v>88</v>
      </c>
      <c r="C110" s="357" t="s">
        <v>1020</v>
      </c>
      <c r="D110" s="2">
        <v>99705</v>
      </c>
      <c r="E110" s="268" t="s">
        <v>218</v>
      </c>
      <c r="F110" s="358" t="s">
        <v>985</v>
      </c>
      <c r="G110" s="49">
        <v>220</v>
      </c>
      <c r="H110" s="49">
        <v>76</v>
      </c>
      <c r="I110" s="49">
        <v>73</v>
      </c>
      <c r="J110" s="49">
        <v>3</v>
      </c>
      <c r="K110" s="49">
        <v>1</v>
      </c>
      <c r="L110" s="49">
        <v>171</v>
      </c>
      <c r="M110" s="49">
        <v>172</v>
      </c>
      <c r="N110" s="49">
        <v>1</v>
      </c>
      <c r="O110" s="49">
        <v>0</v>
      </c>
      <c r="P110" s="49">
        <v>0</v>
      </c>
      <c r="Q110" s="49">
        <v>173</v>
      </c>
      <c r="R110" s="49">
        <v>3216</v>
      </c>
      <c r="S110" s="49">
        <v>2358.9356725146199</v>
      </c>
      <c r="T110" s="49">
        <v>2363.9186046511627</v>
      </c>
      <c r="U110" s="49">
        <v>192</v>
      </c>
      <c r="V110" s="49">
        <v>0</v>
      </c>
      <c r="W110" s="49">
        <v>0</v>
      </c>
      <c r="X110" s="49">
        <v>2351.3641618497109</v>
      </c>
      <c r="Y110" s="434">
        <v>406594</v>
      </c>
      <c r="Z110" s="434">
        <v>192</v>
      </c>
      <c r="AA110" s="49">
        <v>0.44186046511627908</v>
      </c>
      <c r="AB110" s="49">
        <v>75.558139534883722</v>
      </c>
      <c r="AC110" s="49">
        <v>0</v>
      </c>
      <c r="AD110" s="285">
        <v>1</v>
      </c>
      <c r="AE110" s="285">
        <v>0</v>
      </c>
      <c r="AF110" s="359">
        <v>77</v>
      </c>
      <c r="AG110" s="360">
        <v>0.42441860465116277</v>
      </c>
      <c r="AH110" s="360">
        <v>72.575581395348834</v>
      </c>
      <c r="AI110" s="361">
        <v>73</v>
      </c>
      <c r="AJ110" s="360">
        <v>0</v>
      </c>
      <c r="AK110" s="360">
        <v>0.41011354195805466</v>
      </c>
      <c r="AL110" s="360">
        <v>70.129415674827342</v>
      </c>
      <c r="AM110" s="360">
        <v>70.539529216785397</v>
      </c>
      <c r="AN110" s="360">
        <v>0</v>
      </c>
      <c r="AO110" s="360">
        <v>0.39594532922967074</v>
      </c>
      <c r="AP110" s="360">
        <v>67.706651298273698</v>
      </c>
      <c r="AQ110" s="360">
        <v>68.102596627503374</v>
      </c>
      <c r="AR110" s="360">
        <v>0</v>
      </c>
      <c r="AS110" s="360">
        <v>0.94010766733490925</v>
      </c>
      <c r="AT110" s="360">
        <v>0</v>
      </c>
      <c r="AU110" s="360">
        <v>65.471383975338441</v>
      </c>
      <c r="AV110" s="360">
        <v>67.95822689558463</v>
      </c>
      <c r="AW110" s="360">
        <v>70.539529216785397</v>
      </c>
      <c r="AX110" s="360">
        <v>73.218878852900303</v>
      </c>
      <c r="AY110" s="360">
        <v>76</v>
      </c>
      <c r="AZ110" s="360">
        <v>63.533748868608669</v>
      </c>
      <c r="BA110" s="360">
        <v>65.778516792581712</v>
      </c>
      <c r="BB110" s="360">
        <v>68.102596627503374</v>
      </c>
      <c r="BC110" s="360">
        <v>70.5087906137082</v>
      </c>
      <c r="BD110" s="360">
        <v>73</v>
      </c>
      <c r="BE110" s="360">
        <v>0.88380242618188454</v>
      </c>
      <c r="BF110" s="360">
        <v>0.91152039870909352</v>
      </c>
      <c r="BG110" s="360">
        <v>0.94010766733490925</v>
      </c>
      <c r="BH110" s="360">
        <v>0.96959149508177378</v>
      </c>
      <c r="BI110" s="360">
        <v>1</v>
      </c>
      <c r="BJ110" s="362">
        <v>76.613084802553857</v>
      </c>
      <c r="BK110" s="362">
        <v>77.231115302148794</v>
      </c>
      <c r="BL110" s="362">
        <v>77.85413139525447</v>
      </c>
      <c r="BM110" s="363">
        <v>77.342274639455653</v>
      </c>
      <c r="BN110" s="363">
        <v>76.833783117251528</v>
      </c>
      <c r="BO110" s="363">
        <v>76.588427978265301</v>
      </c>
      <c r="BP110" s="363">
        <v>76.343856337654216</v>
      </c>
      <c r="BQ110" s="363">
        <v>76.100065693454326</v>
      </c>
      <c r="BR110" s="363">
        <v>75.857053551691308</v>
      </c>
      <c r="BS110" s="363">
        <v>75.614817426354904</v>
      </c>
      <c r="BT110" s="363">
        <v>76.174137798440015</v>
      </c>
      <c r="BU110" s="363">
        <v>76.737595445324914</v>
      </c>
      <c r="BV110" s="363">
        <v>77.305220970298237</v>
      </c>
      <c r="BW110" s="363">
        <v>77.877045203020117</v>
      </c>
      <c r="BX110" s="363">
        <v>78.45309920119665</v>
      </c>
      <c r="BY110" s="435">
        <v>78.769329278196039</v>
      </c>
      <c r="BZ110" s="435">
        <v>79.085559355195414</v>
      </c>
      <c r="CA110" s="435">
        <v>79.401789432194803</v>
      </c>
      <c r="CB110" s="435">
        <v>79.718019509194178</v>
      </c>
      <c r="CC110" s="363">
        <v>80.034249586193567</v>
      </c>
      <c r="CD110" s="435">
        <v>80.293464782315226</v>
      </c>
      <c r="CE110" s="435">
        <v>80.552679978436885</v>
      </c>
      <c r="CF110" s="435">
        <v>80.811895174558558</v>
      </c>
      <c r="CG110" s="435">
        <v>81.071110370680216</v>
      </c>
      <c r="CH110" s="363">
        <v>81.330325566801875</v>
      </c>
      <c r="CI110" s="362">
        <v>73.588884086663569</v>
      </c>
      <c r="CJ110" s="362">
        <v>74.182518645485018</v>
      </c>
      <c r="CK110" s="362">
        <v>74.780941998073374</v>
      </c>
      <c r="CL110" s="363">
        <v>74.289290114213983</v>
      </c>
      <c r="CM110" s="363">
        <v>73.800870625781073</v>
      </c>
      <c r="CN110" s="363">
        <v>73.565200558070629</v>
      </c>
      <c r="CO110" s="363">
        <v>73.330283061167862</v>
      </c>
      <c r="CP110" s="363">
        <v>73.096115731870597</v>
      </c>
      <c r="CQ110" s="363">
        <v>72.862696174650864</v>
      </c>
      <c r="CR110" s="363">
        <v>72.630022001630365</v>
      </c>
      <c r="CS110" s="363">
        <v>73.167263937975278</v>
      </c>
      <c r="CT110" s="363">
        <v>73.708479835641043</v>
      </c>
      <c r="CU110" s="363">
        <v>74.253699089891725</v>
      </c>
      <c r="CV110" s="363">
        <v>74.802951313427215</v>
      </c>
      <c r="CW110" s="363">
        <v>75.356266337991528</v>
      </c>
      <c r="CX110" s="435">
        <v>75.660013648793566</v>
      </c>
      <c r="CY110" s="435">
        <v>75.963760959595604</v>
      </c>
      <c r="CZ110" s="435">
        <v>76.267508270397641</v>
      </c>
      <c r="DA110" s="435">
        <v>76.571255581199679</v>
      </c>
      <c r="DB110" s="363">
        <v>76.875002892001717</v>
      </c>
      <c r="DC110" s="435">
        <v>77.123985909329107</v>
      </c>
      <c r="DD110" s="435">
        <v>77.372968926656483</v>
      </c>
      <c r="DE110" s="435">
        <v>77.621951943983873</v>
      </c>
      <c r="DF110" s="435">
        <v>77.870934961311249</v>
      </c>
      <c r="DG110" s="363">
        <v>78.11991797863864</v>
      </c>
      <c r="DH110" s="362">
        <v>1.0080669052967612</v>
      </c>
      <c r="DI110" s="362">
        <v>1.0161988855545894</v>
      </c>
      <c r="DJ110" s="362">
        <v>1.0243964657270326</v>
      </c>
      <c r="DK110" s="363">
        <v>1.0176615084138902</v>
      </c>
      <c r="DL110" s="363">
        <v>1.0109708304901519</v>
      </c>
      <c r="DM110" s="363">
        <v>1.0077424733982279</v>
      </c>
      <c r="DN110" s="363">
        <v>1.0045244254954502</v>
      </c>
      <c r="DO110" s="363">
        <v>1.0013166538612412</v>
      </c>
      <c r="DP110" s="363">
        <v>0.99811912568014882</v>
      </c>
      <c r="DQ110" s="363">
        <v>0.99493180824151195</v>
      </c>
      <c r="DR110" s="363">
        <v>1.0022912868215792</v>
      </c>
      <c r="DS110" s="363">
        <v>1.0097052032279596</v>
      </c>
      <c r="DT110" s="363">
        <v>1.0171739601355032</v>
      </c>
      <c r="DU110" s="363">
        <v>1.0246979631976332</v>
      </c>
      <c r="DV110" s="363">
        <v>1.0322776210683771</v>
      </c>
      <c r="DW110" s="435">
        <v>1.0364385431341585</v>
      </c>
      <c r="DX110" s="435">
        <v>1.0405994651999397</v>
      </c>
      <c r="DY110" s="435">
        <v>1.0447603872657212</v>
      </c>
      <c r="DZ110" s="435">
        <v>1.0489213093315024</v>
      </c>
      <c r="EA110" s="363">
        <v>1.0530822313972839</v>
      </c>
      <c r="EB110" s="435">
        <v>1.0564929576620425</v>
      </c>
      <c r="EC110" s="435">
        <v>1.0599036839268012</v>
      </c>
      <c r="ED110" s="435">
        <v>1.0633144101915599</v>
      </c>
      <c r="EE110" s="435">
        <v>1.0667251364563186</v>
      </c>
      <c r="EF110" s="363">
        <v>1.0701358627210773</v>
      </c>
      <c r="EG110" s="364">
        <v>0</v>
      </c>
      <c r="EH110" s="364">
        <v>0</v>
      </c>
      <c r="EI110" s="364">
        <v>0</v>
      </c>
      <c r="EJ110" s="365">
        <v>0</v>
      </c>
      <c r="EK110" s="365">
        <v>0</v>
      </c>
      <c r="EL110" s="365">
        <v>0</v>
      </c>
      <c r="EM110" s="365">
        <v>0</v>
      </c>
      <c r="EN110" s="365">
        <v>0</v>
      </c>
      <c r="EO110" s="365">
        <v>0</v>
      </c>
      <c r="EP110" s="365">
        <v>0</v>
      </c>
      <c r="EQ110" s="365">
        <v>0</v>
      </c>
      <c r="ER110" s="365">
        <v>0</v>
      </c>
      <c r="ES110" s="365">
        <v>0</v>
      </c>
      <c r="ET110" s="365">
        <v>0</v>
      </c>
      <c r="EU110" s="365">
        <v>0</v>
      </c>
      <c r="EV110" s="436">
        <v>0</v>
      </c>
      <c r="EW110" s="436">
        <v>0</v>
      </c>
      <c r="EX110" s="436">
        <v>0</v>
      </c>
      <c r="EY110" s="436">
        <v>0</v>
      </c>
      <c r="EZ110" s="365">
        <v>0</v>
      </c>
      <c r="FA110" s="436">
        <v>0</v>
      </c>
      <c r="FB110" s="436">
        <v>0</v>
      </c>
      <c r="FC110" s="436">
        <v>0</v>
      </c>
      <c r="FD110" s="436">
        <v>0</v>
      </c>
      <c r="FE110" s="365">
        <v>0</v>
      </c>
      <c r="FF110" s="364">
        <v>0</v>
      </c>
      <c r="FG110" s="364">
        <v>0</v>
      </c>
      <c r="FH110" s="364">
        <v>0</v>
      </c>
      <c r="FI110" s="365">
        <v>0</v>
      </c>
      <c r="FJ110" s="365">
        <v>0</v>
      </c>
      <c r="FK110" s="365">
        <v>0</v>
      </c>
      <c r="FL110" s="365">
        <v>0</v>
      </c>
      <c r="FM110" s="365">
        <v>0</v>
      </c>
      <c r="FN110" s="365">
        <v>0</v>
      </c>
      <c r="FO110" s="365">
        <v>0</v>
      </c>
      <c r="FP110" s="365">
        <v>0</v>
      </c>
      <c r="FQ110" s="365">
        <v>0</v>
      </c>
      <c r="FR110" s="365">
        <v>0</v>
      </c>
      <c r="FS110" s="365">
        <v>0</v>
      </c>
      <c r="FT110" s="365">
        <v>0</v>
      </c>
      <c r="FU110" s="436">
        <v>0</v>
      </c>
      <c r="FV110" s="436">
        <v>0</v>
      </c>
      <c r="FW110" s="436">
        <v>0</v>
      </c>
      <c r="FX110" s="436">
        <v>0</v>
      </c>
      <c r="FY110" s="365">
        <v>0</v>
      </c>
      <c r="FZ110" s="436">
        <v>0</v>
      </c>
      <c r="GA110" s="436">
        <v>0</v>
      </c>
      <c r="GB110" s="436">
        <v>0</v>
      </c>
      <c r="GC110" s="436">
        <v>0</v>
      </c>
      <c r="GD110" s="365">
        <v>0</v>
      </c>
    </row>
    <row r="111" spans="1:186" ht="15" x14ac:dyDescent="0.25">
      <c r="A111" s="357">
        <v>129</v>
      </c>
      <c r="B111" s="357">
        <v>88</v>
      </c>
      <c r="C111" s="357" t="s">
        <v>1021</v>
      </c>
      <c r="D111" s="2">
        <v>99705</v>
      </c>
      <c r="E111" s="268" t="s">
        <v>19</v>
      </c>
      <c r="F111" s="358" t="s">
        <v>915</v>
      </c>
      <c r="G111" s="49">
        <v>7</v>
      </c>
      <c r="H111" s="49">
        <v>3</v>
      </c>
      <c r="I111" s="49">
        <v>3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49">
        <v>834.49503068156923</v>
      </c>
      <c r="T111" s="49">
        <v>834.49503068156923</v>
      </c>
      <c r="U111" s="49">
        <v>1408.3846153846155</v>
      </c>
      <c r="V111" s="49">
        <v>0</v>
      </c>
      <c r="W111" s="49">
        <v>0</v>
      </c>
      <c r="X111" s="49">
        <v>1365.173957061457</v>
      </c>
      <c r="Y111" s="434">
        <v>0</v>
      </c>
      <c r="Z111" s="434">
        <v>0</v>
      </c>
      <c r="AA111" s="49">
        <v>6.8737006237006237E-2</v>
      </c>
      <c r="AB111" s="49">
        <v>2.9273648648648649</v>
      </c>
      <c r="AC111" s="49">
        <v>3.8981288981288983E-3</v>
      </c>
      <c r="AD111" s="285">
        <v>0</v>
      </c>
      <c r="AE111" s="285">
        <v>0</v>
      </c>
      <c r="AF111" s="359">
        <v>3</v>
      </c>
      <c r="AG111" s="360">
        <v>6.8737006237006237E-2</v>
      </c>
      <c r="AH111" s="360">
        <v>2.9273648648648649</v>
      </c>
      <c r="AI111" s="361">
        <v>2.996101871101871</v>
      </c>
      <c r="AJ111" s="360">
        <v>3.8981288981288983E-3</v>
      </c>
      <c r="AK111" s="360">
        <v>6.3798369206969227E-2</v>
      </c>
      <c r="AL111" s="360">
        <v>2.7170386764911338</v>
      </c>
      <c r="AM111" s="360">
        <v>2.7808370456981031</v>
      </c>
      <c r="AN111" s="360">
        <v>3.6180549644784068E-3</v>
      </c>
      <c r="AO111" s="360">
        <v>6.4125597385493407E-2</v>
      </c>
      <c r="AP111" s="360">
        <v>2.7309746379920248</v>
      </c>
      <c r="AQ111" s="360">
        <v>2.7951002353775181</v>
      </c>
      <c r="AR111" s="360">
        <v>3.6366123280998155E-3</v>
      </c>
      <c r="AS111" s="360">
        <v>0</v>
      </c>
      <c r="AT111" s="360">
        <v>0</v>
      </c>
      <c r="AU111" s="360">
        <v>2.5810386320018495</v>
      </c>
      <c r="AV111" s="360">
        <v>2.6790759310345602</v>
      </c>
      <c r="AW111" s="360">
        <v>2.7808370456981031</v>
      </c>
      <c r="AX111" s="360">
        <v>2.8864634201467867</v>
      </c>
      <c r="AY111" s="360">
        <v>2.996101871101871</v>
      </c>
      <c r="AZ111" s="360">
        <v>2.6075833405939015</v>
      </c>
      <c r="BA111" s="360">
        <v>2.6997142087747932</v>
      </c>
      <c r="BB111" s="360">
        <v>2.7951002353775181</v>
      </c>
      <c r="BC111" s="360">
        <v>2.8938564313268653</v>
      </c>
      <c r="BD111" s="360">
        <v>2.996101871101871</v>
      </c>
      <c r="BE111" s="360">
        <v>0</v>
      </c>
      <c r="BF111" s="360">
        <v>0</v>
      </c>
      <c r="BG111" s="360">
        <v>0</v>
      </c>
      <c r="BH111" s="360">
        <v>0</v>
      </c>
      <c r="BI111" s="360">
        <v>0</v>
      </c>
      <c r="BJ111" s="362">
        <v>3.020271141155499</v>
      </c>
      <c r="BK111" s="362">
        <v>3.0446353824217414</v>
      </c>
      <c r="BL111" s="362">
        <v>3.0691961677149058</v>
      </c>
      <c r="BM111" s="363">
        <v>3.0490175495072092</v>
      </c>
      <c r="BN111" s="363">
        <v>3.0289715968609561</v>
      </c>
      <c r="BO111" s="363">
        <v>3.0192991101372577</v>
      </c>
      <c r="BP111" s="363">
        <v>3.0096575107944501</v>
      </c>
      <c r="BQ111" s="363">
        <v>3.0000467001991291</v>
      </c>
      <c r="BR111" s="363">
        <v>2.9904665800328574</v>
      </c>
      <c r="BS111" s="363">
        <v>2.9809170522911614</v>
      </c>
      <c r="BT111" s="363">
        <v>3.0029667998352352</v>
      </c>
      <c r="BU111" s="363">
        <v>3.0251796486525842</v>
      </c>
      <c r="BV111" s="363">
        <v>3.0475568051980808</v>
      </c>
      <c r="BW111" s="363">
        <v>3.0700994848507044</v>
      </c>
      <c r="BX111" s="363">
        <v>3.0928089119795525</v>
      </c>
      <c r="BY111" s="435">
        <v>3.1052754583663491</v>
      </c>
      <c r="BZ111" s="435">
        <v>3.1177420047531457</v>
      </c>
      <c r="CA111" s="435">
        <v>3.1302085511399422</v>
      </c>
      <c r="CB111" s="435">
        <v>3.1426750975267388</v>
      </c>
      <c r="CC111" s="363">
        <v>3.1551416439135354</v>
      </c>
      <c r="CD111" s="435">
        <v>3.1653605272571954</v>
      </c>
      <c r="CE111" s="435">
        <v>3.175579410600855</v>
      </c>
      <c r="CF111" s="435">
        <v>3.1857982939445151</v>
      </c>
      <c r="CG111" s="435">
        <v>3.1960171772881747</v>
      </c>
      <c r="CH111" s="363">
        <v>3.2062360606318348</v>
      </c>
      <c r="CI111" s="362">
        <v>3.020271141155499</v>
      </c>
      <c r="CJ111" s="362">
        <v>3.0446353824217414</v>
      </c>
      <c r="CK111" s="362">
        <v>3.0691961677149058</v>
      </c>
      <c r="CL111" s="363">
        <v>3.0490175495072092</v>
      </c>
      <c r="CM111" s="363">
        <v>3.0289715968609561</v>
      </c>
      <c r="CN111" s="363">
        <v>3.0192991101372577</v>
      </c>
      <c r="CO111" s="363">
        <v>3.0096575107944501</v>
      </c>
      <c r="CP111" s="363">
        <v>3.0000467001991291</v>
      </c>
      <c r="CQ111" s="363">
        <v>2.9904665800328574</v>
      </c>
      <c r="CR111" s="363">
        <v>2.9809170522911614</v>
      </c>
      <c r="CS111" s="363">
        <v>3.0029667998352352</v>
      </c>
      <c r="CT111" s="363">
        <v>3.0251796486525842</v>
      </c>
      <c r="CU111" s="363">
        <v>3.0475568051980808</v>
      </c>
      <c r="CV111" s="363">
        <v>3.0700994848507044</v>
      </c>
      <c r="CW111" s="363">
        <v>3.0928089119795525</v>
      </c>
      <c r="CX111" s="435">
        <v>3.1052754583663491</v>
      </c>
      <c r="CY111" s="435">
        <v>3.1177420047531457</v>
      </c>
      <c r="CZ111" s="435">
        <v>3.1302085511399422</v>
      </c>
      <c r="DA111" s="435">
        <v>3.1426750975267388</v>
      </c>
      <c r="DB111" s="363">
        <v>3.1551416439135354</v>
      </c>
      <c r="DC111" s="435">
        <v>3.1653605272571954</v>
      </c>
      <c r="DD111" s="435">
        <v>3.175579410600855</v>
      </c>
      <c r="DE111" s="435">
        <v>3.1857982939445151</v>
      </c>
      <c r="DF111" s="435">
        <v>3.1960171772881747</v>
      </c>
      <c r="DG111" s="363">
        <v>3.2062360606318348</v>
      </c>
      <c r="DH111" s="362">
        <v>0</v>
      </c>
      <c r="DI111" s="362">
        <v>0</v>
      </c>
      <c r="DJ111" s="362">
        <v>0</v>
      </c>
      <c r="DK111" s="363">
        <v>0</v>
      </c>
      <c r="DL111" s="363">
        <v>0</v>
      </c>
      <c r="DM111" s="363">
        <v>0</v>
      </c>
      <c r="DN111" s="363">
        <v>0</v>
      </c>
      <c r="DO111" s="363">
        <v>0</v>
      </c>
      <c r="DP111" s="363">
        <v>0</v>
      </c>
      <c r="DQ111" s="363">
        <v>0</v>
      </c>
      <c r="DR111" s="363">
        <v>0</v>
      </c>
      <c r="DS111" s="363">
        <v>0</v>
      </c>
      <c r="DT111" s="363">
        <v>0</v>
      </c>
      <c r="DU111" s="363">
        <v>0</v>
      </c>
      <c r="DV111" s="363">
        <v>0</v>
      </c>
      <c r="DW111" s="435">
        <v>0</v>
      </c>
      <c r="DX111" s="435">
        <v>0</v>
      </c>
      <c r="DY111" s="435">
        <v>0</v>
      </c>
      <c r="DZ111" s="435">
        <v>0</v>
      </c>
      <c r="EA111" s="363">
        <v>0</v>
      </c>
      <c r="EB111" s="435">
        <v>0</v>
      </c>
      <c r="EC111" s="435">
        <v>0</v>
      </c>
      <c r="ED111" s="435">
        <v>0</v>
      </c>
      <c r="EE111" s="435">
        <v>0</v>
      </c>
      <c r="EF111" s="363">
        <v>0</v>
      </c>
      <c r="EG111" s="364">
        <v>3.9295747347846723E-3</v>
      </c>
      <c r="EH111" s="364">
        <v>3.9612742420267258E-3</v>
      </c>
      <c r="EI111" s="364">
        <v>3.9932294661916556E-3</v>
      </c>
      <c r="EJ111" s="365">
        <v>3.9669757344616315E-3</v>
      </c>
      <c r="EK111" s="365">
        <v>3.9408946094990332E-3</v>
      </c>
      <c r="EL111" s="365">
        <v>3.9283100574255244E-3</v>
      </c>
      <c r="EM111" s="365">
        <v>3.9157656919001447E-3</v>
      </c>
      <c r="EN111" s="365">
        <v>3.9032613845942357E-3</v>
      </c>
      <c r="EO111" s="365">
        <v>3.8907970075889383E-3</v>
      </c>
      <c r="EP111" s="365">
        <v>3.8783724333738777E-3</v>
      </c>
      <c r="EQ111" s="365">
        <v>3.9070606295019987E-3</v>
      </c>
      <c r="ER111" s="365">
        <v>3.935961031294022E-3</v>
      </c>
      <c r="ES111" s="365">
        <v>3.9650752084284171E-3</v>
      </c>
      <c r="ET111" s="365">
        <v>3.9944047421945168E-3</v>
      </c>
      <c r="EU111" s="365">
        <v>4.0239512255783932E-3</v>
      </c>
      <c r="EV111" s="436">
        <v>4.0401710361258779E-3</v>
      </c>
      <c r="EW111" s="436">
        <v>4.0563908466733625E-3</v>
      </c>
      <c r="EX111" s="436">
        <v>4.0726106572208471E-3</v>
      </c>
      <c r="EY111" s="436">
        <v>4.0888304677683318E-3</v>
      </c>
      <c r="EZ111" s="365">
        <v>4.1050502783158164E-3</v>
      </c>
      <c r="FA111" s="436">
        <v>4.1183457289320794E-3</v>
      </c>
      <c r="FB111" s="436">
        <v>4.1316411795483425E-3</v>
      </c>
      <c r="FC111" s="436">
        <v>4.1449366301646055E-3</v>
      </c>
      <c r="FD111" s="436">
        <v>4.1582320807808685E-3</v>
      </c>
      <c r="FE111" s="365">
        <v>4.1715275313971316E-3</v>
      </c>
      <c r="FF111" s="364">
        <v>0</v>
      </c>
      <c r="FG111" s="364">
        <v>0</v>
      </c>
      <c r="FH111" s="364">
        <v>0</v>
      </c>
      <c r="FI111" s="365">
        <v>0</v>
      </c>
      <c r="FJ111" s="365">
        <v>0</v>
      </c>
      <c r="FK111" s="365">
        <v>0</v>
      </c>
      <c r="FL111" s="365">
        <v>0</v>
      </c>
      <c r="FM111" s="365">
        <v>0</v>
      </c>
      <c r="FN111" s="365">
        <v>0</v>
      </c>
      <c r="FO111" s="365">
        <v>0</v>
      </c>
      <c r="FP111" s="365">
        <v>0</v>
      </c>
      <c r="FQ111" s="365">
        <v>0</v>
      </c>
      <c r="FR111" s="365">
        <v>0</v>
      </c>
      <c r="FS111" s="365">
        <v>0</v>
      </c>
      <c r="FT111" s="365">
        <v>0</v>
      </c>
      <c r="FU111" s="436">
        <v>0</v>
      </c>
      <c r="FV111" s="436">
        <v>0</v>
      </c>
      <c r="FW111" s="436">
        <v>0</v>
      </c>
      <c r="FX111" s="436">
        <v>0</v>
      </c>
      <c r="FY111" s="365">
        <v>0</v>
      </c>
      <c r="FZ111" s="436">
        <v>0</v>
      </c>
      <c r="GA111" s="436">
        <v>0</v>
      </c>
      <c r="GB111" s="436">
        <v>0</v>
      </c>
      <c r="GC111" s="436">
        <v>0</v>
      </c>
      <c r="GD111" s="365">
        <v>0</v>
      </c>
    </row>
    <row r="112" spans="1:186" ht="15" x14ac:dyDescent="0.25">
      <c r="A112" s="357">
        <v>98</v>
      </c>
      <c r="B112" s="357">
        <v>89</v>
      </c>
      <c r="C112" s="357" t="s">
        <v>1022</v>
      </c>
      <c r="D112" s="2">
        <v>99709</v>
      </c>
      <c r="E112" s="268" t="s">
        <v>19</v>
      </c>
      <c r="F112" s="358" t="s">
        <v>915</v>
      </c>
      <c r="G112" s="49">
        <v>89</v>
      </c>
      <c r="H112" s="49">
        <v>47</v>
      </c>
      <c r="I112" s="49">
        <v>43</v>
      </c>
      <c r="J112" s="49">
        <v>4</v>
      </c>
      <c r="K112" s="49">
        <v>0</v>
      </c>
      <c r="L112" s="49">
        <v>83</v>
      </c>
      <c r="M112" s="49">
        <v>83</v>
      </c>
      <c r="N112" s="49">
        <v>0</v>
      </c>
      <c r="O112" s="49">
        <v>0</v>
      </c>
      <c r="P112" s="49">
        <v>0</v>
      </c>
      <c r="Q112" s="49">
        <v>83</v>
      </c>
      <c r="R112" s="49">
        <v>0</v>
      </c>
      <c r="S112" s="49">
        <v>1835.1084337349398</v>
      </c>
      <c r="T112" s="49">
        <v>1835.1084337349398</v>
      </c>
      <c r="U112" s="49">
        <v>0</v>
      </c>
      <c r="V112" s="49">
        <v>0</v>
      </c>
      <c r="W112" s="49">
        <v>0</v>
      </c>
      <c r="X112" s="49">
        <v>1835.1084337349398</v>
      </c>
      <c r="Y112" s="434">
        <v>152314</v>
      </c>
      <c r="Z112" s="434">
        <v>0</v>
      </c>
      <c r="AA112" s="49">
        <v>0</v>
      </c>
      <c r="AB112" s="49">
        <v>47</v>
      </c>
      <c r="AC112" s="49">
        <v>0</v>
      </c>
      <c r="AD112" s="285">
        <v>0</v>
      </c>
      <c r="AE112" s="285">
        <v>0</v>
      </c>
      <c r="AF112" s="359">
        <v>47</v>
      </c>
      <c r="AG112" s="360">
        <v>0</v>
      </c>
      <c r="AH112" s="360">
        <v>43</v>
      </c>
      <c r="AI112" s="361">
        <v>43</v>
      </c>
      <c r="AJ112" s="360">
        <v>0</v>
      </c>
      <c r="AK112" s="360">
        <v>0</v>
      </c>
      <c r="AL112" s="360">
        <v>44.751444565363748</v>
      </c>
      <c r="AM112" s="360">
        <v>44.751444565363748</v>
      </c>
      <c r="AN112" s="360">
        <v>0</v>
      </c>
      <c r="AO112" s="360">
        <v>0</v>
      </c>
      <c r="AP112" s="360">
        <v>41.020049042612982</v>
      </c>
      <c r="AQ112" s="360">
        <v>41.020049042612982</v>
      </c>
      <c r="AR112" s="360">
        <v>0</v>
      </c>
      <c r="AS112" s="360">
        <v>0</v>
      </c>
      <c r="AT112" s="360">
        <v>0</v>
      </c>
      <c r="AU112" s="360">
        <v>42.610463631634566</v>
      </c>
      <c r="AV112" s="360">
        <v>43.667834857198294</v>
      </c>
      <c r="AW112" s="360">
        <v>44.751444565363748</v>
      </c>
      <c r="AX112" s="360">
        <v>45.861943859501814</v>
      </c>
      <c r="AY112" s="360">
        <v>47</v>
      </c>
      <c r="AZ112" s="360">
        <v>39.131265661822653</v>
      </c>
      <c r="BA112" s="360">
        <v>40.06452840790071</v>
      </c>
      <c r="BB112" s="360">
        <v>41.020049042612982</v>
      </c>
      <c r="BC112" s="360">
        <v>41.998358406399149</v>
      </c>
      <c r="BD112" s="360">
        <v>43</v>
      </c>
      <c r="BE112" s="360">
        <v>0</v>
      </c>
      <c r="BF112" s="360">
        <v>0</v>
      </c>
      <c r="BG112" s="360">
        <v>0</v>
      </c>
      <c r="BH112" s="360">
        <v>0</v>
      </c>
      <c r="BI112" s="360">
        <v>0</v>
      </c>
      <c r="BJ112" s="362">
        <v>47.43913623798214</v>
      </c>
      <c r="BK112" s="362">
        <v>47.882375468209155</v>
      </c>
      <c r="BL112" s="362">
        <v>48.32975602626783</v>
      </c>
      <c r="BM112" s="363">
        <v>48.012009084842681</v>
      </c>
      <c r="BN112" s="363">
        <v>47.696351190147467</v>
      </c>
      <c r="BO112" s="363">
        <v>47.544041302483393</v>
      </c>
      <c r="BP112" s="363">
        <v>47.39221778959017</v>
      </c>
      <c r="BQ112" s="363">
        <v>47.240879098315709</v>
      </c>
      <c r="BR112" s="363">
        <v>47.090023680467667</v>
      </c>
      <c r="BS112" s="363">
        <v>46.93964999279757</v>
      </c>
      <c r="BT112" s="363">
        <v>47.286861073814684</v>
      </c>
      <c r="BU112" s="363">
        <v>47.636640464028808</v>
      </c>
      <c r="BV112" s="363">
        <v>47.989007161140464</v>
      </c>
      <c r="BW112" s="363">
        <v>48.343980303375545</v>
      </c>
      <c r="BX112" s="363">
        <v>48.701579170524745</v>
      </c>
      <c r="BY112" s="435">
        <v>48.897886318207853</v>
      </c>
      <c r="BZ112" s="435">
        <v>49.094193465890953</v>
      </c>
      <c r="CA112" s="435">
        <v>49.290500613574061</v>
      </c>
      <c r="CB112" s="435">
        <v>49.486807761257161</v>
      </c>
      <c r="CC112" s="363">
        <v>49.683114908940269</v>
      </c>
      <c r="CD112" s="435">
        <v>49.844028748223366</v>
      </c>
      <c r="CE112" s="435">
        <v>50.004942587506463</v>
      </c>
      <c r="CF112" s="435">
        <v>50.16585642678956</v>
      </c>
      <c r="CG112" s="435">
        <v>50.326770266072657</v>
      </c>
      <c r="CH112" s="363">
        <v>50.487684105355754</v>
      </c>
      <c r="CI112" s="362">
        <v>43.401762941132596</v>
      </c>
      <c r="CJ112" s="362">
        <v>43.807279683680719</v>
      </c>
      <c r="CK112" s="362">
        <v>44.216585300628012</v>
      </c>
      <c r="CL112" s="363">
        <v>43.925880652090115</v>
      </c>
      <c r="CM112" s="363">
        <v>43.63708725907108</v>
      </c>
      <c r="CN112" s="363">
        <v>43.497739915037997</v>
      </c>
      <c r="CO112" s="363">
        <v>43.358837552178237</v>
      </c>
      <c r="CP112" s="363">
        <v>43.22037874952288</v>
      </c>
      <c r="CQ112" s="363">
        <v>43.082362090640629</v>
      </c>
      <c r="CR112" s="363">
        <v>42.944786163623306</v>
      </c>
      <c r="CS112" s="363">
        <v>43.262447365404924</v>
      </c>
      <c r="CT112" s="363">
        <v>43.582458296877419</v>
      </c>
      <c r="CU112" s="363">
        <v>43.904836338915736</v>
      </c>
      <c r="CV112" s="363">
        <v>44.229599000960597</v>
      </c>
      <c r="CW112" s="363">
        <v>44.556763921969448</v>
      </c>
      <c r="CX112" s="435">
        <v>44.736364078360374</v>
      </c>
      <c r="CY112" s="435">
        <v>44.9159642347513</v>
      </c>
      <c r="CZ112" s="435">
        <v>45.095564391142226</v>
      </c>
      <c r="DA112" s="435">
        <v>45.275164547533151</v>
      </c>
      <c r="DB112" s="363">
        <v>45.454764703924077</v>
      </c>
      <c r="DC112" s="435">
        <v>45.601983748374572</v>
      </c>
      <c r="DD112" s="435">
        <v>45.749202792825059</v>
      </c>
      <c r="DE112" s="435">
        <v>45.896421837275554</v>
      </c>
      <c r="DF112" s="435">
        <v>46.043640881726041</v>
      </c>
      <c r="DG112" s="363">
        <v>46.190859926176536</v>
      </c>
      <c r="DH112" s="362">
        <v>0</v>
      </c>
      <c r="DI112" s="362">
        <v>0</v>
      </c>
      <c r="DJ112" s="362">
        <v>0</v>
      </c>
      <c r="DK112" s="363">
        <v>0</v>
      </c>
      <c r="DL112" s="363">
        <v>0</v>
      </c>
      <c r="DM112" s="363">
        <v>0</v>
      </c>
      <c r="DN112" s="363">
        <v>0</v>
      </c>
      <c r="DO112" s="363">
        <v>0</v>
      </c>
      <c r="DP112" s="363">
        <v>0</v>
      </c>
      <c r="DQ112" s="363">
        <v>0</v>
      </c>
      <c r="DR112" s="363">
        <v>0</v>
      </c>
      <c r="DS112" s="363">
        <v>0</v>
      </c>
      <c r="DT112" s="363">
        <v>0</v>
      </c>
      <c r="DU112" s="363">
        <v>0</v>
      </c>
      <c r="DV112" s="363">
        <v>0</v>
      </c>
      <c r="DW112" s="435">
        <v>0</v>
      </c>
      <c r="DX112" s="435">
        <v>0</v>
      </c>
      <c r="DY112" s="435">
        <v>0</v>
      </c>
      <c r="DZ112" s="435">
        <v>0</v>
      </c>
      <c r="EA112" s="363">
        <v>0</v>
      </c>
      <c r="EB112" s="435">
        <v>0</v>
      </c>
      <c r="EC112" s="435">
        <v>0</v>
      </c>
      <c r="ED112" s="435">
        <v>0</v>
      </c>
      <c r="EE112" s="435">
        <v>0</v>
      </c>
      <c r="EF112" s="363">
        <v>0</v>
      </c>
      <c r="EG112" s="364">
        <v>0</v>
      </c>
      <c r="EH112" s="364">
        <v>0</v>
      </c>
      <c r="EI112" s="364">
        <v>0</v>
      </c>
      <c r="EJ112" s="365">
        <v>0</v>
      </c>
      <c r="EK112" s="365">
        <v>0</v>
      </c>
      <c r="EL112" s="365">
        <v>0</v>
      </c>
      <c r="EM112" s="365">
        <v>0</v>
      </c>
      <c r="EN112" s="365">
        <v>0</v>
      </c>
      <c r="EO112" s="365">
        <v>0</v>
      </c>
      <c r="EP112" s="365">
        <v>0</v>
      </c>
      <c r="EQ112" s="365">
        <v>0</v>
      </c>
      <c r="ER112" s="365">
        <v>0</v>
      </c>
      <c r="ES112" s="365">
        <v>0</v>
      </c>
      <c r="ET112" s="365">
        <v>0</v>
      </c>
      <c r="EU112" s="365">
        <v>0</v>
      </c>
      <c r="EV112" s="436">
        <v>0</v>
      </c>
      <c r="EW112" s="436">
        <v>0</v>
      </c>
      <c r="EX112" s="436">
        <v>0</v>
      </c>
      <c r="EY112" s="436">
        <v>0</v>
      </c>
      <c r="EZ112" s="365">
        <v>0</v>
      </c>
      <c r="FA112" s="436">
        <v>0</v>
      </c>
      <c r="FB112" s="436">
        <v>0</v>
      </c>
      <c r="FC112" s="436">
        <v>0</v>
      </c>
      <c r="FD112" s="436">
        <v>0</v>
      </c>
      <c r="FE112" s="365">
        <v>0</v>
      </c>
      <c r="FF112" s="364">
        <v>0</v>
      </c>
      <c r="FG112" s="364">
        <v>0</v>
      </c>
      <c r="FH112" s="364">
        <v>0</v>
      </c>
      <c r="FI112" s="365">
        <v>0</v>
      </c>
      <c r="FJ112" s="365">
        <v>0</v>
      </c>
      <c r="FK112" s="365">
        <v>0</v>
      </c>
      <c r="FL112" s="365">
        <v>0</v>
      </c>
      <c r="FM112" s="365">
        <v>0</v>
      </c>
      <c r="FN112" s="365">
        <v>0</v>
      </c>
      <c r="FO112" s="365">
        <v>0</v>
      </c>
      <c r="FP112" s="365">
        <v>0</v>
      </c>
      <c r="FQ112" s="365">
        <v>0</v>
      </c>
      <c r="FR112" s="365">
        <v>0</v>
      </c>
      <c r="FS112" s="365">
        <v>0</v>
      </c>
      <c r="FT112" s="365">
        <v>0</v>
      </c>
      <c r="FU112" s="436">
        <v>0</v>
      </c>
      <c r="FV112" s="436">
        <v>0</v>
      </c>
      <c r="FW112" s="436">
        <v>0</v>
      </c>
      <c r="FX112" s="436">
        <v>0</v>
      </c>
      <c r="FY112" s="365">
        <v>0</v>
      </c>
      <c r="FZ112" s="436">
        <v>0</v>
      </c>
      <c r="GA112" s="436">
        <v>0</v>
      </c>
      <c r="GB112" s="436">
        <v>0</v>
      </c>
      <c r="GC112" s="436">
        <v>0</v>
      </c>
      <c r="GD112" s="365">
        <v>0</v>
      </c>
    </row>
    <row r="113" spans="1:186" ht="15" x14ac:dyDescent="0.25">
      <c r="A113" s="357">
        <v>99</v>
      </c>
      <c r="B113" s="357">
        <v>89</v>
      </c>
      <c r="C113" s="357" t="s">
        <v>1023</v>
      </c>
      <c r="D113" s="2">
        <v>99709</v>
      </c>
      <c r="E113" s="268" t="s">
        <v>1527</v>
      </c>
      <c r="F113" s="358" t="s">
        <v>985</v>
      </c>
      <c r="G113" s="49">
        <v>111</v>
      </c>
      <c r="H113" s="49">
        <v>58</v>
      </c>
      <c r="I113" s="49">
        <v>49</v>
      </c>
      <c r="J113" s="49">
        <v>9</v>
      </c>
      <c r="K113" s="49">
        <v>0</v>
      </c>
      <c r="L113" s="49">
        <v>76</v>
      </c>
      <c r="M113" s="49">
        <v>76</v>
      </c>
      <c r="N113" s="49">
        <v>0</v>
      </c>
      <c r="O113" s="49">
        <v>0</v>
      </c>
      <c r="P113" s="49">
        <v>0</v>
      </c>
      <c r="Q113" s="49">
        <v>76</v>
      </c>
      <c r="R113" s="49">
        <v>0</v>
      </c>
      <c r="S113" s="49">
        <v>1872.5394736842106</v>
      </c>
      <c r="T113" s="49">
        <v>1872.5394736842106</v>
      </c>
      <c r="U113" s="49">
        <v>0</v>
      </c>
      <c r="V113" s="49">
        <v>0</v>
      </c>
      <c r="W113" s="49">
        <v>0</v>
      </c>
      <c r="X113" s="49">
        <v>1872.5394736842106</v>
      </c>
      <c r="Y113" s="434">
        <v>142313</v>
      </c>
      <c r="Z113" s="434">
        <v>0</v>
      </c>
      <c r="AA113" s="49">
        <v>0</v>
      </c>
      <c r="AB113" s="49">
        <v>58</v>
      </c>
      <c r="AC113" s="49">
        <v>0</v>
      </c>
      <c r="AD113" s="285">
        <v>0</v>
      </c>
      <c r="AE113" s="285">
        <v>0</v>
      </c>
      <c r="AF113" s="359">
        <v>58</v>
      </c>
      <c r="AG113" s="360">
        <v>0</v>
      </c>
      <c r="AH113" s="360">
        <v>49</v>
      </c>
      <c r="AI113" s="361">
        <v>49</v>
      </c>
      <c r="AJ113" s="360">
        <v>0</v>
      </c>
      <c r="AK113" s="360">
        <v>0</v>
      </c>
      <c r="AL113" s="360">
        <v>55.225186910448883</v>
      </c>
      <c r="AM113" s="360">
        <v>55.225186910448883</v>
      </c>
      <c r="AN113" s="360">
        <v>0</v>
      </c>
      <c r="AO113" s="360">
        <v>0</v>
      </c>
      <c r="AP113" s="360">
        <v>46.743776816000839</v>
      </c>
      <c r="AQ113" s="360">
        <v>46.743776816000839</v>
      </c>
      <c r="AR113" s="360">
        <v>0</v>
      </c>
      <c r="AS113" s="360">
        <v>0</v>
      </c>
      <c r="AT113" s="360">
        <v>0</v>
      </c>
      <c r="AU113" s="360">
        <v>52.58312533265542</v>
      </c>
      <c r="AV113" s="360">
        <v>53.887966419521298</v>
      </c>
      <c r="AW113" s="360">
        <v>55.225186910448883</v>
      </c>
      <c r="AX113" s="360">
        <v>56.595590294704365</v>
      </c>
      <c r="AY113" s="360">
        <v>58</v>
      </c>
      <c r="AZ113" s="360">
        <v>44.591442265797909</v>
      </c>
      <c r="BA113" s="360">
        <v>45.654927720631036</v>
      </c>
      <c r="BB113" s="360">
        <v>46.743776816000839</v>
      </c>
      <c r="BC113" s="360">
        <v>47.858594463106009</v>
      </c>
      <c r="BD113" s="360">
        <v>49</v>
      </c>
      <c r="BE113" s="360">
        <v>0</v>
      </c>
      <c r="BF113" s="360">
        <v>0</v>
      </c>
      <c r="BG113" s="360">
        <v>0</v>
      </c>
      <c r="BH113" s="360">
        <v>0</v>
      </c>
      <c r="BI113" s="360">
        <v>0</v>
      </c>
      <c r="BJ113" s="362">
        <v>58.541912804318386</v>
      </c>
      <c r="BK113" s="362">
        <v>59.088888875662363</v>
      </c>
      <c r="BL113" s="362">
        <v>59.640975521777321</v>
      </c>
      <c r="BM113" s="363">
        <v>59.248862274912248</v>
      </c>
      <c r="BN113" s="363">
        <v>58.859327000607507</v>
      </c>
      <c r="BO113" s="363">
        <v>58.671370117958226</v>
      </c>
      <c r="BP113" s="363">
        <v>58.484013442472971</v>
      </c>
      <c r="BQ113" s="363">
        <v>58.297255057495981</v>
      </c>
      <c r="BR113" s="363">
        <v>58.111093052492016</v>
      </c>
      <c r="BS113" s="363">
        <v>57.925525523026785</v>
      </c>
      <c r="BT113" s="363">
        <v>58.353998771941527</v>
      </c>
      <c r="BU113" s="363">
        <v>58.785641423695125</v>
      </c>
      <c r="BV113" s="363">
        <v>59.220476922258442</v>
      </c>
      <c r="BW113" s="363">
        <v>59.658528885016622</v>
      </c>
      <c r="BX113" s="363">
        <v>60.099821104051813</v>
      </c>
      <c r="BY113" s="435">
        <v>60.342072477788413</v>
      </c>
      <c r="BZ113" s="435">
        <v>60.584323851525006</v>
      </c>
      <c r="CA113" s="435">
        <v>60.826575225261607</v>
      </c>
      <c r="CB113" s="435">
        <v>61.0688265989982</v>
      </c>
      <c r="CC113" s="363">
        <v>61.3110779727348</v>
      </c>
      <c r="CD113" s="435">
        <v>61.509652497807558</v>
      </c>
      <c r="CE113" s="435">
        <v>61.708227022880315</v>
      </c>
      <c r="CF113" s="435">
        <v>61.906801547953073</v>
      </c>
      <c r="CG113" s="435">
        <v>62.10537607302583</v>
      </c>
      <c r="CH113" s="363">
        <v>62.303950598098588</v>
      </c>
      <c r="CI113" s="362">
        <v>49.457822886406909</v>
      </c>
      <c r="CJ113" s="362">
        <v>49.919923360473376</v>
      </c>
      <c r="CK113" s="362">
        <v>50.386341389087733</v>
      </c>
      <c r="CL113" s="363">
        <v>50.055073301218961</v>
      </c>
      <c r="CM113" s="363">
        <v>49.725983155685647</v>
      </c>
      <c r="CN113" s="363">
        <v>49.567191996206084</v>
      </c>
      <c r="CO113" s="363">
        <v>49.408907908296129</v>
      </c>
      <c r="CP113" s="363">
        <v>49.25112927271212</v>
      </c>
      <c r="CQ113" s="363">
        <v>49.093854475381178</v>
      </c>
      <c r="CR113" s="363">
        <v>48.937081907384695</v>
      </c>
      <c r="CS113" s="363">
        <v>49.299067928019561</v>
      </c>
      <c r="CT113" s="363">
        <v>49.663731547604499</v>
      </c>
      <c r="CU113" s="363">
        <v>50.031092572252817</v>
      </c>
      <c r="CV113" s="363">
        <v>50.401170954583009</v>
      </c>
      <c r="CW113" s="363">
        <v>50.77398679480239</v>
      </c>
      <c r="CX113" s="435">
        <v>50.978647438131581</v>
      </c>
      <c r="CY113" s="435">
        <v>51.18330808146078</v>
      </c>
      <c r="CZ113" s="435">
        <v>51.387968724789971</v>
      </c>
      <c r="DA113" s="435">
        <v>51.592629368119169</v>
      </c>
      <c r="DB113" s="363">
        <v>51.797290011448361</v>
      </c>
      <c r="DC113" s="435">
        <v>51.965051248147759</v>
      </c>
      <c r="DD113" s="435">
        <v>52.132812484847157</v>
      </c>
      <c r="DE113" s="435">
        <v>52.300573721546556</v>
      </c>
      <c r="DF113" s="435">
        <v>52.468334958245954</v>
      </c>
      <c r="DG113" s="363">
        <v>52.636096194945353</v>
      </c>
      <c r="DH113" s="362">
        <v>0</v>
      </c>
      <c r="DI113" s="362">
        <v>0</v>
      </c>
      <c r="DJ113" s="362">
        <v>0</v>
      </c>
      <c r="DK113" s="363">
        <v>0</v>
      </c>
      <c r="DL113" s="363">
        <v>0</v>
      </c>
      <c r="DM113" s="363">
        <v>0</v>
      </c>
      <c r="DN113" s="363">
        <v>0</v>
      </c>
      <c r="DO113" s="363">
        <v>0</v>
      </c>
      <c r="DP113" s="363">
        <v>0</v>
      </c>
      <c r="DQ113" s="363">
        <v>0</v>
      </c>
      <c r="DR113" s="363">
        <v>0</v>
      </c>
      <c r="DS113" s="363">
        <v>0</v>
      </c>
      <c r="DT113" s="363">
        <v>0</v>
      </c>
      <c r="DU113" s="363">
        <v>0</v>
      </c>
      <c r="DV113" s="363">
        <v>0</v>
      </c>
      <c r="DW113" s="435">
        <v>0</v>
      </c>
      <c r="DX113" s="435">
        <v>0</v>
      </c>
      <c r="DY113" s="435">
        <v>0</v>
      </c>
      <c r="DZ113" s="435">
        <v>0</v>
      </c>
      <c r="EA113" s="363">
        <v>0</v>
      </c>
      <c r="EB113" s="435">
        <v>0</v>
      </c>
      <c r="EC113" s="435">
        <v>0</v>
      </c>
      <c r="ED113" s="435">
        <v>0</v>
      </c>
      <c r="EE113" s="435">
        <v>0</v>
      </c>
      <c r="EF113" s="363">
        <v>0</v>
      </c>
      <c r="EG113" s="364">
        <v>0</v>
      </c>
      <c r="EH113" s="364">
        <v>0</v>
      </c>
      <c r="EI113" s="364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436">
        <v>0</v>
      </c>
      <c r="EW113" s="436">
        <v>0</v>
      </c>
      <c r="EX113" s="436">
        <v>0</v>
      </c>
      <c r="EY113" s="436">
        <v>0</v>
      </c>
      <c r="EZ113" s="365">
        <v>0</v>
      </c>
      <c r="FA113" s="436">
        <v>0</v>
      </c>
      <c r="FB113" s="436">
        <v>0</v>
      </c>
      <c r="FC113" s="436">
        <v>0</v>
      </c>
      <c r="FD113" s="436">
        <v>0</v>
      </c>
      <c r="FE113" s="365">
        <v>0</v>
      </c>
      <c r="FF113" s="364">
        <v>0</v>
      </c>
      <c r="FG113" s="364">
        <v>0</v>
      </c>
      <c r="FH113" s="364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5">
        <v>0</v>
      </c>
      <c r="FP113" s="365">
        <v>0</v>
      </c>
      <c r="FQ113" s="365">
        <v>0</v>
      </c>
      <c r="FR113" s="365">
        <v>0</v>
      </c>
      <c r="FS113" s="365">
        <v>0</v>
      </c>
      <c r="FT113" s="365">
        <v>0</v>
      </c>
      <c r="FU113" s="436">
        <v>0</v>
      </c>
      <c r="FV113" s="436">
        <v>0</v>
      </c>
      <c r="FW113" s="436">
        <v>0</v>
      </c>
      <c r="FX113" s="436">
        <v>0</v>
      </c>
      <c r="FY113" s="365">
        <v>0</v>
      </c>
      <c r="FZ113" s="436">
        <v>0</v>
      </c>
      <c r="GA113" s="436">
        <v>0</v>
      </c>
      <c r="GB113" s="436">
        <v>0</v>
      </c>
      <c r="GC113" s="436">
        <v>0</v>
      </c>
      <c r="GD113" s="365">
        <v>0</v>
      </c>
    </row>
    <row r="114" spans="1:186" ht="15" x14ac:dyDescent="0.25">
      <c r="A114" s="357">
        <v>100</v>
      </c>
      <c r="B114" s="357">
        <v>89</v>
      </c>
      <c r="C114" s="357" t="s">
        <v>1024</v>
      </c>
      <c r="D114" s="2">
        <v>99709</v>
      </c>
      <c r="E114" s="268" t="s">
        <v>1527</v>
      </c>
      <c r="F114" s="358" t="s">
        <v>985</v>
      </c>
      <c r="G114" s="49">
        <v>32</v>
      </c>
      <c r="H114" s="49">
        <v>19</v>
      </c>
      <c r="I114" s="49">
        <v>13</v>
      </c>
      <c r="J114" s="49">
        <v>6</v>
      </c>
      <c r="K114" s="49">
        <v>0</v>
      </c>
      <c r="L114" s="49">
        <v>44</v>
      </c>
      <c r="M114" s="49">
        <v>44</v>
      </c>
      <c r="N114" s="49">
        <v>0</v>
      </c>
      <c r="O114" s="49">
        <v>0</v>
      </c>
      <c r="P114" s="49">
        <v>0</v>
      </c>
      <c r="Q114" s="49">
        <v>44</v>
      </c>
      <c r="R114" s="49">
        <v>0</v>
      </c>
      <c r="S114" s="49">
        <v>1936.340909090909</v>
      </c>
      <c r="T114" s="49">
        <v>1936.340909090909</v>
      </c>
      <c r="U114" s="49">
        <v>0</v>
      </c>
      <c r="V114" s="49">
        <v>0</v>
      </c>
      <c r="W114" s="49">
        <v>0</v>
      </c>
      <c r="X114" s="49">
        <v>1936.340909090909</v>
      </c>
      <c r="Y114" s="434">
        <v>85199</v>
      </c>
      <c r="Z114" s="434">
        <v>0</v>
      </c>
      <c r="AA114" s="49">
        <v>0</v>
      </c>
      <c r="AB114" s="49">
        <v>19</v>
      </c>
      <c r="AC114" s="49">
        <v>0</v>
      </c>
      <c r="AD114" s="285">
        <v>0</v>
      </c>
      <c r="AE114" s="285">
        <v>0</v>
      </c>
      <c r="AF114" s="359">
        <v>19</v>
      </c>
      <c r="AG114" s="360">
        <v>0</v>
      </c>
      <c r="AH114" s="360">
        <v>13</v>
      </c>
      <c r="AI114" s="361">
        <v>13</v>
      </c>
      <c r="AJ114" s="360">
        <v>0</v>
      </c>
      <c r="AK114" s="360">
        <v>0</v>
      </c>
      <c r="AL114" s="360">
        <v>18.091009505147049</v>
      </c>
      <c r="AM114" s="360">
        <v>18.091009505147049</v>
      </c>
      <c r="AN114" s="360">
        <v>0</v>
      </c>
      <c r="AO114" s="360">
        <v>0</v>
      </c>
      <c r="AP114" s="360">
        <v>12.401410175673693</v>
      </c>
      <c r="AQ114" s="360">
        <v>12.401410175673693</v>
      </c>
      <c r="AR114" s="360">
        <v>0</v>
      </c>
      <c r="AS114" s="360">
        <v>0</v>
      </c>
      <c r="AT114" s="360">
        <v>0</v>
      </c>
      <c r="AU114" s="360">
        <v>17.22550657449057</v>
      </c>
      <c r="AV114" s="360">
        <v>17.652954516739737</v>
      </c>
      <c r="AW114" s="360">
        <v>18.091009505147049</v>
      </c>
      <c r="AX114" s="360">
        <v>18.539934751713499</v>
      </c>
      <c r="AY114" s="360">
        <v>19</v>
      </c>
      <c r="AZ114" s="360">
        <v>11.830382641946384</v>
      </c>
      <c r="BA114" s="360">
        <v>12.112531844249052</v>
      </c>
      <c r="BB114" s="360">
        <v>12.401410175673693</v>
      </c>
      <c r="BC114" s="360">
        <v>12.697178122864859</v>
      </c>
      <c r="BD114" s="360">
        <v>13</v>
      </c>
      <c r="BE114" s="360">
        <v>0</v>
      </c>
      <c r="BF114" s="360">
        <v>0</v>
      </c>
      <c r="BG114" s="360">
        <v>0</v>
      </c>
      <c r="BH114" s="360">
        <v>0</v>
      </c>
      <c r="BI114" s="360">
        <v>0</v>
      </c>
      <c r="BJ114" s="362">
        <v>19.177523160035332</v>
      </c>
      <c r="BK114" s="362">
        <v>19.356704976510084</v>
      </c>
      <c r="BL114" s="362">
        <v>19.537560946789121</v>
      </c>
      <c r="BM114" s="363">
        <v>19.4091100555747</v>
      </c>
      <c r="BN114" s="363">
        <v>19.281503672612804</v>
      </c>
      <c r="BO114" s="363">
        <v>19.219931590365626</v>
      </c>
      <c r="BP114" s="363">
        <v>19.15855612770666</v>
      </c>
      <c r="BQ114" s="363">
        <v>19.097376656765924</v>
      </c>
      <c r="BR114" s="363">
        <v>19.036392551678418</v>
      </c>
      <c r="BS114" s="363">
        <v>18.97560318857774</v>
      </c>
      <c r="BT114" s="363">
        <v>19.115965114946359</v>
      </c>
      <c r="BU114" s="363">
        <v>19.257365293969091</v>
      </c>
      <c r="BV114" s="363">
        <v>19.399811405567419</v>
      </c>
      <c r="BW114" s="363">
        <v>19.543311186470962</v>
      </c>
      <c r="BX114" s="363">
        <v>19.687872430637661</v>
      </c>
      <c r="BY114" s="435">
        <v>19.76723063927551</v>
      </c>
      <c r="BZ114" s="435">
        <v>19.846588847913363</v>
      </c>
      <c r="CA114" s="435">
        <v>19.925947056551212</v>
      </c>
      <c r="CB114" s="435">
        <v>20.005305265189065</v>
      </c>
      <c r="CC114" s="363">
        <v>20.084663473826915</v>
      </c>
      <c r="CD114" s="435">
        <v>20.149713749281783</v>
      </c>
      <c r="CE114" s="435">
        <v>20.214764024736652</v>
      </c>
      <c r="CF114" s="435">
        <v>20.279814300191521</v>
      </c>
      <c r="CG114" s="435">
        <v>20.34486457564639</v>
      </c>
      <c r="CH114" s="363">
        <v>20.409914851101259</v>
      </c>
      <c r="CI114" s="362">
        <v>13.121463214761016</v>
      </c>
      <c r="CJ114" s="362">
        <v>13.244061299717426</v>
      </c>
      <c r="CK114" s="362">
        <v>13.3678048583294</v>
      </c>
      <c r="CL114" s="363">
        <v>13.279917406445849</v>
      </c>
      <c r="CM114" s="363">
        <v>13.192607775998235</v>
      </c>
      <c r="CN114" s="363">
        <v>13.150479509197535</v>
      </c>
      <c r="CO114" s="363">
        <v>13.10848577158877</v>
      </c>
      <c r="CP114" s="363">
        <v>13.066626133576685</v>
      </c>
      <c r="CQ114" s="363">
        <v>13.024900166937865</v>
      </c>
      <c r="CR114" s="363">
        <v>12.983307444816349</v>
      </c>
      <c r="CS114" s="363">
        <v>13.079344552331721</v>
      </c>
      <c r="CT114" s="363">
        <v>13.176092043242011</v>
      </c>
      <c r="CU114" s="363">
        <v>13.27355517223034</v>
      </c>
      <c r="CV114" s="363">
        <v>13.371739232848554</v>
      </c>
      <c r="CW114" s="363">
        <v>13.470649557804718</v>
      </c>
      <c r="CX114" s="435">
        <v>13.5249472795043</v>
      </c>
      <c r="CY114" s="435">
        <v>13.579245001203882</v>
      </c>
      <c r="CZ114" s="435">
        <v>13.633542722903465</v>
      </c>
      <c r="DA114" s="435">
        <v>13.687840444603047</v>
      </c>
      <c r="DB114" s="363">
        <v>13.742138166302629</v>
      </c>
      <c r="DC114" s="435">
        <v>13.786646249508593</v>
      </c>
      <c r="DD114" s="435">
        <v>13.831154332714554</v>
      </c>
      <c r="DE114" s="435">
        <v>13.875662415920518</v>
      </c>
      <c r="DF114" s="435">
        <v>13.920170499126479</v>
      </c>
      <c r="DG114" s="363">
        <v>13.964678582332443</v>
      </c>
      <c r="DH114" s="362">
        <v>0</v>
      </c>
      <c r="DI114" s="362">
        <v>0</v>
      </c>
      <c r="DJ114" s="362">
        <v>0</v>
      </c>
      <c r="DK114" s="363">
        <v>0</v>
      </c>
      <c r="DL114" s="363">
        <v>0</v>
      </c>
      <c r="DM114" s="363">
        <v>0</v>
      </c>
      <c r="DN114" s="363">
        <v>0</v>
      </c>
      <c r="DO114" s="363">
        <v>0</v>
      </c>
      <c r="DP114" s="363">
        <v>0</v>
      </c>
      <c r="DQ114" s="363">
        <v>0</v>
      </c>
      <c r="DR114" s="363">
        <v>0</v>
      </c>
      <c r="DS114" s="363">
        <v>0</v>
      </c>
      <c r="DT114" s="363">
        <v>0</v>
      </c>
      <c r="DU114" s="363">
        <v>0</v>
      </c>
      <c r="DV114" s="363">
        <v>0</v>
      </c>
      <c r="DW114" s="435">
        <v>0</v>
      </c>
      <c r="DX114" s="435">
        <v>0</v>
      </c>
      <c r="DY114" s="435">
        <v>0</v>
      </c>
      <c r="DZ114" s="435">
        <v>0</v>
      </c>
      <c r="EA114" s="363">
        <v>0</v>
      </c>
      <c r="EB114" s="435">
        <v>0</v>
      </c>
      <c r="EC114" s="435">
        <v>0</v>
      </c>
      <c r="ED114" s="435">
        <v>0</v>
      </c>
      <c r="EE114" s="435">
        <v>0</v>
      </c>
      <c r="EF114" s="363">
        <v>0</v>
      </c>
      <c r="EG114" s="364">
        <v>0</v>
      </c>
      <c r="EH114" s="364">
        <v>0</v>
      </c>
      <c r="EI114" s="364">
        <v>0</v>
      </c>
      <c r="EJ114" s="365">
        <v>0</v>
      </c>
      <c r="EK114" s="365">
        <v>0</v>
      </c>
      <c r="EL114" s="365">
        <v>0</v>
      </c>
      <c r="EM114" s="365">
        <v>0</v>
      </c>
      <c r="EN114" s="365">
        <v>0</v>
      </c>
      <c r="EO114" s="365">
        <v>0</v>
      </c>
      <c r="EP114" s="365">
        <v>0</v>
      </c>
      <c r="EQ114" s="365">
        <v>0</v>
      </c>
      <c r="ER114" s="365">
        <v>0</v>
      </c>
      <c r="ES114" s="365">
        <v>0</v>
      </c>
      <c r="ET114" s="365">
        <v>0</v>
      </c>
      <c r="EU114" s="365">
        <v>0</v>
      </c>
      <c r="EV114" s="436">
        <v>0</v>
      </c>
      <c r="EW114" s="436">
        <v>0</v>
      </c>
      <c r="EX114" s="436">
        <v>0</v>
      </c>
      <c r="EY114" s="436">
        <v>0</v>
      </c>
      <c r="EZ114" s="365">
        <v>0</v>
      </c>
      <c r="FA114" s="436">
        <v>0</v>
      </c>
      <c r="FB114" s="436">
        <v>0</v>
      </c>
      <c r="FC114" s="436">
        <v>0</v>
      </c>
      <c r="FD114" s="436">
        <v>0</v>
      </c>
      <c r="FE114" s="365">
        <v>0</v>
      </c>
      <c r="FF114" s="364">
        <v>0</v>
      </c>
      <c r="FG114" s="364">
        <v>0</v>
      </c>
      <c r="FH114" s="364">
        <v>0</v>
      </c>
      <c r="FI114" s="365">
        <v>0</v>
      </c>
      <c r="FJ114" s="365">
        <v>0</v>
      </c>
      <c r="FK114" s="365">
        <v>0</v>
      </c>
      <c r="FL114" s="365">
        <v>0</v>
      </c>
      <c r="FM114" s="365">
        <v>0</v>
      </c>
      <c r="FN114" s="365">
        <v>0</v>
      </c>
      <c r="FO114" s="365">
        <v>0</v>
      </c>
      <c r="FP114" s="365">
        <v>0</v>
      </c>
      <c r="FQ114" s="365">
        <v>0</v>
      </c>
      <c r="FR114" s="365">
        <v>0</v>
      </c>
      <c r="FS114" s="365">
        <v>0</v>
      </c>
      <c r="FT114" s="365">
        <v>0</v>
      </c>
      <c r="FU114" s="436">
        <v>0</v>
      </c>
      <c r="FV114" s="436">
        <v>0</v>
      </c>
      <c r="FW114" s="436">
        <v>0</v>
      </c>
      <c r="FX114" s="436">
        <v>0</v>
      </c>
      <c r="FY114" s="365">
        <v>0</v>
      </c>
      <c r="FZ114" s="436">
        <v>0</v>
      </c>
      <c r="GA114" s="436">
        <v>0</v>
      </c>
      <c r="GB114" s="436">
        <v>0</v>
      </c>
      <c r="GC114" s="436">
        <v>0</v>
      </c>
      <c r="GD114" s="365">
        <v>0</v>
      </c>
    </row>
    <row r="115" spans="1:186" ht="15" x14ac:dyDescent="0.25">
      <c r="A115" s="357">
        <v>116</v>
      </c>
      <c r="B115" s="357">
        <v>89</v>
      </c>
      <c r="C115" s="357" t="s">
        <v>1025</v>
      </c>
      <c r="D115" s="2">
        <v>99705</v>
      </c>
      <c r="E115" s="268" t="s">
        <v>218</v>
      </c>
      <c r="F115" s="358" t="s">
        <v>985</v>
      </c>
      <c r="G115" s="49">
        <v>132</v>
      </c>
      <c r="H115" s="49">
        <v>61</v>
      </c>
      <c r="I115" s="49">
        <v>56</v>
      </c>
      <c r="J115" s="49">
        <v>5</v>
      </c>
      <c r="K115" s="49">
        <v>1</v>
      </c>
      <c r="L115" s="49">
        <v>30</v>
      </c>
      <c r="M115" s="49">
        <v>31</v>
      </c>
      <c r="N115" s="49">
        <v>0</v>
      </c>
      <c r="O115" s="49">
        <v>0</v>
      </c>
      <c r="P115" s="49">
        <v>0</v>
      </c>
      <c r="Q115" s="49">
        <v>31</v>
      </c>
      <c r="R115" s="49">
        <v>5824</v>
      </c>
      <c r="S115" s="49">
        <v>1614.9</v>
      </c>
      <c r="T115" s="49">
        <v>1750.6774193548388</v>
      </c>
      <c r="U115" s="49">
        <v>0</v>
      </c>
      <c r="V115" s="49">
        <v>0</v>
      </c>
      <c r="W115" s="49">
        <v>0</v>
      </c>
      <c r="X115" s="49">
        <v>1750.6774193548388</v>
      </c>
      <c r="Y115" s="434">
        <v>54271</v>
      </c>
      <c r="Z115" s="434">
        <v>0</v>
      </c>
      <c r="AA115" s="49">
        <v>1.967741935483871</v>
      </c>
      <c r="AB115" s="49">
        <v>59.032258064516128</v>
      </c>
      <c r="AC115" s="49">
        <v>0</v>
      </c>
      <c r="AD115" s="285">
        <v>0</v>
      </c>
      <c r="AE115" s="285">
        <v>0</v>
      </c>
      <c r="AF115" s="359">
        <v>61</v>
      </c>
      <c r="AG115" s="360">
        <v>1.8064516129032258</v>
      </c>
      <c r="AH115" s="360">
        <v>54.193548387096776</v>
      </c>
      <c r="AI115" s="361">
        <v>56</v>
      </c>
      <c r="AJ115" s="360">
        <v>0</v>
      </c>
      <c r="AK115" s="360">
        <v>1.8263630230152417</v>
      </c>
      <c r="AL115" s="360">
        <v>54.790890690457246</v>
      </c>
      <c r="AM115" s="360">
        <v>56.617253713472486</v>
      </c>
      <c r="AN115" s="360">
        <v>0</v>
      </c>
      <c r="AO115" s="360">
        <v>1.6852608975431678</v>
      </c>
      <c r="AP115" s="360">
        <v>50.557826926295036</v>
      </c>
      <c r="AQ115" s="360">
        <v>52.243087823838202</v>
      </c>
      <c r="AR115" s="360">
        <v>0</v>
      </c>
      <c r="AS115" s="360">
        <v>0</v>
      </c>
      <c r="AT115" s="360">
        <v>0</v>
      </c>
      <c r="AU115" s="360">
        <v>52.549400295995326</v>
      </c>
      <c r="AV115" s="360">
        <v>54.545418955666605</v>
      </c>
      <c r="AW115" s="360">
        <v>56.617253713472493</v>
      </c>
      <c r="AX115" s="360">
        <v>58.76778434245945</v>
      </c>
      <c r="AY115" s="360">
        <v>61</v>
      </c>
      <c r="AZ115" s="360">
        <v>48.738218310165557</v>
      </c>
      <c r="BA115" s="360">
        <v>50.460232060062687</v>
      </c>
      <c r="BB115" s="360">
        <v>52.243087823838202</v>
      </c>
      <c r="BC115" s="360">
        <v>54.088935265310404</v>
      </c>
      <c r="BD115" s="360">
        <v>56</v>
      </c>
      <c r="BE115" s="360">
        <v>0</v>
      </c>
      <c r="BF115" s="360">
        <v>0</v>
      </c>
      <c r="BG115" s="360">
        <v>0</v>
      </c>
      <c r="BH115" s="360">
        <v>0</v>
      </c>
      <c r="BI115" s="360">
        <v>0</v>
      </c>
      <c r="BJ115" s="362">
        <v>61.626700107245526</v>
      </c>
      <c r="BK115" s="362">
        <v>62.259838788661888</v>
      </c>
      <c r="BL115" s="362">
        <v>62.899482192693753</v>
      </c>
      <c r="BM115" s="363">
        <v>62.485945694121504</v>
      </c>
      <c r="BN115" s="363">
        <v>62.075128016590213</v>
      </c>
      <c r="BO115" s="363">
        <v>61.876902040409192</v>
      </c>
      <c r="BP115" s="363">
        <v>61.679309063931733</v>
      </c>
      <c r="BQ115" s="363">
        <v>61.482347065784886</v>
      </c>
      <c r="BR115" s="363">
        <v>61.286014031050613</v>
      </c>
      <c r="BS115" s="363">
        <v>61.090307951245158</v>
      </c>
      <c r="BT115" s="363">
        <v>61.542190993975019</v>
      </c>
      <c r="BU115" s="363">
        <v>61.997416601035546</v>
      </c>
      <c r="BV115" s="363">
        <v>62.456009497267551</v>
      </c>
      <c r="BW115" s="363">
        <v>62.917994590400752</v>
      </c>
      <c r="BX115" s="363">
        <v>63.383396972406437</v>
      </c>
      <c r="BY115" s="435">
        <v>63.638883839198833</v>
      </c>
      <c r="BZ115" s="435">
        <v>63.894370705991228</v>
      </c>
      <c r="CA115" s="435">
        <v>64.149857572783617</v>
      </c>
      <c r="CB115" s="435">
        <v>64.405344439576012</v>
      </c>
      <c r="CC115" s="363">
        <v>64.660831306368408</v>
      </c>
      <c r="CD115" s="435">
        <v>64.870255023778526</v>
      </c>
      <c r="CE115" s="435">
        <v>65.079678741188644</v>
      </c>
      <c r="CF115" s="435">
        <v>65.289102458598762</v>
      </c>
      <c r="CG115" s="435">
        <v>65.49852617600888</v>
      </c>
      <c r="CH115" s="363">
        <v>65.707949893418998</v>
      </c>
      <c r="CI115" s="362">
        <v>56.575331245995891</v>
      </c>
      <c r="CJ115" s="362">
        <v>57.156573314181408</v>
      </c>
      <c r="CK115" s="362">
        <v>57.743786930997544</v>
      </c>
      <c r="CL115" s="363">
        <v>57.364146866734494</v>
      </c>
      <c r="CM115" s="363">
        <v>56.987002769328726</v>
      </c>
      <c r="CN115" s="363">
        <v>56.805024823982208</v>
      </c>
      <c r="CO115" s="363">
        <v>56.623627993117658</v>
      </c>
      <c r="CP115" s="363">
        <v>56.442810421048421</v>
      </c>
      <c r="CQ115" s="363">
        <v>56.262570258013675</v>
      </c>
      <c r="CR115" s="363">
        <v>56.08290566015949</v>
      </c>
      <c r="CS115" s="363">
        <v>56.497749109222973</v>
      </c>
      <c r="CT115" s="363">
        <v>56.915661141934272</v>
      </c>
      <c r="CU115" s="363">
        <v>57.336664456507918</v>
      </c>
      <c r="CV115" s="363">
        <v>57.760781919056427</v>
      </c>
      <c r="CW115" s="363">
        <v>58.188036564832139</v>
      </c>
      <c r="CX115" s="435">
        <v>58.422581885166139</v>
      </c>
      <c r="CY115" s="435">
        <v>58.657127205500139</v>
      </c>
      <c r="CZ115" s="435">
        <v>58.891672525834146</v>
      </c>
      <c r="DA115" s="435">
        <v>59.126217846168146</v>
      </c>
      <c r="DB115" s="363">
        <v>59.360763166502146</v>
      </c>
      <c r="DC115" s="435">
        <v>59.553021005436023</v>
      </c>
      <c r="DD115" s="435">
        <v>59.745278844369906</v>
      </c>
      <c r="DE115" s="435">
        <v>59.937536683303783</v>
      </c>
      <c r="DF115" s="435">
        <v>60.129794522237667</v>
      </c>
      <c r="DG115" s="363">
        <v>60.322052361171544</v>
      </c>
      <c r="DH115" s="362">
        <v>0</v>
      </c>
      <c r="DI115" s="362">
        <v>0</v>
      </c>
      <c r="DJ115" s="362">
        <v>0</v>
      </c>
      <c r="DK115" s="363">
        <v>0</v>
      </c>
      <c r="DL115" s="363">
        <v>0</v>
      </c>
      <c r="DM115" s="363">
        <v>0</v>
      </c>
      <c r="DN115" s="363">
        <v>0</v>
      </c>
      <c r="DO115" s="363">
        <v>0</v>
      </c>
      <c r="DP115" s="363">
        <v>0</v>
      </c>
      <c r="DQ115" s="363">
        <v>0</v>
      </c>
      <c r="DR115" s="363">
        <v>0</v>
      </c>
      <c r="DS115" s="363">
        <v>0</v>
      </c>
      <c r="DT115" s="363">
        <v>0</v>
      </c>
      <c r="DU115" s="363">
        <v>0</v>
      </c>
      <c r="DV115" s="363">
        <v>0</v>
      </c>
      <c r="DW115" s="435">
        <v>0</v>
      </c>
      <c r="DX115" s="435">
        <v>0</v>
      </c>
      <c r="DY115" s="435">
        <v>0</v>
      </c>
      <c r="DZ115" s="435">
        <v>0</v>
      </c>
      <c r="EA115" s="363">
        <v>0</v>
      </c>
      <c r="EB115" s="435">
        <v>0</v>
      </c>
      <c r="EC115" s="435">
        <v>0</v>
      </c>
      <c r="ED115" s="435">
        <v>0</v>
      </c>
      <c r="EE115" s="435">
        <v>0</v>
      </c>
      <c r="EF115" s="363">
        <v>0</v>
      </c>
      <c r="EG115" s="364">
        <v>0</v>
      </c>
      <c r="EH115" s="364">
        <v>0</v>
      </c>
      <c r="EI115" s="364">
        <v>0</v>
      </c>
      <c r="EJ115" s="365">
        <v>0</v>
      </c>
      <c r="EK115" s="365">
        <v>0</v>
      </c>
      <c r="EL115" s="365">
        <v>0</v>
      </c>
      <c r="EM115" s="365">
        <v>0</v>
      </c>
      <c r="EN115" s="365">
        <v>0</v>
      </c>
      <c r="EO115" s="365">
        <v>0</v>
      </c>
      <c r="EP115" s="365">
        <v>0</v>
      </c>
      <c r="EQ115" s="365">
        <v>0</v>
      </c>
      <c r="ER115" s="365">
        <v>0</v>
      </c>
      <c r="ES115" s="365">
        <v>0</v>
      </c>
      <c r="ET115" s="365">
        <v>0</v>
      </c>
      <c r="EU115" s="365">
        <v>0</v>
      </c>
      <c r="EV115" s="436">
        <v>0</v>
      </c>
      <c r="EW115" s="436">
        <v>0</v>
      </c>
      <c r="EX115" s="436">
        <v>0</v>
      </c>
      <c r="EY115" s="436">
        <v>0</v>
      </c>
      <c r="EZ115" s="365">
        <v>0</v>
      </c>
      <c r="FA115" s="436">
        <v>0</v>
      </c>
      <c r="FB115" s="436">
        <v>0</v>
      </c>
      <c r="FC115" s="436">
        <v>0</v>
      </c>
      <c r="FD115" s="436">
        <v>0</v>
      </c>
      <c r="FE115" s="365">
        <v>0</v>
      </c>
      <c r="FF115" s="364">
        <v>0</v>
      </c>
      <c r="FG115" s="364">
        <v>0</v>
      </c>
      <c r="FH115" s="364">
        <v>0</v>
      </c>
      <c r="FI115" s="365">
        <v>0</v>
      </c>
      <c r="FJ115" s="365">
        <v>0</v>
      </c>
      <c r="FK115" s="365">
        <v>0</v>
      </c>
      <c r="FL115" s="365">
        <v>0</v>
      </c>
      <c r="FM115" s="365">
        <v>0</v>
      </c>
      <c r="FN115" s="365">
        <v>0</v>
      </c>
      <c r="FO115" s="365">
        <v>0</v>
      </c>
      <c r="FP115" s="365">
        <v>0</v>
      </c>
      <c r="FQ115" s="365">
        <v>0</v>
      </c>
      <c r="FR115" s="365">
        <v>0</v>
      </c>
      <c r="FS115" s="365">
        <v>0</v>
      </c>
      <c r="FT115" s="365">
        <v>0</v>
      </c>
      <c r="FU115" s="436">
        <v>0</v>
      </c>
      <c r="FV115" s="436">
        <v>0</v>
      </c>
      <c r="FW115" s="436">
        <v>0</v>
      </c>
      <c r="FX115" s="436">
        <v>0</v>
      </c>
      <c r="FY115" s="365">
        <v>0</v>
      </c>
      <c r="FZ115" s="436">
        <v>0</v>
      </c>
      <c r="GA115" s="436">
        <v>0</v>
      </c>
      <c r="GB115" s="436">
        <v>0</v>
      </c>
      <c r="GC115" s="436">
        <v>0</v>
      </c>
      <c r="GD115" s="365">
        <v>0</v>
      </c>
    </row>
    <row r="116" spans="1:186" ht="15" x14ac:dyDescent="0.25">
      <c r="A116" s="357">
        <v>117</v>
      </c>
      <c r="B116" s="357">
        <v>89</v>
      </c>
      <c r="C116" s="357" t="s">
        <v>1026</v>
      </c>
      <c r="D116" s="2">
        <v>99705</v>
      </c>
      <c r="E116" s="268" t="s">
        <v>218</v>
      </c>
      <c r="F116" s="358" t="s">
        <v>985</v>
      </c>
      <c r="G116" s="49">
        <v>46</v>
      </c>
      <c r="H116" s="49">
        <v>15</v>
      </c>
      <c r="I116" s="49">
        <v>12</v>
      </c>
      <c r="J116" s="49">
        <v>3</v>
      </c>
      <c r="K116" s="49">
        <v>0</v>
      </c>
      <c r="L116" s="49">
        <v>18</v>
      </c>
      <c r="M116" s="49">
        <v>18</v>
      </c>
      <c r="N116" s="49">
        <v>5</v>
      </c>
      <c r="O116" s="49">
        <v>0</v>
      </c>
      <c r="P116" s="49">
        <v>0</v>
      </c>
      <c r="Q116" s="49">
        <v>23</v>
      </c>
      <c r="R116" s="49">
        <v>0</v>
      </c>
      <c r="S116" s="49">
        <v>1696.7222222222222</v>
      </c>
      <c r="T116" s="49">
        <v>1696.7222222222222</v>
      </c>
      <c r="U116" s="49">
        <v>10182.200000000001</v>
      </c>
      <c r="V116" s="49">
        <v>0</v>
      </c>
      <c r="W116" s="49">
        <v>0</v>
      </c>
      <c r="X116" s="49">
        <v>3541.391304347826</v>
      </c>
      <c r="Y116" s="434">
        <v>30541</v>
      </c>
      <c r="Z116" s="434">
        <v>50911</v>
      </c>
      <c r="AA116" s="49">
        <v>0</v>
      </c>
      <c r="AB116" s="49">
        <v>15</v>
      </c>
      <c r="AC116" s="49">
        <v>0</v>
      </c>
      <c r="AD116" s="285">
        <v>5</v>
      </c>
      <c r="AE116" s="285">
        <v>0</v>
      </c>
      <c r="AF116" s="359">
        <v>20</v>
      </c>
      <c r="AG116" s="360">
        <v>0</v>
      </c>
      <c r="AH116" s="360">
        <v>12</v>
      </c>
      <c r="AI116" s="361">
        <v>12</v>
      </c>
      <c r="AJ116" s="360">
        <v>0</v>
      </c>
      <c r="AK116" s="360">
        <v>0</v>
      </c>
      <c r="AL116" s="360">
        <v>13.922275503312909</v>
      </c>
      <c r="AM116" s="360">
        <v>13.922275503312909</v>
      </c>
      <c r="AN116" s="360">
        <v>0</v>
      </c>
      <c r="AO116" s="360">
        <v>0</v>
      </c>
      <c r="AP116" s="360">
        <v>11.194947390822472</v>
      </c>
      <c r="AQ116" s="360">
        <v>11.194947390822472</v>
      </c>
      <c r="AR116" s="360">
        <v>0</v>
      </c>
      <c r="AS116" s="360">
        <v>4.7005383366745468</v>
      </c>
      <c r="AT116" s="360">
        <v>0</v>
      </c>
      <c r="AU116" s="360">
        <v>12.921983679343112</v>
      </c>
      <c r="AV116" s="360">
        <v>13.412807939918018</v>
      </c>
      <c r="AW116" s="360">
        <v>13.922275503312909</v>
      </c>
      <c r="AX116" s="360">
        <v>14.451094510440848</v>
      </c>
      <c r="AY116" s="360">
        <v>15</v>
      </c>
      <c r="AZ116" s="360">
        <v>10.443903923606905</v>
      </c>
      <c r="BA116" s="360">
        <v>10.812906870013432</v>
      </c>
      <c r="BB116" s="360">
        <v>11.194947390822472</v>
      </c>
      <c r="BC116" s="360">
        <v>11.5904861282808</v>
      </c>
      <c r="BD116" s="360">
        <v>12</v>
      </c>
      <c r="BE116" s="360">
        <v>4.4190121309094232</v>
      </c>
      <c r="BF116" s="360">
        <v>4.5576019935454681</v>
      </c>
      <c r="BG116" s="360">
        <v>4.7005383366745468</v>
      </c>
      <c r="BH116" s="360">
        <v>4.8479574754088688</v>
      </c>
      <c r="BI116" s="360">
        <v>5</v>
      </c>
      <c r="BJ116" s="362">
        <v>15.1541065837489</v>
      </c>
      <c r="BK116" s="362">
        <v>15.309796423441448</v>
      </c>
      <c r="BL116" s="362">
        <v>15.467085785088628</v>
      </c>
      <c r="BM116" s="363">
        <v>15.365396482161024</v>
      </c>
      <c r="BN116" s="363">
        <v>15.264375741784479</v>
      </c>
      <c r="BO116" s="363">
        <v>15.215631649280949</v>
      </c>
      <c r="BP116" s="363">
        <v>15.167043212442231</v>
      </c>
      <c r="BQ116" s="363">
        <v>15.118609934209399</v>
      </c>
      <c r="BR116" s="363">
        <v>15.070331319110807</v>
      </c>
      <c r="BS116" s="363">
        <v>15.022206873257005</v>
      </c>
      <c r="BT116" s="363">
        <v>15.133325654256153</v>
      </c>
      <c r="BU116" s="363">
        <v>15.245266377303823</v>
      </c>
      <c r="BV116" s="363">
        <v>15.358035122278906</v>
      </c>
      <c r="BW116" s="363">
        <v>15.471638014032971</v>
      </c>
      <c r="BX116" s="363">
        <v>15.586081222722894</v>
      </c>
      <c r="BY116" s="435">
        <v>15.648905862098074</v>
      </c>
      <c r="BZ116" s="435">
        <v>15.711730501473252</v>
      </c>
      <c r="CA116" s="435">
        <v>15.774555140848431</v>
      </c>
      <c r="CB116" s="435">
        <v>15.837379780223609</v>
      </c>
      <c r="CC116" s="363">
        <v>15.900204419598788</v>
      </c>
      <c r="CD116" s="435">
        <v>15.951702055027507</v>
      </c>
      <c r="CE116" s="435">
        <v>16.003199690456224</v>
      </c>
      <c r="CF116" s="435">
        <v>16.054697325884941</v>
      </c>
      <c r="CG116" s="435">
        <v>16.106194961313662</v>
      </c>
      <c r="CH116" s="363">
        <v>16.157692596742379</v>
      </c>
      <c r="CI116" s="362">
        <v>12.123285266999119</v>
      </c>
      <c r="CJ116" s="362">
        <v>12.247837138753159</v>
      </c>
      <c r="CK116" s="362">
        <v>12.373668628070902</v>
      </c>
      <c r="CL116" s="363">
        <v>12.29231718572882</v>
      </c>
      <c r="CM116" s="363">
        <v>12.211500593427584</v>
      </c>
      <c r="CN116" s="363">
        <v>12.17250531942476</v>
      </c>
      <c r="CO116" s="363">
        <v>12.133634569953784</v>
      </c>
      <c r="CP116" s="363">
        <v>12.094887947367519</v>
      </c>
      <c r="CQ116" s="363">
        <v>12.056265055288645</v>
      </c>
      <c r="CR116" s="363">
        <v>12.017765498605604</v>
      </c>
      <c r="CS116" s="363">
        <v>12.106660523404923</v>
      </c>
      <c r="CT116" s="363">
        <v>12.196213101843059</v>
      </c>
      <c r="CU116" s="363">
        <v>12.286428097823125</v>
      </c>
      <c r="CV116" s="363">
        <v>12.377310411226377</v>
      </c>
      <c r="CW116" s="363">
        <v>12.468864978178317</v>
      </c>
      <c r="CX116" s="435">
        <v>12.51912468967846</v>
      </c>
      <c r="CY116" s="435">
        <v>12.569384401178603</v>
      </c>
      <c r="CZ116" s="435">
        <v>12.619644112678746</v>
      </c>
      <c r="DA116" s="435">
        <v>12.669903824178888</v>
      </c>
      <c r="DB116" s="363">
        <v>12.720163535679031</v>
      </c>
      <c r="DC116" s="435">
        <v>12.761361644022005</v>
      </c>
      <c r="DD116" s="435">
        <v>12.80255975236498</v>
      </c>
      <c r="DE116" s="435">
        <v>12.843757860707953</v>
      </c>
      <c r="DF116" s="435">
        <v>12.884955969050928</v>
      </c>
      <c r="DG116" s="363">
        <v>12.926154077393901</v>
      </c>
      <c r="DH116" s="362">
        <v>5.0513688612496335</v>
      </c>
      <c r="DI116" s="362">
        <v>5.1032654744804828</v>
      </c>
      <c r="DJ116" s="362">
        <v>5.1556952616962093</v>
      </c>
      <c r="DK116" s="363">
        <v>5.1217988273870088</v>
      </c>
      <c r="DL116" s="363">
        <v>5.0881252472614928</v>
      </c>
      <c r="DM116" s="363">
        <v>5.0718772164269827</v>
      </c>
      <c r="DN116" s="363">
        <v>5.0556810708140763</v>
      </c>
      <c r="DO116" s="363">
        <v>5.039536644736466</v>
      </c>
      <c r="DP116" s="363">
        <v>5.0234437730369352</v>
      </c>
      <c r="DQ116" s="363">
        <v>5.0074022910856684</v>
      </c>
      <c r="DR116" s="363">
        <v>5.0444418847520511</v>
      </c>
      <c r="DS116" s="363">
        <v>5.0817554591012737</v>
      </c>
      <c r="DT116" s="363">
        <v>5.1193450407596357</v>
      </c>
      <c r="DU116" s="363">
        <v>5.1572126713443236</v>
      </c>
      <c r="DV116" s="363">
        <v>5.1953604075742987</v>
      </c>
      <c r="DW116" s="435">
        <v>5.2163019540326916</v>
      </c>
      <c r="DX116" s="435">
        <v>5.2372435004910844</v>
      </c>
      <c r="DY116" s="435">
        <v>5.2581850469494773</v>
      </c>
      <c r="DZ116" s="435">
        <v>5.2791265934078702</v>
      </c>
      <c r="EA116" s="363">
        <v>5.300068139866263</v>
      </c>
      <c r="EB116" s="435">
        <v>5.3172340183425026</v>
      </c>
      <c r="EC116" s="435">
        <v>5.3343998968187414</v>
      </c>
      <c r="ED116" s="435">
        <v>5.351565775294981</v>
      </c>
      <c r="EE116" s="435">
        <v>5.3687316537712197</v>
      </c>
      <c r="EF116" s="363">
        <v>5.3858975322474594</v>
      </c>
      <c r="EG116" s="364">
        <v>0</v>
      </c>
      <c r="EH116" s="364">
        <v>0</v>
      </c>
      <c r="EI116" s="364">
        <v>0</v>
      </c>
      <c r="EJ116" s="365">
        <v>0</v>
      </c>
      <c r="EK116" s="365">
        <v>0</v>
      </c>
      <c r="EL116" s="365">
        <v>0</v>
      </c>
      <c r="EM116" s="365">
        <v>0</v>
      </c>
      <c r="EN116" s="365">
        <v>0</v>
      </c>
      <c r="EO116" s="365">
        <v>0</v>
      </c>
      <c r="EP116" s="365">
        <v>0</v>
      </c>
      <c r="EQ116" s="365">
        <v>0</v>
      </c>
      <c r="ER116" s="365">
        <v>0</v>
      </c>
      <c r="ES116" s="365">
        <v>0</v>
      </c>
      <c r="ET116" s="365">
        <v>0</v>
      </c>
      <c r="EU116" s="365">
        <v>0</v>
      </c>
      <c r="EV116" s="436">
        <v>0</v>
      </c>
      <c r="EW116" s="436">
        <v>0</v>
      </c>
      <c r="EX116" s="436">
        <v>0</v>
      </c>
      <c r="EY116" s="436">
        <v>0</v>
      </c>
      <c r="EZ116" s="365">
        <v>0</v>
      </c>
      <c r="FA116" s="436">
        <v>0</v>
      </c>
      <c r="FB116" s="436">
        <v>0</v>
      </c>
      <c r="FC116" s="436">
        <v>0</v>
      </c>
      <c r="FD116" s="436">
        <v>0</v>
      </c>
      <c r="FE116" s="365">
        <v>0</v>
      </c>
      <c r="FF116" s="364">
        <v>0</v>
      </c>
      <c r="FG116" s="364">
        <v>0</v>
      </c>
      <c r="FH116" s="364">
        <v>0</v>
      </c>
      <c r="FI116" s="365">
        <v>0</v>
      </c>
      <c r="FJ116" s="365">
        <v>0</v>
      </c>
      <c r="FK116" s="365">
        <v>0</v>
      </c>
      <c r="FL116" s="365">
        <v>0</v>
      </c>
      <c r="FM116" s="365">
        <v>0</v>
      </c>
      <c r="FN116" s="365">
        <v>0</v>
      </c>
      <c r="FO116" s="365">
        <v>0</v>
      </c>
      <c r="FP116" s="365">
        <v>0</v>
      </c>
      <c r="FQ116" s="365">
        <v>0</v>
      </c>
      <c r="FR116" s="365">
        <v>0</v>
      </c>
      <c r="FS116" s="365">
        <v>0</v>
      </c>
      <c r="FT116" s="365">
        <v>0</v>
      </c>
      <c r="FU116" s="436">
        <v>0</v>
      </c>
      <c r="FV116" s="436">
        <v>0</v>
      </c>
      <c r="FW116" s="436">
        <v>0</v>
      </c>
      <c r="FX116" s="436">
        <v>0</v>
      </c>
      <c r="FY116" s="365">
        <v>0</v>
      </c>
      <c r="FZ116" s="436">
        <v>0</v>
      </c>
      <c r="GA116" s="436">
        <v>0</v>
      </c>
      <c r="GB116" s="436">
        <v>0</v>
      </c>
      <c r="GC116" s="436">
        <v>0</v>
      </c>
      <c r="GD116" s="365">
        <v>0</v>
      </c>
    </row>
    <row r="117" spans="1:186" ht="15" x14ac:dyDescent="0.25">
      <c r="A117" s="357">
        <v>118</v>
      </c>
      <c r="B117" s="357">
        <v>89</v>
      </c>
      <c r="C117" s="357" t="s">
        <v>1027</v>
      </c>
      <c r="D117" s="2">
        <v>99705</v>
      </c>
      <c r="E117" s="268" t="s">
        <v>218</v>
      </c>
      <c r="F117" s="358" t="s">
        <v>985</v>
      </c>
      <c r="G117" s="49">
        <v>3</v>
      </c>
      <c r="H117" s="49">
        <v>2</v>
      </c>
      <c r="I117" s="49">
        <v>2</v>
      </c>
      <c r="J117" s="49">
        <v>0</v>
      </c>
      <c r="K117" s="49">
        <v>0</v>
      </c>
      <c r="L117" s="49">
        <v>8</v>
      </c>
      <c r="M117" s="49">
        <v>8</v>
      </c>
      <c r="N117" s="49">
        <v>11</v>
      </c>
      <c r="O117" s="49">
        <v>0</v>
      </c>
      <c r="P117" s="49">
        <v>0</v>
      </c>
      <c r="Q117" s="49">
        <v>19</v>
      </c>
      <c r="R117" s="49">
        <v>0</v>
      </c>
      <c r="S117" s="49">
        <v>1998.125</v>
      </c>
      <c r="T117" s="49">
        <v>1998.125</v>
      </c>
      <c r="U117" s="49">
        <v>10060.454545454546</v>
      </c>
      <c r="V117" s="49">
        <v>0</v>
      </c>
      <c r="W117" s="49">
        <v>0</v>
      </c>
      <c r="X117" s="49">
        <v>6665.7894736842109</v>
      </c>
      <c r="Y117" s="434">
        <v>15985</v>
      </c>
      <c r="Z117" s="434">
        <v>110665</v>
      </c>
      <c r="AA117" s="49">
        <v>0</v>
      </c>
      <c r="AB117" s="49">
        <v>2</v>
      </c>
      <c r="AC117" s="49">
        <v>0</v>
      </c>
      <c r="AD117" s="285">
        <v>11</v>
      </c>
      <c r="AE117" s="285">
        <v>0</v>
      </c>
      <c r="AF117" s="359">
        <v>13</v>
      </c>
      <c r="AG117" s="360">
        <v>0</v>
      </c>
      <c r="AH117" s="360">
        <v>2</v>
      </c>
      <c r="AI117" s="361">
        <v>2</v>
      </c>
      <c r="AJ117" s="360">
        <v>0</v>
      </c>
      <c r="AK117" s="360">
        <v>0</v>
      </c>
      <c r="AL117" s="360">
        <v>1.8563034004417209</v>
      </c>
      <c r="AM117" s="360">
        <v>1.8563034004417209</v>
      </c>
      <c r="AN117" s="360">
        <v>0</v>
      </c>
      <c r="AO117" s="360">
        <v>0</v>
      </c>
      <c r="AP117" s="360">
        <v>1.8658245651370786</v>
      </c>
      <c r="AQ117" s="360">
        <v>1.8658245651370786</v>
      </c>
      <c r="AR117" s="360">
        <v>0</v>
      </c>
      <c r="AS117" s="360">
        <v>10.341184340684002</v>
      </c>
      <c r="AT117" s="360">
        <v>0</v>
      </c>
      <c r="AU117" s="360">
        <v>1.7229311572457484</v>
      </c>
      <c r="AV117" s="360">
        <v>1.7883743919890691</v>
      </c>
      <c r="AW117" s="360">
        <v>1.8563034004417209</v>
      </c>
      <c r="AX117" s="360">
        <v>1.926812601392113</v>
      </c>
      <c r="AY117" s="360">
        <v>2</v>
      </c>
      <c r="AZ117" s="360">
        <v>1.7406506539344841</v>
      </c>
      <c r="BA117" s="360">
        <v>1.8021511450022387</v>
      </c>
      <c r="BB117" s="360">
        <v>1.8658245651370786</v>
      </c>
      <c r="BC117" s="360">
        <v>1.9317476880468001</v>
      </c>
      <c r="BD117" s="360">
        <v>2</v>
      </c>
      <c r="BE117" s="360">
        <v>9.7218266880007302</v>
      </c>
      <c r="BF117" s="360">
        <v>10.02672438580003</v>
      </c>
      <c r="BG117" s="360">
        <v>10.341184340684002</v>
      </c>
      <c r="BH117" s="360">
        <v>10.665506445899512</v>
      </c>
      <c r="BI117" s="360">
        <v>11</v>
      </c>
      <c r="BJ117" s="362">
        <v>2.0205475444998533</v>
      </c>
      <c r="BK117" s="362">
        <v>2.0413061897921931</v>
      </c>
      <c r="BL117" s="362">
        <v>2.0622781046784837</v>
      </c>
      <c r="BM117" s="363">
        <v>2.0487195309548034</v>
      </c>
      <c r="BN117" s="363">
        <v>2.0352500989045974</v>
      </c>
      <c r="BO117" s="363">
        <v>2.0287508865707933</v>
      </c>
      <c r="BP117" s="363">
        <v>2.0222724283256306</v>
      </c>
      <c r="BQ117" s="363">
        <v>2.0158146578945866</v>
      </c>
      <c r="BR117" s="363">
        <v>2.0093775092147741</v>
      </c>
      <c r="BS117" s="363">
        <v>2.0029609164342674</v>
      </c>
      <c r="BT117" s="363">
        <v>2.0177767539008205</v>
      </c>
      <c r="BU117" s="363">
        <v>2.0327021836405095</v>
      </c>
      <c r="BV117" s="363">
        <v>2.0477380163038541</v>
      </c>
      <c r="BW117" s="363">
        <v>2.0628850685377293</v>
      </c>
      <c r="BX117" s="363">
        <v>2.0781441630297195</v>
      </c>
      <c r="BY117" s="435">
        <v>2.0865207816130766</v>
      </c>
      <c r="BZ117" s="435">
        <v>2.0948974001964338</v>
      </c>
      <c r="CA117" s="435">
        <v>2.1032740187797909</v>
      </c>
      <c r="CB117" s="435">
        <v>2.1116506373631481</v>
      </c>
      <c r="CC117" s="363">
        <v>2.1200272559465052</v>
      </c>
      <c r="CD117" s="435">
        <v>2.1268936073370011</v>
      </c>
      <c r="CE117" s="435">
        <v>2.1337599587274965</v>
      </c>
      <c r="CF117" s="435">
        <v>2.1406263101179923</v>
      </c>
      <c r="CG117" s="435">
        <v>2.1474926615084877</v>
      </c>
      <c r="CH117" s="363">
        <v>2.1543590128989836</v>
      </c>
      <c r="CI117" s="362">
        <v>2.0205475444998533</v>
      </c>
      <c r="CJ117" s="362">
        <v>2.0413061897921931</v>
      </c>
      <c r="CK117" s="362">
        <v>2.0622781046784837</v>
      </c>
      <c r="CL117" s="363">
        <v>2.0487195309548034</v>
      </c>
      <c r="CM117" s="363">
        <v>2.0352500989045974</v>
      </c>
      <c r="CN117" s="363">
        <v>2.0287508865707933</v>
      </c>
      <c r="CO117" s="363">
        <v>2.0222724283256306</v>
      </c>
      <c r="CP117" s="363">
        <v>2.0158146578945866</v>
      </c>
      <c r="CQ117" s="363">
        <v>2.0093775092147741</v>
      </c>
      <c r="CR117" s="363">
        <v>2.0029609164342674</v>
      </c>
      <c r="CS117" s="363">
        <v>2.0177767539008205</v>
      </c>
      <c r="CT117" s="363">
        <v>2.0327021836405095</v>
      </c>
      <c r="CU117" s="363">
        <v>2.0477380163038541</v>
      </c>
      <c r="CV117" s="363">
        <v>2.0628850685377293</v>
      </c>
      <c r="CW117" s="363">
        <v>2.0781441630297195</v>
      </c>
      <c r="CX117" s="435">
        <v>2.0865207816130766</v>
      </c>
      <c r="CY117" s="435">
        <v>2.0948974001964338</v>
      </c>
      <c r="CZ117" s="435">
        <v>2.1032740187797909</v>
      </c>
      <c r="DA117" s="435">
        <v>2.1116506373631481</v>
      </c>
      <c r="DB117" s="363">
        <v>2.1200272559465052</v>
      </c>
      <c r="DC117" s="435">
        <v>2.1268936073370011</v>
      </c>
      <c r="DD117" s="435">
        <v>2.1337599587274965</v>
      </c>
      <c r="DE117" s="435">
        <v>2.1406263101179923</v>
      </c>
      <c r="DF117" s="435">
        <v>2.1474926615084877</v>
      </c>
      <c r="DG117" s="363">
        <v>2.1543590128989836</v>
      </c>
      <c r="DH117" s="362">
        <v>11.113011494749193</v>
      </c>
      <c r="DI117" s="362">
        <v>11.227184043857061</v>
      </c>
      <c r="DJ117" s="362">
        <v>11.34252957573166</v>
      </c>
      <c r="DK117" s="363">
        <v>11.267957420251419</v>
      </c>
      <c r="DL117" s="363">
        <v>11.193875543975285</v>
      </c>
      <c r="DM117" s="363">
        <v>11.158129876139363</v>
      </c>
      <c r="DN117" s="363">
        <v>11.122498355790968</v>
      </c>
      <c r="DO117" s="363">
        <v>11.086980618420226</v>
      </c>
      <c r="DP117" s="363">
        <v>11.051576300681258</v>
      </c>
      <c r="DQ117" s="363">
        <v>11.016285040388471</v>
      </c>
      <c r="DR117" s="363">
        <v>11.097772146454512</v>
      </c>
      <c r="DS117" s="363">
        <v>11.179862010022804</v>
      </c>
      <c r="DT117" s="363">
        <v>11.262559089671198</v>
      </c>
      <c r="DU117" s="363">
        <v>11.345867876957513</v>
      </c>
      <c r="DV117" s="363">
        <v>11.429792896663457</v>
      </c>
      <c r="DW117" s="435">
        <v>11.475864298871921</v>
      </c>
      <c r="DX117" s="435">
        <v>11.521935701080386</v>
      </c>
      <c r="DY117" s="435">
        <v>11.568007103288849</v>
      </c>
      <c r="DZ117" s="435">
        <v>11.614078505497314</v>
      </c>
      <c r="EA117" s="363">
        <v>11.660149907705778</v>
      </c>
      <c r="EB117" s="435">
        <v>11.697914840353505</v>
      </c>
      <c r="EC117" s="435">
        <v>11.73567977300123</v>
      </c>
      <c r="ED117" s="435">
        <v>11.773444705648958</v>
      </c>
      <c r="EE117" s="435">
        <v>11.811209638296683</v>
      </c>
      <c r="EF117" s="363">
        <v>11.84897457094441</v>
      </c>
      <c r="EG117" s="364">
        <v>0</v>
      </c>
      <c r="EH117" s="364">
        <v>0</v>
      </c>
      <c r="EI117" s="364">
        <v>0</v>
      </c>
      <c r="EJ117" s="365">
        <v>0</v>
      </c>
      <c r="EK117" s="365">
        <v>0</v>
      </c>
      <c r="EL117" s="365">
        <v>0</v>
      </c>
      <c r="EM117" s="365">
        <v>0</v>
      </c>
      <c r="EN117" s="365">
        <v>0</v>
      </c>
      <c r="EO117" s="365">
        <v>0</v>
      </c>
      <c r="EP117" s="365">
        <v>0</v>
      </c>
      <c r="EQ117" s="365">
        <v>0</v>
      </c>
      <c r="ER117" s="365">
        <v>0</v>
      </c>
      <c r="ES117" s="365">
        <v>0</v>
      </c>
      <c r="ET117" s="365">
        <v>0</v>
      </c>
      <c r="EU117" s="365">
        <v>0</v>
      </c>
      <c r="EV117" s="436">
        <v>0</v>
      </c>
      <c r="EW117" s="436">
        <v>0</v>
      </c>
      <c r="EX117" s="436">
        <v>0</v>
      </c>
      <c r="EY117" s="436">
        <v>0</v>
      </c>
      <c r="EZ117" s="365">
        <v>0</v>
      </c>
      <c r="FA117" s="436">
        <v>0</v>
      </c>
      <c r="FB117" s="436">
        <v>0</v>
      </c>
      <c r="FC117" s="436">
        <v>0</v>
      </c>
      <c r="FD117" s="436">
        <v>0</v>
      </c>
      <c r="FE117" s="365">
        <v>0</v>
      </c>
      <c r="FF117" s="364">
        <v>0</v>
      </c>
      <c r="FG117" s="364">
        <v>0</v>
      </c>
      <c r="FH117" s="364">
        <v>0</v>
      </c>
      <c r="FI117" s="365">
        <v>0</v>
      </c>
      <c r="FJ117" s="365">
        <v>0</v>
      </c>
      <c r="FK117" s="365">
        <v>0</v>
      </c>
      <c r="FL117" s="365">
        <v>0</v>
      </c>
      <c r="FM117" s="365">
        <v>0</v>
      </c>
      <c r="FN117" s="365">
        <v>0</v>
      </c>
      <c r="FO117" s="365">
        <v>0</v>
      </c>
      <c r="FP117" s="365">
        <v>0</v>
      </c>
      <c r="FQ117" s="365">
        <v>0</v>
      </c>
      <c r="FR117" s="365">
        <v>0</v>
      </c>
      <c r="FS117" s="365">
        <v>0</v>
      </c>
      <c r="FT117" s="365">
        <v>0</v>
      </c>
      <c r="FU117" s="436">
        <v>0</v>
      </c>
      <c r="FV117" s="436">
        <v>0</v>
      </c>
      <c r="FW117" s="436">
        <v>0</v>
      </c>
      <c r="FX117" s="436">
        <v>0</v>
      </c>
      <c r="FY117" s="365">
        <v>0</v>
      </c>
      <c r="FZ117" s="436">
        <v>0</v>
      </c>
      <c r="GA117" s="436">
        <v>0</v>
      </c>
      <c r="GB117" s="436">
        <v>0</v>
      </c>
      <c r="GC117" s="436">
        <v>0</v>
      </c>
      <c r="GD117" s="365">
        <v>0</v>
      </c>
    </row>
    <row r="118" spans="1:186" ht="15" x14ac:dyDescent="0.25">
      <c r="A118" s="357">
        <v>120</v>
      </c>
      <c r="B118" s="357">
        <v>89</v>
      </c>
      <c r="C118" s="357" t="s">
        <v>1028</v>
      </c>
      <c r="D118" s="2">
        <v>99705</v>
      </c>
      <c r="E118" s="268" t="s">
        <v>218</v>
      </c>
      <c r="F118" s="358" t="s">
        <v>985</v>
      </c>
      <c r="G118" s="49">
        <v>13</v>
      </c>
      <c r="H118" s="49">
        <v>12</v>
      </c>
      <c r="I118" s="49">
        <v>8</v>
      </c>
      <c r="J118" s="49">
        <v>4</v>
      </c>
      <c r="K118" s="49">
        <v>0</v>
      </c>
      <c r="L118" s="49">
        <v>1</v>
      </c>
      <c r="M118" s="49">
        <v>1</v>
      </c>
      <c r="N118" s="49">
        <v>0</v>
      </c>
      <c r="O118" s="49">
        <v>0</v>
      </c>
      <c r="P118" s="49">
        <v>0</v>
      </c>
      <c r="Q118" s="49">
        <v>1</v>
      </c>
      <c r="R118" s="49">
        <v>0</v>
      </c>
      <c r="S118" s="49">
        <v>2688</v>
      </c>
      <c r="T118" s="49">
        <v>2688</v>
      </c>
      <c r="U118" s="49">
        <v>0</v>
      </c>
      <c r="V118" s="49">
        <v>0</v>
      </c>
      <c r="W118" s="49">
        <v>0</v>
      </c>
      <c r="X118" s="49">
        <v>2688</v>
      </c>
      <c r="Y118" s="434">
        <v>2688</v>
      </c>
      <c r="Z118" s="434">
        <v>0</v>
      </c>
      <c r="AA118" s="49">
        <v>0</v>
      </c>
      <c r="AB118" s="49">
        <v>12</v>
      </c>
      <c r="AC118" s="49">
        <v>0</v>
      </c>
      <c r="AD118" s="285">
        <v>0</v>
      </c>
      <c r="AE118" s="285">
        <v>0</v>
      </c>
      <c r="AF118" s="359">
        <v>12</v>
      </c>
      <c r="AG118" s="360">
        <v>0</v>
      </c>
      <c r="AH118" s="360">
        <v>8</v>
      </c>
      <c r="AI118" s="361">
        <v>8</v>
      </c>
      <c r="AJ118" s="360">
        <v>0</v>
      </c>
      <c r="AK118" s="360">
        <v>0</v>
      </c>
      <c r="AL118" s="360">
        <v>11.137820402650327</v>
      </c>
      <c r="AM118" s="360">
        <v>11.137820402650327</v>
      </c>
      <c r="AN118" s="360">
        <v>0</v>
      </c>
      <c r="AO118" s="360">
        <v>0</v>
      </c>
      <c r="AP118" s="360">
        <v>7.4632982605483145</v>
      </c>
      <c r="AQ118" s="360">
        <v>7.4632982605483145</v>
      </c>
      <c r="AR118" s="360">
        <v>0</v>
      </c>
      <c r="AS118" s="360">
        <v>0</v>
      </c>
      <c r="AT118" s="360">
        <v>0</v>
      </c>
      <c r="AU118" s="360">
        <v>10.33758694347449</v>
      </c>
      <c r="AV118" s="360">
        <v>10.730246351934415</v>
      </c>
      <c r="AW118" s="360">
        <v>11.137820402650327</v>
      </c>
      <c r="AX118" s="360">
        <v>11.560875608352678</v>
      </c>
      <c r="AY118" s="360">
        <v>12</v>
      </c>
      <c r="AZ118" s="360">
        <v>6.9626026157379366</v>
      </c>
      <c r="BA118" s="360">
        <v>7.2086045800089549</v>
      </c>
      <c r="BB118" s="360">
        <v>7.4632982605483145</v>
      </c>
      <c r="BC118" s="360">
        <v>7.7269907521872003</v>
      </c>
      <c r="BD118" s="360">
        <v>8</v>
      </c>
      <c r="BE118" s="360">
        <v>0</v>
      </c>
      <c r="BF118" s="360">
        <v>0</v>
      </c>
      <c r="BG118" s="360">
        <v>0</v>
      </c>
      <c r="BH118" s="360">
        <v>0</v>
      </c>
      <c r="BI118" s="360">
        <v>0</v>
      </c>
      <c r="BJ118" s="362">
        <v>12.338254449264323</v>
      </c>
      <c r="BK118" s="362">
        <v>12.68604357123257</v>
      </c>
      <c r="BL118" s="362">
        <v>13.043636128026776</v>
      </c>
      <c r="BM118" s="363">
        <v>12.957879943317497</v>
      </c>
      <c r="BN118" s="363">
        <v>12.872687567897566</v>
      </c>
      <c r="BO118" s="363">
        <v>12.831580909872828</v>
      </c>
      <c r="BP118" s="363">
        <v>12.790605518712532</v>
      </c>
      <c r="BQ118" s="363">
        <v>12.74976097523909</v>
      </c>
      <c r="BR118" s="363">
        <v>12.709046861613484</v>
      </c>
      <c r="BS118" s="363">
        <v>12.668462761330993</v>
      </c>
      <c r="BT118" s="363">
        <v>12.762170972850715</v>
      </c>
      <c r="BU118" s="363">
        <v>12.856572340996593</v>
      </c>
      <c r="BV118" s="363">
        <v>12.951671993025892</v>
      </c>
      <c r="BW118" s="363">
        <v>13.04747509412204</v>
      </c>
      <c r="BX118" s="363">
        <v>13.143986847675144</v>
      </c>
      <c r="BY118" s="435">
        <v>13.196967851806793</v>
      </c>
      <c r="BZ118" s="435">
        <v>13.24994885593844</v>
      </c>
      <c r="CA118" s="435">
        <v>13.302929860070089</v>
      </c>
      <c r="CB118" s="435">
        <v>13.355910864201736</v>
      </c>
      <c r="CC118" s="363">
        <v>13.408891868333384</v>
      </c>
      <c r="CD118" s="435">
        <v>13.452320632311247</v>
      </c>
      <c r="CE118" s="435">
        <v>13.49574939628911</v>
      </c>
      <c r="CF118" s="435">
        <v>13.539178160266975</v>
      </c>
      <c r="CG118" s="435">
        <v>13.582606924244837</v>
      </c>
      <c r="CH118" s="363">
        <v>13.6260356882227</v>
      </c>
      <c r="CI118" s="362">
        <v>8.2255029661762151</v>
      </c>
      <c r="CJ118" s="362">
        <v>8.4573623808217135</v>
      </c>
      <c r="CK118" s="362">
        <v>8.6957574186845168</v>
      </c>
      <c r="CL118" s="363">
        <v>8.6385866288783308</v>
      </c>
      <c r="CM118" s="363">
        <v>8.5817917119317109</v>
      </c>
      <c r="CN118" s="363">
        <v>8.5543872732485511</v>
      </c>
      <c r="CO118" s="363">
        <v>8.5270703458083545</v>
      </c>
      <c r="CP118" s="363">
        <v>8.4998406501593919</v>
      </c>
      <c r="CQ118" s="363">
        <v>8.4726979077423206</v>
      </c>
      <c r="CR118" s="363">
        <v>8.4456418408873279</v>
      </c>
      <c r="CS118" s="363">
        <v>8.5081139819004772</v>
      </c>
      <c r="CT118" s="363">
        <v>8.5710482273310618</v>
      </c>
      <c r="CU118" s="363">
        <v>8.6344479953505946</v>
      </c>
      <c r="CV118" s="363">
        <v>8.6983167294146924</v>
      </c>
      <c r="CW118" s="363">
        <v>8.7626578984500956</v>
      </c>
      <c r="CX118" s="435">
        <v>8.7979785678711941</v>
      </c>
      <c r="CY118" s="435">
        <v>8.8332992372922927</v>
      </c>
      <c r="CZ118" s="435">
        <v>8.8686199067133913</v>
      </c>
      <c r="DA118" s="435">
        <v>8.9039405761344899</v>
      </c>
      <c r="DB118" s="363">
        <v>8.9392612455555884</v>
      </c>
      <c r="DC118" s="435">
        <v>8.9682137548741636</v>
      </c>
      <c r="DD118" s="435">
        <v>8.9971662641927388</v>
      </c>
      <c r="DE118" s="435">
        <v>9.0261187735113158</v>
      </c>
      <c r="DF118" s="435">
        <v>9.0550712828298909</v>
      </c>
      <c r="DG118" s="363">
        <v>9.0840237921484661</v>
      </c>
      <c r="DH118" s="362">
        <v>0</v>
      </c>
      <c r="DI118" s="362">
        <v>0</v>
      </c>
      <c r="DJ118" s="362">
        <v>0</v>
      </c>
      <c r="DK118" s="363">
        <v>0</v>
      </c>
      <c r="DL118" s="363">
        <v>0</v>
      </c>
      <c r="DM118" s="363">
        <v>0</v>
      </c>
      <c r="DN118" s="363">
        <v>0</v>
      </c>
      <c r="DO118" s="363">
        <v>0</v>
      </c>
      <c r="DP118" s="363">
        <v>0</v>
      </c>
      <c r="DQ118" s="363">
        <v>0</v>
      </c>
      <c r="DR118" s="363">
        <v>0</v>
      </c>
      <c r="DS118" s="363">
        <v>0</v>
      </c>
      <c r="DT118" s="363">
        <v>0</v>
      </c>
      <c r="DU118" s="363">
        <v>0</v>
      </c>
      <c r="DV118" s="363">
        <v>0</v>
      </c>
      <c r="DW118" s="435">
        <v>0</v>
      </c>
      <c r="DX118" s="435">
        <v>0</v>
      </c>
      <c r="DY118" s="435">
        <v>0</v>
      </c>
      <c r="DZ118" s="435">
        <v>0</v>
      </c>
      <c r="EA118" s="363">
        <v>0</v>
      </c>
      <c r="EB118" s="435">
        <v>0</v>
      </c>
      <c r="EC118" s="435">
        <v>0</v>
      </c>
      <c r="ED118" s="435">
        <v>0</v>
      </c>
      <c r="EE118" s="435">
        <v>0</v>
      </c>
      <c r="EF118" s="363">
        <v>0</v>
      </c>
      <c r="EG118" s="364">
        <v>0</v>
      </c>
      <c r="EH118" s="364">
        <v>0</v>
      </c>
      <c r="EI118" s="364">
        <v>0</v>
      </c>
      <c r="EJ118" s="365">
        <v>0</v>
      </c>
      <c r="EK118" s="365">
        <v>0</v>
      </c>
      <c r="EL118" s="365">
        <v>0</v>
      </c>
      <c r="EM118" s="365">
        <v>0</v>
      </c>
      <c r="EN118" s="365">
        <v>0</v>
      </c>
      <c r="EO118" s="365">
        <v>0</v>
      </c>
      <c r="EP118" s="365">
        <v>0</v>
      </c>
      <c r="EQ118" s="365">
        <v>0</v>
      </c>
      <c r="ER118" s="365">
        <v>0</v>
      </c>
      <c r="ES118" s="365">
        <v>0</v>
      </c>
      <c r="ET118" s="365">
        <v>0</v>
      </c>
      <c r="EU118" s="365">
        <v>0</v>
      </c>
      <c r="EV118" s="436">
        <v>0</v>
      </c>
      <c r="EW118" s="436">
        <v>0</v>
      </c>
      <c r="EX118" s="436">
        <v>0</v>
      </c>
      <c r="EY118" s="436">
        <v>0</v>
      </c>
      <c r="EZ118" s="365">
        <v>0</v>
      </c>
      <c r="FA118" s="436">
        <v>0</v>
      </c>
      <c r="FB118" s="436">
        <v>0</v>
      </c>
      <c r="FC118" s="436">
        <v>0</v>
      </c>
      <c r="FD118" s="436">
        <v>0</v>
      </c>
      <c r="FE118" s="365">
        <v>0</v>
      </c>
      <c r="FF118" s="364">
        <v>0</v>
      </c>
      <c r="FG118" s="364">
        <v>0</v>
      </c>
      <c r="FH118" s="364">
        <v>0</v>
      </c>
      <c r="FI118" s="365">
        <v>0</v>
      </c>
      <c r="FJ118" s="365">
        <v>0</v>
      </c>
      <c r="FK118" s="365">
        <v>0</v>
      </c>
      <c r="FL118" s="365">
        <v>0</v>
      </c>
      <c r="FM118" s="365">
        <v>0</v>
      </c>
      <c r="FN118" s="365">
        <v>0</v>
      </c>
      <c r="FO118" s="365">
        <v>0</v>
      </c>
      <c r="FP118" s="365">
        <v>0</v>
      </c>
      <c r="FQ118" s="365">
        <v>0</v>
      </c>
      <c r="FR118" s="365">
        <v>0</v>
      </c>
      <c r="FS118" s="365">
        <v>0</v>
      </c>
      <c r="FT118" s="365">
        <v>0</v>
      </c>
      <c r="FU118" s="436">
        <v>0</v>
      </c>
      <c r="FV118" s="436">
        <v>0</v>
      </c>
      <c r="FW118" s="436">
        <v>0</v>
      </c>
      <c r="FX118" s="436">
        <v>0</v>
      </c>
      <c r="FY118" s="365">
        <v>0</v>
      </c>
      <c r="FZ118" s="436">
        <v>0</v>
      </c>
      <c r="GA118" s="436">
        <v>0</v>
      </c>
      <c r="GB118" s="436">
        <v>0</v>
      </c>
      <c r="GC118" s="436">
        <v>0</v>
      </c>
      <c r="GD118" s="365">
        <v>0</v>
      </c>
    </row>
    <row r="119" spans="1:186" ht="15" x14ac:dyDescent="0.25">
      <c r="A119" s="357">
        <v>121</v>
      </c>
      <c r="B119" s="357">
        <v>89</v>
      </c>
      <c r="C119" s="357" t="s">
        <v>1029</v>
      </c>
      <c r="D119" s="2">
        <v>99705</v>
      </c>
      <c r="E119" s="268" t="s">
        <v>218</v>
      </c>
      <c r="F119" s="358" t="s">
        <v>985</v>
      </c>
      <c r="G119" s="49">
        <v>321</v>
      </c>
      <c r="H119" s="49">
        <v>137</v>
      </c>
      <c r="I119" s="49">
        <v>115</v>
      </c>
      <c r="J119" s="49">
        <v>22</v>
      </c>
      <c r="K119" s="49">
        <v>0</v>
      </c>
      <c r="L119" s="49">
        <v>132</v>
      </c>
      <c r="M119" s="49">
        <v>132</v>
      </c>
      <c r="N119" s="49">
        <v>2</v>
      </c>
      <c r="O119" s="49">
        <v>0</v>
      </c>
      <c r="P119" s="49">
        <v>0</v>
      </c>
      <c r="Q119" s="49">
        <v>134</v>
      </c>
      <c r="R119" s="49">
        <v>0</v>
      </c>
      <c r="S119" s="49">
        <v>1946.4924242424242</v>
      </c>
      <c r="T119" s="49">
        <v>1946.4924242424242</v>
      </c>
      <c r="U119" s="49">
        <v>4724</v>
      </c>
      <c r="V119" s="49">
        <v>0</v>
      </c>
      <c r="W119" s="49">
        <v>0</v>
      </c>
      <c r="X119" s="49">
        <v>1987.9477611940299</v>
      </c>
      <c r="Y119" s="434">
        <v>256937</v>
      </c>
      <c r="Z119" s="434">
        <v>9448</v>
      </c>
      <c r="AA119" s="49">
        <v>0</v>
      </c>
      <c r="AB119" s="49">
        <v>137</v>
      </c>
      <c r="AC119" s="49">
        <v>0</v>
      </c>
      <c r="AD119" s="285">
        <v>2</v>
      </c>
      <c r="AE119" s="285">
        <v>0</v>
      </c>
      <c r="AF119" s="359">
        <v>139</v>
      </c>
      <c r="AG119" s="360">
        <v>0</v>
      </c>
      <c r="AH119" s="360">
        <v>115</v>
      </c>
      <c r="AI119" s="361">
        <v>115</v>
      </c>
      <c r="AJ119" s="360">
        <v>0</v>
      </c>
      <c r="AK119" s="360">
        <v>0</v>
      </c>
      <c r="AL119" s="360">
        <v>127.15678293025789</v>
      </c>
      <c r="AM119" s="360">
        <v>127.15678293025789</v>
      </c>
      <c r="AN119" s="360">
        <v>0</v>
      </c>
      <c r="AO119" s="360">
        <v>0</v>
      </c>
      <c r="AP119" s="360">
        <v>107.28491249538202</v>
      </c>
      <c r="AQ119" s="360">
        <v>107.28491249538202</v>
      </c>
      <c r="AR119" s="360">
        <v>0</v>
      </c>
      <c r="AS119" s="360">
        <v>1.8802153346698185</v>
      </c>
      <c r="AT119" s="360">
        <v>0</v>
      </c>
      <c r="AU119" s="360">
        <v>118.02078427133377</v>
      </c>
      <c r="AV119" s="360">
        <v>122.50364585125124</v>
      </c>
      <c r="AW119" s="360">
        <v>127.15678293025789</v>
      </c>
      <c r="AX119" s="360">
        <v>131.98666319535974</v>
      </c>
      <c r="AY119" s="360">
        <v>137</v>
      </c>
      <c r="AZ119" s="360">
        <v>100.08741260123284</v>
      </c>
      <c r="BA119" s="360">
        <v>103.62369083762873</v>
      </c>
      <c r="BB119" s="360">
        <v>107.28491249538202</v>
      </c>
      <c r="BC119" s="360">
        <v>111.075492062691</v>
      </c>
      <c r="BD119" s="360">
        <v>115</v>
      </c>
      <c r="BE119" s="360">
        <v>1.7676048523637691</v>
      </c>
      <c r="BF119" s="360">
        <v>1.823040797418187</v>
      </c>
      <c r="BG119" s="360">
        <v>1.8802153346698185</v>
      </c>
      <c r="BH119" s="360">
        <v>1.9391829901635476</v>
      </c>
      <c r="BI119" s="360">
        <v>2</v>
      </c>
      <c r="BJ119" s="362">
        <v>140.86173829576768</v>
      </c>
      <c r="BK119" s="362">
        <v>144.83233077157183</v>
      </c>
      <c r="BL119" s="362">
        <v>148.91484579497234</v>
      </c>
      <c r="BM119" s="363">
        <v>147.93579601954139</v>
      </c>
      <c r="BN119" s="363">
        <v>146.96318306683054</v>
      </c>
      <c r="BO119" s="363">
        <v>146.49388205438143</v>
      </c>
      <c r="BP119" s="363">
        <v>146.02607967196806</v>
      </c>
      <c r="BQ119" s="363">
        <v>145.55977113397958</v>
      </c>
      <c r="BR119" s="363">
        <v>145.09495167008723</v>
      </c>
      <c r="BS119" s="363">
        <v>144.63161652519548</v>
      </c>
      <c r="BT119" s="363">
        <v>145.70145194004564</v>
      </c>
      <c r="BU119" s="363">
        <v>146.77920089304442</v>
      </c>
      <c r="BV119" s="363">
        <v>147.86492192037892</v>
      </c>
      <c r="BW119" s="363">
        <v>148.95867399122659</v>
      </c>
      <c r="BX119" s="363">
        <v>150.06051651095788</v>
      </c>
      <c r="BY119" s="435">
        <v>150.6653829747942</v>
      </c>
      <c r="BZ119" s="435">
        <v>151.27024943863051</v>
      </c>
      <c r="CA119" s="435">
        <v>151.8751159024668</v>
      </c>
      <c r="CB119" s="435">
        <v>152.47998236630312</v>
      </c>
      <c r="CC119" s="363">
        <v>153.08484883013944</v>
      </c>
      <c r="CD119" s="435">
        <v>153.58066055222005</v>
      </c>
      <c r="CE119" s="435">
        <v>154.07647227430064</v>
      </c>
      <c r="CF119" s="435">
        <v>154.57228399638126</v>
      </c>
      <c r="CG119" s="435">
        <v>155.06809571846185</v>
      </c>
      <c r="CH119" s="363">
        <v>155.56390744054247</v>
      </c>
      <c r="CI119" s="362">
        <v>118.24160513878309</v>
      </c>
      <c r="CJ119" s="362">
        <v>121.57458422431213</v>
      </c>
      <c r="CK119" s="362">
        <v>125.00151289358993</v>
      </c>
      <c r="CL119" s="363">
        <v>124.17968279012601</v>
      </c>
      <c r="CM119" s="363">
        <v>123.36325585901834</v>
      </c>
      <c r="CN119" s="363">
        <v>122.96931705294793</v>
      </c>
      <c r="CO119" s="363">
        <v>122.5766362209951</v>
      </c>
      <c r="CP119" s="363">
        <v>122.18520934604126</v>
      </c>
      <c r="CQ119" s="363">
        <v>121.79503242379587</v>
      </c>
      <c r="CR119" s="363">
        <v>121.40610146275534</v>
      </c>
      <c r="CS119" s="363">
        <v>122.30413848981935</v>
      </c>
      <c r="CT119" s="363">
        <v>123.20881826788401</v>
      </c>
      <c r="CU119" s="363">
        <v>124.1201899331648</v>
      </c>
      <c r="CV119" s="363">
        <v>125.03830298533622</v>
      </c>
      <c r="CW119" s="363">
        <v>125.96320729022013</v>
      </c>
      <c r="CX119" s="435">
        <v>126.47094191314842</v>
      </c>
      <c r="CY119" s="435">
        <v>126.97867653607672</v>
      </c>
      <c r="CZ119" s="435">
        <v>127.486411159005</v>
      </c>
      <c r="DA119" s="435">
        <v>127.9941457819333</v>
      </c>
      <c r="DB119" s="363">
        <v>128.50188040486159</v>
      </c>
      <c r="DC119" s="435">
        <v>128.91807272631613</v>
      </c>
      <c r="DD119" s="435">
        <v>129.33426504777063</v>
      </c>
      <c r="DE119" s="435">
        <v>129.75045736922516</v>
      </c>
      <c r="DF119" s="435">
        <v>130.16664969067966</v>
      </c>
      <c r="DG119" s="363">
        <v>130.58284201213419</v>
      </c>
      <c r="DH119" s="362">
        <v>2.0563757415440538</v>
      </c>
      <c r="DI119" s="362">
        <v>2.1143405952054284</v>
      </c>
      <c r="DJ119" s="362">
        <v>2.1739393546711292</v>
      </c>
      <c r="DK119" s="363">
        <v>2.1596466572195827</v>
      </c>
      <c r="DL119" s="363">
        <v>2.1454479279829277</v>
      </c>
      <c r="DM119" s="363">
        <v>2.1385968183121378</v>
      </c>
      <c r="DN119" s="363">
        <v>2.1317675864520886</v>
      </c>
      <c r="DO119" s="363">
        <v>2.124960162539848</v>
      </c>
      <c r="DP119" s="363">
        <v>2.1181744769355801</v>
      </c>
      <c r="DQ119" s="363">
        <v>2.111410460221832</v>
      </c>
      <c r="DR119" s="363">
        <v>2.1270284954751193</v>
      </c>
      <c r="DS119" s="363">
        <v>2.1427620568327654</v>
      </c>
      <c r="DT119" s="363">
        <v>2.1586119988376486</v>
      </c>
      <c r="DU119" s="363">
        <v>2.1745791823536731</v>
      </c>
      <c r="DV119" s="363">
        <v>2.1906644746125239</v>
      </c>
      <c r="DW119" s="435">
        <v>2.1994946419677985</v>
      </c>
      <c r="DX119" s="435">
        <v>2.2083248093230732</v>
      </c>
      <c r="DY119" s="435">
        <v>2.2171549766783478</v>
      </c>
      <c r="DZ119" s="435">
        <v>2.2259851440336225</v>
      </c>
      <c r="EA119" s="363">
        <v>2.2348153113888971</v>
      </c>
      <c r="EB119" s="435">
        <v>2.2420534387185409</v>
      </c>
      <c r="EC119" s="435">
        <v>2.2492915660481847</v>
      </c>
      <c r="ED119" s="435">
        <v>2.2565296933778289</v>
      </c>
      <c r="EE119" s="435">
        <v>2.2637678207074727</v>
      </c>
      <c r="EF119" s="363">
        <v>2.2710059480371165</v>
      </c>
      <c r="EG119" s="364">
        <v>0</v>
      </c>
      <c r="EH119" s="364">
        <v>0</v>
      </c>
      <c r="EI119" s="364">
        <v>0</v>
      </c>
      <c r="EJ119" s="365">
        <v>0</v>
      </c>
      <c r="EK119" s="365">
        <v>0</v>
      </c>
      <c r="EL119" s="365">
        <v>0</v>
      </c>
      <c r="EM119" s="365">
        <v>0</v>
      </c>
      <c r="EN119" s="365">
        <v>0</v>
      </c>
      <c r="EO119" s="365">
        <v>0</v>
      </c>
      <c r="EP119" s="365">
        <v>0</v>
      </c>
      <c r="EQ119" s="365">
        <v>0</v>
      </c>
      <c r="ER119" s="365">
        <v>0</v>
      </c>
      <c r="ES119" s="365">
        <v>0</v>
      </c>
      <c r="ET119" s="365">
        <v>0</v>
      </c>
      <c r="EU119" s="365">
        <v>0</v>
      </c>
      <c r="EV119" s="436">
        <v>0</v>
      </c>
      <c r="EW119" s="436">
        <v>0</v>
      </c>
      <c r="EX119" s="436">
        <v>0</v>
      </c>
      <c r="EY119" s="436">
        <v>0</v>
      </c>
      <c r="EZ119" s="365">
        <v>0</v>
      </c>
      <c r="FA119" s="436">
        <v>0</v>
      </c>
      <c r="FB119" s="436">
        <v>0</v>
      </c>
      <c r="FC119" s="436">
        <v>0</v>
      </c>
      <c r="FD119" s="436">
        <v>0</v>
      </c>
      <c r="FE119" s="365">
        <v>0</v>
      </c>
      <c r="FF119" s="364">
        <v>0</v>
      </c>
      <c r="FG119" s="364">
        <v>0</v>
      </c>
      <c r="FH119" s="364">
        <v>0</v>
      </c>
      <c r="FI119" s="365">
        <v>0</v>
      </c>
      <c r="FJ119" s="365">
        <v>0</v>
      </c>
      <c r="FK119" s="365">
        <v>0</v>
      </c>
      <c r="FL119" s="365">
        <v>0</v>
      </c>
      <c r="FM119" s="365">
        <v>0</v>
      </c>
      <c r="FN119" s="365">
        <v>0</v>
      </c>
      <c r="FO119" s="365">
        <v>0</v>
      </c>
      <c r="FP119" s="365">
        <v>0</v>
      </c>
      <c r="FQ119" s="365">
        <v>0</v>
      </c>
      <c r="FR119" s="365">
        <v>0</v>
      </c>
      <c r="FS119" s="365">
        <v>0</v>
      </c>
      <c r="FT119" s="365">
        <v>0</v>
      </c>
      <c r="FU119" s="436">
        <v>0</v>
      </c>
      <c r="FV119" s="436">
        <v>0</v>
      </c>
      <c r="FW119" s="436">
        <v>0</v>
      </c>
      <c r="FX119" s="436">
        <v>0</v>
      </c>
      <c r="FY119" s="365">
        <v>0</v>
      </c>
      <c r="FZ119" s="436">
        <v>0</v>
      </c>
      <c r="GA119" s="436">
        <v>0</v>
      </c>
      <c r="GB119" s="436">
        <v>0</v>
      </c>
      <c r="GC119" s="436">
        <v>0</v>
      </c>
      <c r="GD119" s="365">
        <v>0</v>
      </c>
    </row>
    <row r="120" spans="1:186" ht="15" x14ac:dyDescent="0.25">
      <c r="A120" s="357">
        <v>122</v>
      </c>
      <c r="B120" s="357">
        <v>89</v>
      </c>
      <c r="C120" s="357" t="s">
        <v>1030</v>
      </c>
      <c r="D120" s="2">
        <v>99705</v>
      </c>
      <c r="E120" s="268" t="s">
        <v>218</v>
      </c>
      <c r="F120" s="358" t="s">
        <v>985</v>
      </c>
      <c r="G120" s="49">
        <v>355</v>
      </c>
      <c r="H120" s="49">
        <v>124</v>
      </c>
      <c r="I120" s="49">
        <v>115</v>
      </c>
      <c r="J120" s="49">
        <v>9</v>
      </c>
      <c r="K120" s="49">
        <v>1</v>
      </c>
      <c r="L120" s="49">
        <v>132</v>
      </c>
      <c r="M120" s="49">
        <v>133</v>
      </c>
      <c r="N120" s="49">
        <v>4</v>
      </c>
      <c r="O120" s="49">
        <v>0</v>
      </c>
      <c r="P120" s="49">
        <v>0</v>
      </c>
      <c r="Q120" s="49">
        <v>137</v>
      </c>
      <c r="R120" s="49">
        <v>3824</v>
      </c>
      <c r="S120" s="49">
        <v>2442.560606060606</v>
      </c>
      <c r="T120" s="49">
        <v>2452.9473684210525</v>
      </c>
      <c r="U120" s="49">
        <v>6541.25</v>
      </c>
      <c r="V120" s="49">
        <v>0</v>
      </c>
      <c r="W120" s="49">
        <v>0</v>
      </c>
      <c r="X120" s="49">
        <v>2572.3138686131388</v>
      </c>
      <c r="Y120" s="434">
        <v>326242</v>
      </c>
      <c r="Z120" s="434">
        <v>26165</v>
      </c>
      <c r="AA120" s="49">
        <v>0.93233082706766912</v>
      </c>
      <c r="AB120" s="49">
        <v>123.06766917293233</v>
      </c>
      <c r="AC120" s="49">
        <v>0</v>
      </c>
      <c r="AD120" s="285">
        <v>4</v>
      </c>
      <c r="AE120" s="285">
        <v>0</v>
      </c>
      <c r="AF120" s="359">
        <v>128</v>
      </c>
      <c r="AG120" s="360">
        <v>0.86466165413533835</v>
      </c>
      <c r="AH120" s="360">
        <v>114.13533834586465</v>
      </c>
      <c r="AI120" s="361">
        <v>114.99999999999999</v>
      </c>
      <c r="AJ120" s="360">
        <v>0</v>
      </c>
      <c r="AK120" s="360">
        <v>0.86534444231117813</v>
      </c>
      <c r="AL120" s="360">
        <v>114.22546638507552</v>
      </c>
      <c r="AM120" s="360">
        <v>115.0908108273867</v>
      </c>
      <c r="AN120" s="360">
        <v>0</v>
      </c>
      <c r="AO120" s="360">
        <v>0.80665347740888738</v>
      </c>
      <c r="AP120" s="360">
        <v>106.47825901797312</v>
      </c>
      <c r="AQ120" s="360">
        <v>107.284912495382</v>
      </c>
      <c r="AR120" s="360">
        <v>0</v>
      </c>
      <c r="AS120" s="360">
        <v>3.760430669339637</v>
      </c>
      <c r="AT120" s="360">
        <v>0</v>
      </c>
      <c r="AU120" s="360">
        <v>106.82173174923639</v>
      </c>
      <c r="AV120" s="360">
        <v>110.87921230332228</v>
      </c>
      <c r="AW120" s="360">
        <v>115.0908108273867</v>
      </c>
      <c r="AX120" s="360">
        <v>119.46238128631101</v>
      </c>
      <c r="AY120" s="360">
        <v>124</v>
      </c>
      <c r="AZ120" s="360">
        <v>100.08741260123283</v>
      </c>
      <c r="BA120" s="360">
        <v>103.62369083762871</v>
      </c>
      <c r="BB120" s="360">
        <v>107.284912495382</v>
      </c>
      <c r="BC120" s="360">
        <v>111.07549206269098</v>
      </c>
      <c r="BD120" s="360">
        <v>114.99999999999999</v>
      </c>
      <c r="BE120" s="360">
        <v>3.5352097047275381</v>
      </c>
      <c r="BF120" s="360">
        <v>3.6460815948363741</v>
      </c>
      <c r="BG120" s="360">
        <v>3.760430669339637</v>
      </c>
      <c r="BH120" s="360">
        <v>3.8783659803270951</v>
      </c>
      <c r="BI120" s="360">
        <v>4</v>
      </c>
      <c r="BJ120" s="362">
        <v>126.49728368432417</v>
      </c>
      <c r="BK120" s="362">
        <v>129.04486112509989</v>
      </c>
      <c r="BL120" s="362">
        <v>131.64374520762885</v>
      </c>
      <c r="BM120" s="363">
        <v>130.77824534094754</v>
      </c>
      <c r="BN120" s="363">
        <v>129.91843575615576</v>
      </c>
      <c r="BO120" s="363">
        <v>129.50356413889878</v>
      </c>
      <c r="BP120" s="363">
        <v>129.09001734100104</v>
      </c>
      <c r="BQ120" s="363">
        <v>128.67779113188541</v>
      </c>
      <c r="BR120" s="363">
        <v>128.26688129448453</v>
      </c>
      <c r="BS120" s="363">
        <v>127.85728362519743</v>
      </c>
      <c r="BT120" s="363">
        <v>128.80303983919197</v>
      </c>
      <c r="BU120" s="363">
        <v>129.75579178147782</v>
      </c>
      <c r="BV120" s="363">
        <v>130.71559119923214</v>
      </c>
      <c r="BW120" s="363">
        <v>131.68249022240428</v>
      </c>
      <c r="BX120" s="363">
        <v>132.65654136654703</v>
      </c>
      <c r="BY120" s="435">
        <v>133.19125559349214</v>
      </c>
      <c r="BZ120" s="435">
        <v>133.72596982043723</v>
      </c>
      <c r="CA120" s="435">
        <v>134.26068404738234</v>
      </c>
      <c r="CB120" s="435">
        <v>134.79539827432743</v>
      </c>
      <c r="CC120" s="363">
        <v>135.33011250127254</v>
      </c>
      <c r="CD120" s="435">
        <v>135.76842012375363</v>
      </c>
      <c r="CE120" s="435">
        <v>136.20672774623475</v>
      </c>
      <c r="CF120" s="435">
        <v>136.64503536871584</v>
      </c>
      <c r="CG120" s="435">
        <v>137.08334299119696</v>
      </c>
      <c r="CH120" s="363">
        <v>137.52165061367805</v>
      </c>
      <c r="CI120" s="362">
        <v>117.31602922336515</v>
      </c>
      <c r="CJ120" s="362">
        <v>119.67870184989103</v>
      </c>
      <c r="CK120" s="362">
        <v>122.08895724901062</v>
      </c>
      <c r="CL120" s="363">
        <v>121.28627592104004</v>
      </c>
      <c r="CM120" s="363">
        <v>120.4888718706283</v>
      </c>
      <c r="CN120" s="363">
        <v>120.10411190301096</v>
      </c>
      <c r="CO120" s="363">
        <v>119.72058059850902</v>
      </c>
      <c r="CP120" s="363">
        <v>119.33827403360341</v>
      </c>
      <c r="CQ120" s="363">
        <v>118.9571882973042</v>
      </c>
      <c r="CR120" s="363">
        <v>118.57731949111052</v>
      </c>
      <c r="CS120" s="363">
        <v>119.45443210892802</v>
      </c>
      <c r="CT120" s="363">
        <v>120.3380327005641</v>
      </c>
      <c r="CU120" s="363">
        <v>121.22816925735236</v>
      </c>
      <c r="CV120" s="363">
        <v>122.12489012561686</v>
      </c>
      <c r="CW120" s="363">
        <v>123.02824400929764</v>
      </c>
      <c r="CX120" s="435">
        <v>123.52414833267414</v>
      </c>
      <c r="CY120" s="435">
        <v>124.02005265605065</v>
      </c>
      <c r="CZ120" s="435">
        <v>124.51595697942714</v>
      </c>
      <c r="DA120" s="435">
        <v>125.01186130280365</v>
      </c>
      <c r="DB120" s="363">
        <v>125.50776562618016</v>
      </c>
      <c r="DC120" s="435">
        <v>125.91426059864247</v>
      </c>
      <c r="DD120" s="435">
        <v>126.32075557110478</v>
      </c>
      <c r="DE120" s="435">
        <v>126.72725054356711</v>
      </c>
      <c r="DF120" s="435">
        <v>127.13374551602942</v>
      </c>
      <c r="DG120" s="363">
        <v>127.54024048849173</v>
      </c>
      <c r="DH120" s="362">
        <v>4.0805575382040056</v>
      </c>
      <c r="DI120" s="362">
        <v>4.1627374556483838</v>
      </c>
      <c r="DJ120" s="362">
        <v>4.2465724260525439</v>
      </c>
      <c r="DK120" s="363">
        <v>4.2186530755144371</v>
      </c>
      <c r="DL120" s="363">
        <v>4.1909172824566374</v>
      </c>
      <c r="DM120" s="363">
        <v>4.1775343270612515</v>
      </c>
      <c r="DN120" s="363">
        <v>4.164194107774227</v>
      </c>
      <c r="DO120" s="363">
        <v>4.1508964881253361</v>
      </c>
      <c r="DP120" s="363">
        <v>4.1376413320801468</v>
      </c>
      <c r="DQ120" s="363">
        <v>4.1244285040386268</v>
      </c>
      <c r="DR120" s="363">
        <v>4.1549367690061922</v>
      </c>
      <c r="DS120" s="363">
        <v>4.1856707026283173</v>
      </c>
      <c r="DT120" s="363">
        <v>4.216631974168779</v>
      </c>
      <c r="DU120" s="363">
        <v>4.247822265238848</v>
      </c>
      <c r="DV120" s="363">
        <v>4.2792432698886147</v>
      </c>
      <c r="DW120" s="435">
        <v>4.2964921159191016</v>
      </c>
      <c r="DX120" s="435">
        <v>4.3137409619495886</v>
      </c>
      <c r="DY120" s="435">
        <v>4.3309898079800755</v>
      </c>
      <c r="DZ120" s="435">
        <v>4.3482386540105624</v>
      </c>
      <c r="EA120" s="363">
        <v>4.3654875000410494</v>
      </c>
      <c r="EB120" s="435">
        <v>4.3796264556049564</v>
      </c>
      <c r="EC120" s="435">
        <v>4.3937654111688627</v>
      </c>
      <c r="ED120" s="435">
        <v>4.4079043667327698</v>
      </c>
      <c r="EE120" s="435">
        <v>4.422043322296676</v>
      </c>
      <c r="EF120" s="363">
        <v>4.4361822778605831</v>
      </c>
      <c r="EG120" s="364">
        <v>0</v>
      </c>
      <c r="EH120" s="364">
        <v>0</v>
      </c>
      <c r="EI120" s="364">
        <v>0</v>
      </c>
      <c r="EJ120" s="365">
        <v>0</v>
      </c>
      <c r="EK120" s="365">
        <v>0</v>
      </c>
      <c r="EL120" s="365">
        <v>0</v>
      </c>
      <c r="EM120" s="365">
        <v>0</v>
      </c>
      <c r="EN120" s="365">
        <v>0</v>
      </c>
      <c r="EO120" s="365">
        <v>0</v>
      </c>
      <c r="EP120" s="365">
        <v>0</v>
      </c>
      <c r="EQ120" s="365">
        <v>0</v>
      </c>
      <c r="ER120" s="365">
        <v>0</v>
      </c>
      <c r="ES120" s="365">
        <v>0</v>
      </c>
      <c r="ET120" s="365">
        <v>0</v>
      </c>
      <c r="EU120" s="365">
        <v>0</v>
      </c>
      <c r="EV120" s="436">
        <v>0</v>
      </c>
      <c r="EW120" s="436">
        <v>0</v>
      </c>
      <c r="EX120" s="436">
        <v>0</v>
      </c>
      <c r="EY120" s="436">
        <v>0</v>
      </c>
      <c r="EZ120" s="365">
        <v>0</v>
      </c>
      <c r="FA120" s="436">
        <v>0</v>
      </c>
      <c r="FB120" s="436">
        <v>0</v>
      </c>
      <c r="FC120" s="436">
        <v>0</v>
      </c>
      <c r="FD120" s="436">
        <v>0</v>
      </c>
      <c r="FE120" s="365">
        <v>0</v>
      </c>
      <c r="FF120" s="364">
        <v>0</v>
      </c>
      <c r="FG120" s="364">
        <v>0</v>
      </c>
      <c r="FH120" s="364">
        <v>0</v>
      </c>
      <c r="FI120" s="365">
        <v>0</v>
      </c>
      <c r="FJ120" s="365">
        <v>0</v>
      </c>
      <c r="FK120" s="365">
        <v>0</v>
      </c>
      <c r="FL120" s="365">
        <v>0</v>
      </c>
      <c r="FM120" s="365">
        <v>0</v>
      </c>
      <c r="FN120" s="365">
        <v>0</v>
      </c>
      <c r="FO120" s="365">
        <v>0</v>
      </c>
      <c r="FP120" s="365">
        <v>0</v>
      </c>
      <c r="FQ120" s="365">
        <v>0</v>
      </c>
      <c r="FR120" s="365">
        <v>0</v>
      </c>
      <c r="FS120" s="365">
        <v>0</v>
      </c>
      <c r="FT120" s="365">
        <v>0</v>
      </c>
      <c r="FU120" s="436">
        <v>0</v>
      </c>
      <c r="FV120" s="436">
        <v>0</v>
      </c>
      <c r="FW120" s="436">
        <v>0</v>
      </c>
      <c r="FX120" s="436">
        <v>0</v>
      </c>
      <c r="FY120" s="365">
        <v>0</v>
      </c>
      <c r="FZ120" s="436">
        <v>0</v>
      </c>
      <c r="GA120" s="436">
        <v>0</v>
      </c>
      <c r="GB120" s="436">
        <v>0</v>
      </c>
      <c r="GC120" s="436">
        <v>0</v>
      </c>
      <c r="GD120" s="365">
        <v>0</v>
      </c>
    </row>
    <row r="121" spans="1:186" ht="15" x14ac:dyDescent="0.25">
      <c r="A121" s="357">
        <v>123</v>
      </c>
      <c r="B121" s="357">
        <v>89</v>
      </c>
      <c r="C121" s="357" t="s">
        <v>1031</v>
      </c>
      <c r="D121" s="2">
        <v>99705</v>
      </c>
      <c r="E121" s="268" t="s">
        <v>218</v>
      </c>
      <c r="F121" s="358" t="s">
        <v>985</v>
      </c>
      <c r="G121" s="49">
        <v>538</v>
      </c>
      <c r="H121" s="49">
        <v>203</v>
      </c>
      <c r="I121" s="49">
        <v>190</v>
      </c>
      <c r="J121" s="49">
        <v>13</v>
      </c>
      <c r="K121" s="49">
        <v>1</v>
      </c>
      <c r="L121" s="49">
        <v>163</v>
      </c>
      <c r="M121" s="49">
        <v>164</v>
      </c>
      <c r="N121" s="49">
        <v>1</v>
      </c>
      <c r="O121" s="49">
        <v>0</v>
      </c>
      <c r="P121" s="49">
        <v>0</v>
      </c>
      <c r="Q121" s="49">
        <v>165</v>
      </c>
      <c r="R121" s="49">
        <v>4968</v>
      </c>
      <c r="S121" s="49">
        <v>2189.9877300613498</v>
      </c>
      <c r="T121" s="49">
        <v>2206.9268292682927</v>
      </c>
      <c r="U121" s="49">
        <v>5760</v>
      </c>
      <c r="V121" s="49">
        <v>0</v>
      </c>
      <c r="W121" s="49">
        <v>0</v>
      </c>
      <c r="X121" s="49">
        <v>2228.4606060606061</v>
      </c>
      <c r="Y121" s="434">
        <v>361936</v>
      </c>
      <c r="Z121" s="434">
        <v>5760</v>
      </c>
      <c r="AA121" s="49">
        <v>1.2378048780487805</v>
      </c>
      <c r="AB121" s="49">
        <v>201.76219512195121</v>
      </c>
      <c r="AC121" s="49">
        <v>0</v>
      </c>
      <c r="AD121" s="285">
        <v>1</v>
      </c>
      <c r="AE121" s="285">
        <v>0</v>
      </c>
      <c r="AF121" s="359">
        <v>204</v>
      </c>
      <c r="AG121" s="360">
        <v>1.1585365853658536</v>
      </c>
      <c r="AH121" s="360">
        <v>188.84146341463412</v>
      </c>
      <c r="AI121" s="361">
        <v>189.99999999999997</v>
      </c>
      <c r="AJ121" s="360">
        <v>0</v>
      </c>
      <c r="AK121" s="360">
        <v>1.1488707021026505</v>
      </c>
      <c r="AL121" s="360">
        <v>187.26592444273203</v>
      </c>
      <c r="AM121" s="360">
        <v>188.41479514483467</v>
      </c>
      <c r="AN121" s="360">
        <v>0</v>
      </c>
      <c r="AO121" s="360">
        <v>1.0808130102928197</v>
      </c>
      <c r="AP121" s="360">
        <v>176.17252067772961</v>
      </c>
      <c r="AQ121" s="360">
        <v>177.25333368802242</v>
      </c>
      <c r="AR121" s="360">
        <v>0</v>
      </c>
      <c r="AS121" s="360">
        <v>0.94010766733490925</v>
      </c>
      <c r="AT121" s="360">
        <v>0</v>
      </c>
      <c r="AU121" s="360">
        <v>174.87751246044346</v>
      </c>
      <c r="AV121" s="360">
        <v>181.52000078689051</v>
      </c>
      <c r="AW121" s="360">
        <v>188.4147951448347</v>
      </c>
      <c r="AX121" s="360">
        <v>195.57147904129948</v>
      </c>
      <c r="AY121" s="360">
        <v>203</v>
      </c>
      <c r="AZ121" s="360">
        <v>165.36181212377596</v>
      </c>
      <c r="BA121" s="360">
        <v>171.20435877521265</v>
      </c>
      <c r="BB121" s="360">
        <v>177.25333368802245</v>
      </c>
      <c r="BC121" s="360">
        <v>183.51603036444598</v>
      </c>
      <c r="BD121" s="360">
        <v>189.99999999999997</v>
      </c>
      <c r="BE121" s="360">
        <v>0.88380242618188454</v>
      </c>
      <c r="BF121" s="360">
        <v>0.91152039870909352</v>
      </c>
      <c r="BG121" s="360">
        <v>0.94010766733490925</v>
      </c>
      <c r="BH121" s="360">
        <v>0.96959149508177378</v>
      </c>
      <c r="BI121" s="360">
        <v>1</v>
      </c>
      <c r="BJ121" s="362">
        <v>207.08829506385328</v>
      </c>
      <c r="BK121" s="362">
        <v>211.25892587415547</v>
      </c>
      <c r="BL121" s="362">
        <v>215.5135506221666</v>
      </c>
      <c r="BM121" s="363">
        <v>214.09664358235767</v>
      </c>
      <c r="BN121" s="363">
        <v>212.68905208467433</v>
      </c>
      <c r="BO121" s="363">
        <v>212.00986709835851</v>
      </c>
      <c r="BP121" s="363">
        <v>211.33285096954202</v>
      </c>
      <c r="BQ121" s="363">
        <v>210.65799677236083</v>
      </c>
      <c r="BR121" s="363">
        <v>209.98529760306744</v>
      </c>
      <c r="BS121" s="363">
        <v>209.31474657996031</v>
      </c>
      <c r="BT121" s="363">
        <v>210.86304102706427</v>
      </c>
      <c r="BU121" s="363">
        <v>212.42278815838708</v>
      </c>
      <c r="BV121" s="363">
        <v>213.99407268906552</v>
      </c>
      <c r="BW121" s="363">
        <v>215.57697996087154</v>
      </c>
      <c r="BX121" s="363">
        <v>217.17159594684719</v>
      </c>
      <c r="BY121" s="435">
        <v>218.0469748828944</v>
      </c>
      <c r="BZ121" s="435">
        <v>218.92235381894162</v>
      </c>
      <c r="CA121" s="435">
        <v>219.79773275498886</v>
      </c>
      <c r="CB121" s="435">
        <v>220.67311169103607</v>
      </c>
      <c r="CC121" s="363">
        <v>221.54849062708328</v>
      </c>
      <c r="CD121" s="435">
        <v>222.26604262195153</v>
      </c>
      <c r="CE121" s="435">
        <v>222.9835946168198</v>
      </c>
      <c r="CF121" s="435">
        <v>223.70114661168805</v>
      </c>
      <c r="CG121" s="435">
        <v>224.41869860655632</v>
      </c>
      <c r="CH121" s="363">
        <v>225.13625060142456</v>
      </c>
      <c r="CI121" s="362">
        <v>193.82648306469022</v>
      </c>
      <c r="CJ121" s="362">
        <v>197.7300291432982</v>
      </c>
      <c r="CK121" s="362">
        <v>201.7121902374958</v>
      </c>
      <c r="CL121" s="363">
        <v>200.38602108693573</v>
      </c>
      <c r="CM121" s="363">
        <v>199.06857091669025</v>
      </c>
      <c r="CN121" s="363">
        <v>198.43288053540942</v>
      </c>
      <c r="CO121" s="363">
        <v>197.79922011927576</v>
      </c>
      <c r="CP121" s="363">
        <v>197.16758318595345</v>
      </c>
      <c r="CQ121" s="363">
        <v>196.53796327380695</v>
      </c>
      <c r="CR121" s="363">
        <v>195.91035394183476</v>
      </c>
      <c r="CS121" s="363">
        <v>197.35949652779411</v>
      </c>
      <c r="CT121" s="363">
        <v>198.81935837484502</v>
      </c>
      <c r="CU121" s="363">
        <v>200.29001877301695</v>
      </c>
      <c r="CV121" s="363">
        <v>201.77155759884525</v>
      </c>
      <c r="CW121" s="363">
        <v>203.26405531970914</v>
      </c>
      <c r="CX121" s="435">
        <v>204.08337550615727</v>
      </c>
      <c r="CY121" s="435">
        <v>204.90269569260542</v>
      </c>
      <c r="CZ121" s="435">
        <v>205.72201587905354</v>
      </c>
      <c r="DA121" s="435">
        <v>206.5413360655017</v>
      </c>
      <c r="DB121" s="363">
        <v>207.36065625194982</v>
      </c>
      <c r="DC121" s="435">
        <v>208.03225664123539</v>
      </c>
      <c r="DD121" s="435">
        <v>208.70385703052096</v>
      </c>
      <c r="DE121" s="435">
        <v>209.37545741980651</v>
      </c>
      <c r="DF121" s="435">
        <v>210.04705780909208</v>
      </c>
      <c r="DG121" s="363">
        <v>210.71865819837765</v>
      </c>
      <c r="DH121" s="362">
        <v>1.0201393845510014</v>
      </c>
      <c r="DI121" s="362">
        <v>1.040684363912096</v>
      </c>
      <c r="DJ121" s="362">
        <v>1.061643106513136</v>
      </c>
      <c r="DK121" s="363">
        <v>1.0546632688786093</v>
      </c>
      <c r="DL121" s="363">
        <v>1.0477293206141594</v>
      </c>
      <c r="DM121" s="363">
        <v>1.0443835817653129</v>
      </c>
      <c r="DN121" s="363">
        <v>1.0410485269435568</v>
      </c>
      <c r="DO121" s="363">
        <v>1.037724122031334</v>
      </c>
      <c r="DP121" s="363">
        <v>1.0344103330200367</v>
      </c>
      <c r="DQ121" s="363">
        <v>1.0311071260096567</v>
      </c>
      <c r="DR121" s="363">
        <v>1.0387341922515481</v>
      </c>
      <c r="DS121" s="363">
        <v>1.0464176756570793</v>
      </c>
      <c r="DT121" s="363">
        <v>1.0541579935421947</v>
      </c>
      <c r="DU121" s="363">
        <v>1.061955566309712</v>
      </c>
      <c r="DV121" s="363">
        <v>1.0698108174721537</v>
      </c>
      <c r="DW121" s="435">
        <v>1.0741230289797754</v>
      </c>
      <c r="DX121" s="435">
        <v>1.0784352404873971</v>
      </c>
      <c r="DY121" s="435">
        <v>1.0827474519950189</v>
      </c>
      <c r="DZ121" s="435">
        <v>1.0870596635026406</v>
      </c>
      <c r="EA121" s="363">
        <v>1.0913718750102623</v>
      </c>
      <c r="EB121" s="435">
        <v>1.0949066139012391</v>
      </c>
      <c r="EC121" s="435">
        <v>1.0984413527922157</v>
      </c>
      <c r="ED121" s="435">
        <v>1.1019760916831924</v>
      </c>
      <c r="EE121" s="435">
        <v>1.105510830574169</v>
      </c>
      <c r="EF121" s="363">
        <v>1.1090455694651458</v>
      </c>
      <c r="EG121" s="364">
        <v>0</v>
      </c>
      <c r="EH121" s="364">
        <v>0</v>
      </c>
      <c r="EI121" s="364">
        <v>0</v>
      </c>
      <c r="EJ121" s="365">
        <v>0</v>
      </c>
      <c r="EK121" s="365">
        <v>0</v>
      </c>
      <c r="EL121" s="365">
        <v>0</v>
      </c>
      <c r="EM121" s="365">
        <v>0</v>
      </c>
      <c r="EN121" s="365">
        <v>0</v>
      </c>
      <c r="EO121" s="365">
        <v>0</v>
      </c>
      <c r="EP121" s="365">
        <v>0</v>
      </c>
      <c r="EQ121" s="365">
        <v>0</v>
      </c>
      <c r="ER121" s="365">
        <v>0</v>
      </c>
      <c r="ES121" s="365">
        <v>0</v>
      </c>
      <c r="ET121" s="365">
        <v>0</v>
      </c>
      <c r="EU121" s="365">
        <v>0</v>
      </c>
      <c r="EV121" s="436">
        <v>0</v>
      </c>
      <c r="EW121" s="436">
        <v>0</v>
      </c>
      <c r="EX121" s="436">
        <v>0</v>
      </c>
      <c r="EY121" s="436">
        <v>0</v>
      </c>
      <c r="EZ121" s="365">
        <v>0</v>
      </c>
      <c r="FA121" s="436">
        <v>0</v>
      </c>
      <c r="FB121" s="436">
        <v>0</v>
      </c>
      <c r="FC121" s="436">
        <v>0</v>
      </c>
      <c r="FD121" s="436">
        <v>0</v>
      </c>
      <c r="FE121" s="365">
        <v>0</v>
      </c>
      <c r="FF121" s="364">
        <v>0</v>
      </c>
      <c r="FG121" s="364">
        <v>0</v>
      </c>
      <c r="FH121" s="364">
        <v>0</v>
      </c>
      <c r="FI121" s="365">
        <v>0</v>
      </c>
      <c r="FJ121" s="365">
        <v>0</v>
      </c>
      <c r="FK121" s="365">
        <v>0</v>
      </c>
      <c r="FL121" s="365">
        <v>0</v>
      </c>
      <c r="FM121" s="365">
        <v>0</v>
      </c>
      <c r="FN121" s="365">
        <v>0</v>
      </c>
      <c r="FO121" s="365">
        <v>0</v>
      </c>
      <c r="FP121" s="365">
        <v>0</v>
      </c>
      <c r="FQ121" s="365">
        <v>0</v>
      </c>
      <c r="FR121" s="365">
        <v>0</v>
      </c>
      <c r="FS121" s="365">
        <v>0</v>
      </c>
      <c r="FT121" s="365">
        <v>0</v>
      </c>
      <c r="FU121" s="436">
        <v>0</v>
      </c>
      <c r="FV121" s="436">
        <v>0</v>
      </c>
      <c r="FW121" s="436">
        <v>0</v>
      </c>
      <c r="FX121" s="436">
        <v>0</v>
      </c>
      <c r="FY121" s="365">
        <v>0</v>
      </c>
      <c r="FZ121" s="436">
        <v>0</v>
      </c>
      <c r="GA121" s="436">
        <v>0</v>
      </c>
      <c r="GB121" s="436">
        <v>0</v>
      </c>
      <c r="GC121" s="436">
        <v>0</v>
      </c>
      <c r="GD121" s="365">
        <v>0</v>
      </c>
    </row>
    <row r="122" spans="1:186" ht="15" x14ac:dyDescent="0.25">
      <c r="A122" s="357">
        <v>124</v>
      </c>
      <c r="B122" s="357">
        <v>89</v>
      </c>
      <c r="C122" s="357" t="s">
        <v>1032</v>
      </c>
      <c r="D122" s="2">
        <v>99705</v>
      </c>
      <c r="E122" s="268" t="s">
        <v>218</v>
      </c>
      <c r="F122" s="358" t="s">
        <v>985</v>
      </c>
      <c r="G122" s="49">
        <v>336</v>
      </c>
      <c r="H122" s="49">
        <v>130</v>
      </c>
      <c r="I122" s="49">
        <v>119</v>
      </c>
      <c r="J122" s="49">
        <v>11</v>
      </c>
      <c r="K122" s="49">
        <v>0</v>
      </c>
      <c r="L122" s="49">
        <v>134</v>
      </c>
      <c r="M122" s="49">
        <v>134</v>
      </c>
      <c r="N122" s="49">
        <v>0</v>
      </c>
      <c r="O122" s="49">
        <v>0</v>
      </c>
      <c r="P122" s="49">
        <v>0</v>
      </c>
      <c r="Q122" s="49">
        <v>134</v>
      </c>
      <c r="R122" s="49">
        <v>0</v>
      </c>
      <c r="S122" s="49">
        <v>2016.8656716417911</v>
      </c>
      <c r="T122" s="49">
        <v>2016.8656716417911</v>
      </c>
      <c r="U122" s="49">
        <v>0</v>
      </c>
      <c r="V122" s="49">
        <v>0</v>
      </c>
      <c r="W122" s="49">
        <v>0</v>
      </c>
      <c r="X122" s="49">
        <v>2016.8656716417911</v>
      </c>
      <c r="Y122" s="434">
        <v>270260</v>
      </c>
      <c r="Z122" s="434">
        <v>0</v>
      </c>
      <c r="AA122" s="49">
        <v>0</v>
      </c>
      <c r="AB122" s="49">
        <v>130</v>
      </c>
      <c r="AC122" s="49">
        <v>0</v>
      </c>
      <c r="AD122" s="285">
        <v>0</v>
      </c>
      <c r="AE122" s="285">
        <v>0</v>
      </c>
      <c r="AF122" s="359">
        <v>130</v>
      </c>
      <c r="AG122" s="360">
        <v>0</v>
      </c>
      <c r="AH122" s="360">
        <v>119</v>
      </c>
      <c r="AI122" s="361">
        <v>119</v>
      </c>
      <c r="AJ122" s="360">
        <v>0</v>
      </c>
      <c r="AK122" s="360">
        <v>0</v>
      </c>
      <c r="AL122" s="360">
        <v>120.65972102871187</v>
      </c>
      <c r="AM122" s="360">
        <v>120.65972102871187</v>
      </c>
      <c r="AN122" s="360">
        <v>0</v>
      </c>
      <c r="AO122" s="360">
        <v>0</v>
      </c>
      <c r="AP122" s="360">
        <v>111.01656162565618</v>
      </c>
      <c r="AQ122" s="360">
        <v>111.01656162565618</v>
      </c>
      <c r="AR122" s="360">
        <v>0</v>
      </c>
      <c r="AS122" s="360">
        <v>0</v>
      </c>
      <c r="AT122" s="360">
        <v>0</v>
      </c>
      <c r="AU122" s="360">
        <v>111.99052522097364</v>
      </c>
      <c r="AV122" s="360">
        <v>116.24433547928949</v>
      </c>
      <c r="AW122" s="360">
        <v>120.65972102871187</v>
      </c>
      <c r="AX122" s="360">
        <v>125.24281909048734</v>
      </c>
      <c r="AY122" s="360">
        <v>130</v>
      </c>
      <c r="AZ122" s="360">
        <v>103.5687139091018</v>
      </c>
      <c r="BA122" s="360">
        <v>107.2279931276332</v>
      </c>
      <c r="BB122" s="360">
        <v>111.01656162565618</v>
      </c>
      <c r="BC122" s="360">
        <v>114.93898743878461</v>
      </c>
      <c r="BD122" s="360">
        <v>119</v>
      </c>
      <c r="BE122" s="360">
        <v>0</v>
      </c>
      <c r="BF122" s="360">
        <v>0</v>
      </c>
      <c r="BG122" s="360">
        <v>0</v>
      </c>
      <c r="BH122" s="360">
        <v>0</v>
      </c>
      <c r="BI122" s="360">
        <v>0</v>
      </c>
      <c r="BJ122" s="362">
        <v>132.61811999163018</v>
      </c>
      <c r="BK122" s="362">
        <v>135.28896730857247</v>
      </c>
      <c r="BL122" s="362">
        <v>138.01360384670767</v>
      </c>
      <c r="BM122" s="363">
        <v>137.10622495421919</v>
      </c>
      <c r="BN122" s="363">
        <v>136.2048116798407</v>
      </c>
      <c r="BO122" s="363">
        <v>135.76986562949065</v>
      </c>
      <c r="BP122" s="363">
        <v>135.33630850266238</v>
      </c>
      <c r="BQ122" s="363">
        <v>134.90413586407342</v>
      </c>
      <c r="BR122" s="363">
        <v>134.47334329260477</v>
      </c>
      <c r="BS122" s="363">
        <v>134.04392638125537</v>
      </c>
      <c r="BT122" s="363">
        <v>135.03544499270126</v>
      </c>
      <c r="BU122" s="363">
        <v>136.03429783542029</v>
      </c>
      <c r="BV122" s="363">
        <v>137.04053916048531</v>
      </c>
      <c r="BW122" s="363">
        <v>138.05422362026255</v>
      </c>
      <c r="BX122" s="363">
        <v>139.07540627137996</v>
      </c>
      <c r="BY122" s="435">
        <v>139.63599376737079</v>
      </c>
      <c r="BZ122" s="435">
        <v>140.19658126336162</v>
      </c>
      <c r="CA122" s="435">
        <v>140.75716875935245</v>
      </c>
      <c r="CB122" s="435">
        <v>141.31775625534328</v>
      </c>
      <c r="CC122" s="363">
        <v>141.87834375133411</v>
      </c>
      <c r="CD122" s="435">
        <v>142.33785980716107</v>
      </c>
      <c r="CE122" s="435">
        <v>142.79737586298805</v>
      </c>
      <c r="CF122" s="435">
        <v>143.256891918815</v>
      </c>
      <c r="CG122" s="435">
        <v>143.71640797464198</v>
      </c>
      <c r="CH122" s="363">
        <v>144.17592403046893</v>
      </c>
      <c r="CI122" s="362">
        <v>121.39658676156917</v>
      </c>
      <c r="CJ122" s="362">
        <v>123.84143930553942</v>
      </c>
      <c r="CK122" s="362">
        <v>126.33552967506319</v>
      </c>
      <c r="CL122" s="363">
        <v>125.5049289965545</v>
      </c>
      <c r="CM122" s="363">
        <v>124.67978915308497</v>
      </c>
      <c r="CN122" s="363">
        <v>124.28164623007224</v>
      </c>
      <c r="CO122" s="363">
        <v>123.88477470628327</v>
      </c>
      <c r="CP122" s="363">
        <v>123.48917052172877</v>
      </c>
      <c r="CQ122" s="363">
        <v>123.09482962938436</v>
      </c>
      <c r="CR122" s="363">
        <v>122.70174799514916</v>
      </c>
      <c r="CS122" s="363">
        <v>123.60936887793423</v>
      </c>
      <c r="CT122" s="363">
        <v>124.52370340319243</v>
      </c>
      <c r="CU122" s="363">
        <v>125.44480123152117</v>
      </c>
      <c r="CV122" s="363">
        <v>126.37271239085572</v>
      </c>
      <c r="CW122" s="363">
        <v>127.30748727918628</v>
      </c>
      <c r="CX122" s="435">
        <v>127.82064044859327</v>
      </c>
      <c r="CY122" s="435">
        <v>128.33379361800027</v>
      </c>
      <c r="CZ122" s="435">
        <v>128.84694678740726</v>
      </c>
      <c r="DA122" s="435">
        <v>129.36009995681425</v>
      </c>
      <c r="DB122" s="363">
        <v>129.87325312622124</v>
      </c>
      <c r="DC122" s="435">
        <v>130.29388705424745</v>
      </c>
      <c r="DD122" s="435">
        <v>130.71452098227368</v>
      </c>
      <c r="DE122" s="435">
        <v>131.13515491029989</v>
      </c>
      <c r="DF122" s="435">
        <v>131.55578883832612</v>
      </c>
      <c r="DG122" s="363">
        <v>131.97642276635233</v>
      </c>
      <c r="DH122" s="362">
        <v>0</v>
      </c>
      <c r="DI122" s="362">
        <v>0</v>
      </c>
      <c r="DJ122" s="362">
        <v>0</v>
      </c>
      <c r="DK122" s="363">
        <v>0</v>
      </c>
      <c r="DL122" s="363">
        <v>0</v>
      </c>
      <c r="DM122" s="363">
        <v>0</v>
      </c>
      <c r="DN122" s="363">
        <v>0</v>
      </c>
      <c r="DO122" s="363">
        <v>0</v>
      </c>
      <c r="DP122" s="363">
        <v>0</v>
      </c>
      <c r="DQ122" s="363">
        <v>0</v>
      </c>
      <c r="DR122" s="363">
        <v>0</v>
      </c>
      <c r="DS122" s="363">
        <v>0</v>
      </c>
      <c r="DT122" s="363">
        <v>0</v>
      </c>
      <c r="DU122" s="363">
        <v>0</v>
      </c>
      <c r="DV122" s="363">
        <v>0</v>
      </c>
      <c r="DW122" s="435">
        <v>0</v>
      </c>
      <c r="DX122" s="435">
        <v>0</v>
      </c>
      <c r="DY122" s="435">
        <v>0</v>
      </c>
      <c r="DZ122" s="435">
        <v>0</v>
      </c>
      <c r="EA122" s="363">
        <v>0</v>
      </c>
      <c r="EB122" s="435">
        <v>0</v>
      </c>
      <c r="EC122" s="435">
        <v>0</v>
      </c>
      <c r="ED122" s="435">
        <v>0</v>
      </c>
      <c r="EE122" s="435">
        <v>0</v>
      </c>
      <c r="EF122" s="363">
        <v>0</v>
      </c>
      <c r="EG122" s="364">
        <v>0</v>
      </c>
      <c r="EH122" s="364">
        <v>0</v>
      </c>
      <c r="EI122" s="364">
        <v>0</v>
      </c>
      <c r="EJ122" s="365">
        <v>0</v>
      </c>
      <c r="EK122" s="365">
        <v>0</v>
      </c>
      <c r="EL122" s="365">
        <v>0</v>
      </c>
      <c r="EM122" s="365">
        <v>0</v>
      </c>
      <c r="EN122" s="365">
        <v>0</v>
      </c>
      <c r="EO122" s="365">
        <v>0</v>
      </c>
      <c r="EP122" s="365">
        <v>0</v>
      </c>
      <c r="EQ122" s="365">
        <v>0</v>
      </c>
      <c r="ER122" s="365">
        <v>0</v>
      </c>
      <c r="ES122" s="365">
        <v>0</v>
      </c>
      <c r="ET122" s="365">
        <v>0</v>
      </c>
      <c r="EU122" s="365">
        <v>0</v>
      </c>
      <c r="EV122" s="436">
        <v>0</v>
      </c>
      <c r="EW122" s="436">
        <v>0</v>
      </c>
      <c r="EX122" s="436">
        <v>0</v>
      </c>
      <c r="EY122" s="436">
        <v>0</v>
      </c>
      <c r="EZ122" s="365">
        <v>0</v>
      </c>
      <c r="FA122" s="436">
        <v>0</v>
      </c>
      <c r="FB122" s="436">
        <v>0</v>
      </c>
      <c r="FC122" s="436">
        <v>0</v>
      </c>
      <c r="FD122" s="436">
        <v>0</v>
      </c>
      <c r="FE122" s="365">
        <v>0</v>
      </c>
      <c r="FF122" s="364">
        <v>0</v>
      </c>
      <c r="FG122" s="364">
        <v>0</v>
      </c>
      <c r="FH122" s="364">
        <v>0</v>
      </c>
      <c r="FI122" s="365">
        <v>0</v>
      </c>
      <c r="FJ122" s="365">
        <v>0</v>
      </c>
      <c r="FK122" s="365">
        <v>0</v>
      </c>
      <c r="FL122" s="365">
        <v>0</v>
      </c>
      <c r="FM122" s="365">
        <v>0</v>
      </c>
      <c r="FN122" s="365">
        <v>0</v>
      </c>
      <c r="FO122" s="365">
        <v>0</v>
      </c>
      <c r="FP122" s="365">
        <v>0</v>
      </c>
      <c r="FQ122" s="365">
        <v>0</v>
      </c>
      <c r="FR122" s="365">
        <v>0</v>
      </c>
      <c r="FS122" s="365">
        <v>0</v>
      </c>
      <c r="FT122" s="365">
        <v>0</v>
      </c>
      <c r="FU122" s="436">
        <v>0</v>
      </c>
      <c r="FV122" s="436">
        <v>0</v>
      </c>
      <c r="FW122" s="436">
        <v>0</v>
      </c>
      <c r="FX122" s="436">
        <v>0</v>
      </c>
      <c r="FY122" s="365">
        <v>0</v>
      </c>
      <c r="FZ122" s="436">
        <v>0</v>
      </c>
      <c r="GA122" s="436">
        <v>0</v>
      </c>
      <c r="GB122" s="436">
        <v>0</v>
      </c>
      <c r="GC122" s="436">
        <v>0</v>
      </c>
      <c r="GD122" s="365">
        <v>0</v>
      </c>
    </row>
    <row r="123" spans="1:186" ht="15" x14ac:dyDescent="0.25">
      <c r="A123" s="357">
        <v>125</v>
      </c>
      <c r="B123" s="357">
        <v>89</v>
      </c>
      <c r="C123" s="357" t="s">
        <v>1033</v>
      </c>
      <c r="D123" s="2">
        <v>99705</v>
      </c>
      <c r="E123" s="268" t="s">
        <v>218</v>
      </c>
      <c r="F123" s="358" t="s">
        <v>985</v>
      </c>
      <c r="G123" s="49">
        <v>316</v>
      </c>
      <c r="H123" s="49">
        <v>116</v>
      </c>
      <c r="I123" s="49">
        <v>109</v>
      </c>
      <c r="J123" s="49">
        <v>7</v>
      </c>
      <c r="K123" s="49">
        <v>0</v>
      </c>
      <c r="L123" s="49">
        <v>117</v>
      </c>
      <c r="M123" s="49">
        <v>117</v>
      </c>
      <c r="N123" s="49">
        <v>0</v>
      </c>
      <c r="O123" s="49">
        <v>0</v>
      </c>
      <c r="P123" s="49">
        <v>0</v>
      </c>
      <c r="Q123" s="49">
        <v>117</v>
      </c>
      <c r="R123" s="49">
        <v>0</v>
      </c>
      <c r="S123" s="49">
        <v>2056.8803418803418</v>
      </c>
      <c r="T123" s="49">
        <v>2056.8803418803418</v>
      </c>
      <c r="U123" s="49">
        <v>0</v>
      </c>
      <c r="V123" s="49">
        <v>0</v>
      </c>
      <c r="W123" s="49">
        <v>0</v>
      </c>
      <c r="X123" s="49">
        <v>2056.8803418803418</v>
      </c>
      <c r="Y123" s="434">
        <v>240655</v>
      </c>
      <c r="Z123" s="434">
        <v>0</v>
      </c>
      <c r="AA123" s="49">
        <v>0</v>
      </c>
      <c r="AB123" s="49">
        <v>116</v>
      </c>
      <c r="AC123" s="49">
        <v>0</v>
      </c>
      <c r="AD123" s="285">
        <v>0</v>
      </c>
      <c r="AE123" s="285">
        <v>0</v>
      </c>
      <c r="AF123" s="359">
        <v>116</v>
      </c>
      <c r="AG123" s="360">
        <v>0</v>
      </c>
      <c r="AH123" s="360">
        <v>109</v>
      </c>
      <c r="AI123" s="361">
        <v>109</v>
      </c>
      <c r="AJ123" s="360">
        <v>0</v>
      </c>
      <c r="AK123" s="360">
        <v>0</v>
      </c>
      <c r="AL123" s="360">
        <v>107.66559722561982</v>
      </c>
      <c r="AM123" s="360">
        <v>107.66559722561982</v>
      </c>
      <c r="AN123" s="360">
        <v>0</v>
      </c>
      <c r="AO123" s="360">
        <v>0</v>
      </c>
      <c r="AP123" s="360">
        <v>101.68743879997078</v>
      </c>
      <c r="AQ123" s="360">
        <v>101.68743879997078</v>
      </c>
      <c r="AR123" s="360">
        <v>0</v>
      </c>
      <c r="AS123" s="360">
        <v>0</v>
      </c>
      <c r="AT123" s="360">
        <v>0</v>
      </c>
      <c r="AU123" s="360">
        <v>99.930007120253407</v>
      </c>
      <c r="AV123" s="360">
        <v>103.72571473536601</v>
      </c>
      <c r="AW123" s="360">
        <v>107.66559722561982</v>
      </c>
      <c r="AX123" s="360">
        <v>111.75513088074256</v>
      </c>
      <c r="AY123" s="360">
        <v>116</v>
      </c>
      <c r="AZ123" s="360">
        <v>94.865460639429386</v>
      </c>
      <c r="BA123" s="360">
        <v>98.217237402622004</v>
      </c>
      <c r="BB123" s="360">
        <v>101.68743879997078</v>
      </c>
      <c r="BC123" s="360">
        <v>105.2802489985506</v>
      </c>
      <c r="BD123" s="360">
        <v>109</v>
      </c>
      <c r="BE123" s="360">
        <v>0</v>
      </c>
      <c r="BF123" s="360">
        <v>0</v>
      </c>
      <c r="BG123" s="360">
        <v>0</v>
      </c>
      <c r="BH123" s="360">
        <v>0</v>
      </c>
      <c r="BI123" s="360">
        <v>0</v>
      </c>
      <c r="BJ123" s="362">
        <v>116.9357610144243</v>
      </c>
      <c r="BK123" s="362">
        <v>117.87907072433237</v>
      </c>
      <c r="BL123" s="362">
        <v>118.82999002433579</v>
      </c>
      <c r="BM123" s="363">
        <v>118.04873497601127</v>
      </c>
      <c r="BN123" s="363">
        <v>117.27261633685761</v>
      </c>
      <c r="BO123" s="363">
        <v>116.89812691419444</v>
      </c>
      <c r="BP123" s="363">
        <v>116.52483335747223</v>
      </c>
      <c r="BQ123" s="363">
        <v>116.15273184790398</v>
      </c>
      <c r="BR123" s="363">
        <v>115.78181857889727</v>
      </c>
      <c r="BS123" s="363">
        <v>115.41208975601539</v>
      </c>
      <c r="BT123" s="363">
        <v>116.26578927130319</v>
      </c>
      <c r="BU123" s="363">
        <v>117.12580357444331</v>
      </c>
      <c r="BV123" s="363">
        <v>117.99217937571837</v>
      </c>
      <c r="BW123" s="363">
        <v>118.86496373092545</v>
      </c>
      <c r="BX123" s="363">
        <v>119.74420404393175</v>
      </c>
      <c r="BY123" s="435">
        <v>120.22687100356238</v>
      </c>
      <c r="BZ123" s="435">
        <v>120.70953796319301</v>
      </c>
      <c r="CA123" s="435">
        <v>121.19220492282366</v>
      </c>
      <c r="CB123" s="435">
        <v>121.6748718824543</v>
      </c>
      <c r="CC123" s="363">
        <v>122.15753884208493</v>
      </c>
      <c r="CD123" s="435">
        <v>122.55318308879694</v>
      </c>
      <c r="CE123" s="435">
        <v>122.94882733550895</v>
      </c>
      <c r="CF123" s="435">
        <v>123.34447158222096</v>
      </c>
      <c r="CG123" s="435">
        <v>123.74011582893297</v>
      </c>
      <c r="CH123" s="363">
        <v>124.13576007564498</v>
      </c>
      <c r="CI123" s="362">
        <v>109.87929267734698</v>
      </c>
      <c r="CJ123" s="362">
        <v>110.76567852545024</v>
      </c>
      <c r="CK123" s="362">
        <v>111.65921476424656</v>
      </c>
      <c r="CL123" s="363">
        <v>110.92510441711404</v>
      </c>
      <c r="CM123" s="363">
        <v>110.19582052342655</v>
      </c>
      <c r="CN123" s="363">
        <v>109.84392960040684</v>
      </c>
      <c r="CO123" s="363">
        <v>109.49316237900408</v>
      </c>
      <c r="CP123" s="363">
        <v>109.14351527087528</v>
      </c>
      <c r="CQ123" s="363">
        <v>108.79498469913622</v>
      </c>
      <c r="CR123" s="363">
        <v>108.4475670983248</v>
      </c>
      <c r="CS123" s="363">
        <v>109.24975026355213</v>
      </c>
      <c r="CT123" s="363">
        <v>110.05786715184759</v>
      </c>
      <c r="CU123" s="363">
        <v>110.87196165476985</v>
      </c>
      <c r="CV123" s="363">
        <v>111.69207798854201</v>
      </c>
      <c r="CW123" s="363">
        <v>112.51826069645311</v>
      </c>
      <c r="CX123" s="435">
        <v>112.97180120162328</v>
      </c>
      <c r="CY123" s="435">
        <v>113.42534170679345</v>
      </c>
      <c r="CZ123" s="435">
        <v>113.87888221196361</v>
      </c>
      <c r="DA123" s="435">
        <v>114.33242271713378</v>
      </c>
      <c r="DB123" s="363">
        <v>114.78596322230395</v>
      </c>
      <c r="DC123" s="435">
        <v>115.15773238516265</v>
      </c>
      <c r="DD123" s="435">
        <v>115.52950154802134</v>
      </c>
      <c r="DE123" s="435">
        <v>115.90127071088004</v>
      </c>
      <c r="DF123" s="435">
        <v>116.27303987373874</v>
      </c>
      <c r="DG123" s="363">
        <v>116.64480903659744</v>
      </c>
      <c r="DH123" s="362">
        <v>0</v>
      </c>
      <c r="DI123" s="362">
        <v>0</v>
      </c>
      <c r="DJ123" s="362">
        <v>0</v>
      </c>
      <c r="DK123" s="363">
        <v>0</v>
      </c>
      <c r="DL123" s="363">
        <v>0</v>
      </c>
      <c r="DM123" s="363">
        <v>0</v>
      </c>
      <c r="DN123" s="363">
        <v>0</v>
      </c>
      <c r="DO123" s="363">
        <v>0</v>
      </c>
      <c r="DP123" s="363">
        <v>0</v>
      </c>
      <c r="DQ123" s="363">
        <v>0</v>
      </c>
      <c r="DR123" s="363">
        <v>0</v>
      </c>
      <c r="DS123" s="363">
        <v>0</v>
      </c>
      <c r="DT123" s="363">
        <v>0</v>
      </c>
      <c r="DU123" s="363">
        <v>0</v>
      </c>
      <c r="DV123" s="363">
        <v>0</v>
      </c>
      <c r="DW123" s="435">
        <v>0</v>
      </c>
      <c r="DX123" s="435">
        <v>0</v>
      </c>
      <c r="DY123" s="435">
        <v>0</v>
      </c>
      <c r="DZ123" s="435">
        <v>0</v>
      </c>
      <c r="EA123" s="363">
        <v>0</v>
      </c>
      <c r="EB123" s="435">
        <v>0</v>
      </c>
      <c r="EC123" s="435">
        <v>0</v>
      </c>
      <c r="ED123" s="435">
        <v>0</v>
      </c>
      <c r="EE123" s="435">
        <v>0</v>
      </c>
      <c r="EF123" s="363">
        <v>0</v>
      </c>
      <c r="EG123" s="364">
        <v>0</v>
      </c>
      <c r="EH123" s="364">
        <v>0</v>
      </c>
      <c r="EI123" s="364">
        <v>0</v>
      </c>
      <c r="EJ123" s="365">
        <v>0</v>
      </c>
      <c r="EK123" s="365">
        <v>0</v>
      </c>
      <c r="EL123" s="365">
        <v>0</v>
      </c>
      <c r="EM123" s="365">
        <v>0</v>
      </c>
      <c r="EN123" s="365">
        <v>0</v>
      </c>
      <c r="EO123" s="365">
        <v>0</v>
      </c>
      <c r="EP123" s="365">
        <v>0</v>
      </c>
      <c r="EQ123" s="365">
        <v>0</v>
      </c>
      <c r="ER123" s="365">
        <v>0</v>
      </c>
      <c r="ES123" s="365">
        <v>0</v>
      </c>
      <c r="ET123" s="365">
        <v>0</v>
      </c>
      <c r="EU123" s="365">
        <v>0</v>
      </c>
      <c r="EV123" s="436">
        <v>0</v>
      </c>
      <c r="EW123" s="436">
        <v>0</v>
      </c>
      <c r="EX123" s="436">
        <v>0</v>
      </c>
      <c r="EY123" s="436">
        <v>0</v>
      </c>
      <c r="EZ123" s="365">
        <v>0</v>
      </c>
      <c r="FA123" s="436">
        <v>0</v>
      </c>
      <c r="FB123" s="436">
        <v>0</v>
      </c>
      <c r="FC123" s="436">
        <v>0</v>
      </c>
      <c r="FD123" s="436">
        <v>0</v>
      </c>
      <c r="FE123" s="365">
        <v>0</v>
      </c>
      <c r="FF123" s="364">
        <v>0</v>
      </c>
      <c r="FG123" s="364">
        <v>0</v>
      </c>
      <c r="FH123" s="364">
        <v>0</v>
      </c>
      <c r="FI123" s="365">
        <v>0</v>
      </c>
      <c r="FJ123" s="365">
        <v>0</v>
      </c>
      <c r="FK123" s="365">
        <v>0</v>
      </c>
      <c r="FL123" s="365">
        <v>0</v>
      </c>
      <c r="FM123" s="365">
        <v>0</v>
      </c>
      <c r="FN123" s="365">
        <v>0</v>
      </c>
      <c r="FO123" s="365">
        <v>0</v>
      </c>
      <c r="FP123" s="365">
        <v>0</v>
      </c>
      <c r="FQ123" s="365">
        <v>0</v>
      </c>
      <c r="FR123" s="365">
        <v>0</v>
      </c>
      <c r="FS123" s="365">
        <v>0</v>
      </c>
      <c r="FT123" s="365">
        <v>0</v>
      </c>
      <c r="FU123" s="436">
        <v>0</v>
      </c>
      <c r="FV123" s="436">
        <v>0</v>
      </c>
      <c r="FW123" s="436">
        <v>0</v>
      </c>
      <c r="FX123" s="436">
        <v>0</v>
      </c>
      <c r="FY123" s="365">
        <v>0</v>
      </c>
      <c r="FZ123" s="436">
        <v>0</v>
      </c>
      <c r="GA123" s="436">
        <v>0</v>
      </c>
      <c r="GB123" s="436">
        <v>0</v>
      </c>
      <c r="GC123" s="436">
        <v>0</v>
      </c>
      <c r="GD123" s="365">
        <v>0</v>
      </c>
    </row>
    <row r="124" spans="1:186" ht="15" x14ac:dyDescent="0.25">
      <c r="A124" s="357">
        <v>126</v>
      </c>
      <c r="B124" s="357">
        <v>89</v>
      </c>
      <c r="C124" s="357" t="s">
        <v>1034</v>
      </c>
      <c r="D124" s="2">
        <v>99705</v>
      </c>
      <c r="E124" s="268" t="s">
        <v>218</v>
      </c>
      <c r="F124" s="358" t="s">
        <v>985</v>
      </c>
      <c r="G124" s="49">
        <v>672</v>
      </c>
      <c r="H124" s="49">
        <v>250</v>
      </c>
      <c r="I124" s="49">
        <v>231</v>
      </c>
      <c r="J124" s="49">
        <v>19</v>
      </c>
      <c r="K124" s="49">
        <v>0</v>
      </c>
      <c r="L124" s="49">
        <v>59</v>
      </c>
      <c r="M124" s="49">
        <v>59</v>
      </c>
      <c r="N124" s="49">
        <v>1</v>
      </c>
      <c r="O124" s="49">
        <v>0</v>
      </c>
      <c r="P124" s="49">
        <v>0</v>
      </c>
      <c r="Q124" s="49">
        <v>60</v>
      </c>
      <c r="R124" s="49">
        <v>0</v>
      </c>
      <c r="S124" s="49">
        <v>2042</v>
      </c>
      <c r="T124" s="49">
        <v>2042</v>
      </c>
      <c r="U124" s="49">
        <v>2748</v>
      </c>
      <c r="V124" s="49">
        <v>0</v>
      </c>
      <c r="W124" s="49">
        <v>0</v>
      </c>
      <c r="X124" s="49">
        <v>2053.7666666666669</v>
      </c>
      <c r="Y124" s="434">
        <v>120478</v>
      </c>
      <c r="Z124" s="434">
        <v>2748</v>
      </c>
      <c r="AA124" s="49">
        <v>0</v>
      </c>
      <c r="AB124" s="49">
        <v>250</v>
      </c>
      <c r="AC124" s="49">
        <v>0</v>
      </c>
      <c r="AD124" s="285">
        <v>1</v>
      </c>
      <c r="AE124" s="285">
        <v>0</v>
      </c>
      <c r="AF124" s="359">
        <v>251</v>
      </c>
      <c r="AG124" s="360">
        <v>0</v>
      </c>
      <c r="AH124" s="360">
        <v>231</v>
      </c>
      <c r="AI124" s="361">
        <v>231</v>
      </c>
      <c r="AJ124" s="360">
        <v>0</v>
      </c>
      <c r="AK124" s="360">
        <v>0</v>
      </c>
      <c r="AL124" s="360">
        <v>232.03792505521514</v>
      </c>
      <c r="AM124" s="360">
        <v>232.03792505521514</v>
      </c>
      <c r="AN124" s="360">
        <v>0</v>
      </c>
      <c r="AO124" s="360">
        <v>0</v>
      </c>
      <c r="AP124" s="360">
        <v>215.50273727333257</v>
      </c>
      <c r="AQ124" s="360">
        <v>215.50273727333257</v>
      </c>
      <c r="AR124" s="360">
        <v>0</v>
      </c>
      <c r="AS124" s="360">
        <v>0.94010766733490925</v>
      </c>
      <c r="AT124" s="360">
        <v>0</v>
      </c>
      <c r="AU124" s="360">
        <v>215.36639465571855</v>
      </c>
      <c r="AV124" s="360">
        <v>223.54679899863362</v>
      </c>
      <c r="AW124" s="360">
        <v>232.03792505521514</v>
      </c>
      <c r="AX124" s="360">
        <v>240.85157517401413</v>
      </c>
      <c r="AY124" s="360">
        <v>250</v>
      </c>
      <c r="AZ124" s="360">
        <v>201.0451505294329</v>
      </c>
      <c r="BA124" s="360">
        <v>208.14845724775859</v>
      </c>
      <c r="BB124" s="360">
        <v>215.50273727333257</v>
      </c>
      <c r="BC124" s="360">
        <v>223.1168579694054</v>
      </c>
      <c r="BD124" s="360">
        <v>231</v>
      </c>
      <c r="BE124" s="360">
        <v>0.88380242618188454</v>
      </c>
      <c r="BF124" s="360">
        <v>0.91152039870909352</v>
      </c>
      <c r="BG124" s="360">
        <v>0.94010766733490925</v>
      </c>
      <c r="BH124" s="360">
        <v>0.96959149508177378</v>
      </c>
      <c r="BI124" s="360">
        <v>1</v>
      </c>
      <c r="BJ124" s="362">
        <v>252.0167263241903</v>
      </c>
      <c r="BK124" s="362">
        <v>254.04972138864736</v>
      </c>
      <c r="BL124" s="362">
        <v>256.09911643175815</v>
      </c>
      <c r="BM124" s="363">
        <v>254.41537710347257</v>
      </c>
      <c r="BN124" s="363">
        <v>252.74270762253795</v>
      </c>
      <c r="BO124" s="363">
        <v>251.93561834955696</v>
      </c>
      <c r="BP124" s="363">
        <v>251.13110637386256</v>
      </c>
      <c r="BQ124" s="363">
        <v>250.3291634653103</v>
      </c>
      <c r="BR124" s="363">
        <v>249.52978142003721</v>
      </c>
      <c r="BS124" s="363">
        <v>248.73295206037798</v>
      </c>
      <c r="BT124" s="363">
        <v>250.5728217053948</v>
      </c>
      <c r="BU124" s="363">
        <v>252.4263008069899</v>
      </c>
      <c r="BV124" s="363">
        <v>254.29349003387577</v>
      </c>
      <c r="BW124" s="363">
        <v>256.17449079940826</v>
      </c>
      <c r="BX124" s="363">
        <v>258.06940526709428</v>
      </c>
      <c r="BY124" s="435">
        <v>259.1096357835396</v>
      </c>
      <c r="BZ124" s="435">
        <v>260.14986629998498</v>
      </c>
      <c r="CA124" s="435">
        <v>261.1900968164303</v>
      </c>
      <c r="CB124" s="435">
        <v>262.23032733287567</v>
      </c>
      <c r="CC124" s="363">
        <v>263.27055784932099</v>
      </c>
      <c r="CD124" s="435">
        <v>264.12323941551068</v>
      </c>
      <c r="CE124" s="435">
        <v>264.97592098170037</v>
      </c>
      <c r="CF124" s="435">
        <v>265.82860254789</v>
      </c>
      <c r="CG124" s="435">
        <v>266.68128411407969</v>
      </c>
      <c r="CH124" s="363">
        <v>267.53396568026938</v>
      </c>
      <c r="CI124" s="362">
        <v>232.86345512355186</v>
      </c>
      <c r="CJ124" s="362">
        <v>234.74194256311014</v>
      </c>
      <c r="CK124" s="362">
        <v>236.63558358294452</v>
      </c>
      <c r="CL124" s="363">
        <v>235.07980844360864</v>
      </c>
      <c r="CM124" s="363">
        <v>233.53426184322507</v>
      </c>
      <c r="CN124" s="363">
        <v>232.78851135499062</v>
      </c>
      <c r="CO124" s="363">
        <v>232.04514228944899</v>
      </c>
      <c r="CP124" s="363">
        <v>231.30414704194669</v>
      </c>
      <c r="CQ124" s="363">
        <v>230.56551803211437</v>
      </c>
      <c r="CR124" s="363">
        <v>229.82924770378924</v>
      </c>
      <c r="CS124" s="363">
        <v>231.52928725578479</v>
      </c>
      <c r="CT124" s="363">
        <v>233.24190194565864</v>
      </c>
      <c r="CU124" s="363">
        <v>234.96718479130121</v>
      </c>
      <c r="CV124" s="363">
        <v>236.70522949865324</v>
      </c>
      <c r="CW124" s="363">
        <v>238.45613046679509</v>
      </c>
      <c r="CX124" s="435">
        <v>239.41730346399058</v>
      </c>
      <c r="CY124" s="435">
        <v>240.37847646118607</v>
      </c>
      <c r="CZ124" s="435">
        <v>241.33964945838159</v>
      </c>
      <c r="DA124" s="435">
        <v>242.30082245557708</v>
      </c>
      <c r="DB124" s="363">
        <v>243.26199545277257</v>
      </c>
      <c r="DC124" s="435">
        <v>244.04987321993184</v>
      </c>
      <c r="DD124" s="435">
        <v>244.83775098709108</v>
      </c>
      <c r="DE124" s="435">
        <v>245.62562875425036</v>
      </c>
      <c r="DF124" s="435">
        <v>246.4135065214096</v>
      </c>
      <c r="DG124" s="363">
        <v>247.20138428856887</v>
      </c>
      <c r="DH124" s="362">
        <v>1.0080669052967612</v>
      </c>
      <c r="DI124" s="362">
        <v>1.0161988855545894</v>
      </c>
      <c r="DJ124" s="362">
        <v>1.0243964657270326</v>
      </c>
      <c r="DK124" s="363">
        <v>1.0176615084138902</v>
      </c>
      <c r="DL124" s="363">
        <v>1.0109708304901519</v>
      </c>
      <c r="DM124" s="363">
        <v>1.0077424733982279</v>
      </c>
      <c r="DN124" s="363">
        <v>1.0045244254954502</v>
      </c>
      <c r="DO124" s="363">
        <v>1.0013166538612412</v>
      </c>
      <c r="DP124" s="363">
        <v>0.99811912568014882</v>
      </c>
      <c r="DQ124" s="363">
        <v>0.99493180824151195</v>
      </c>
      <c r="DR124" s="363">
        <v>1.0022912868215792</v>
      </c>
      <c r="DS124" s="363">
        <v>1.0097052032279596</v>
      </c>
      <c r="DT124" s="363">
        <v>1.0171739601355032</v>
      </c>
      <c r="DU124" s="363">
        <v>1.0246979631976332</v>
      </c>
      <c r="DV124" s="363">
        <v>1.0322776210683771</v>
      </c>
      <c r="DW124" s="435">
        <v>1.0364385431341585</v>
      </c>
      <c r="DX124" s="435">
        <v>1.0405994651999397</v>
      </c>
      <c r="DY124" s="435">
        <v>1.0447603872657212</v>
      </c>
      <c r="DZ124" s="435">
        <v>1.0489213093315024</v>
      </c>
      <c r="EA124" s="363">
        <v>1.0530822313972839</v>
      </c>
      <c r="EB124" s="435">
        <v>1.0564929576620425</v>
      </c>
      <c r="EC124" s="435">
        <v>1.0599036839268012</v>
      </c>
      <c r="ED124" s="435">
        <v>1.0633144101915599</v>
      </c>
      <c r="EE124" s="435">
        <v>1.0667251364563186</v>
      </c>
      <c r="EF124" s="363">
        <v>1.0701358627210773</v>
      </c>
      <c r="EG124" s="364">
        <v>0</v>
      </c>
      <c r="EH124" s="364">
        <v>0</v>
      </c>
      <c r="EI124" s="364">
        <v>0</v>
      </c>
      <c r="EJ124" s="365">
        <v>0</v>
      </c>
      <c r="EK124" s="365">
        <v>0</v>
      </c>
      <c r="EL124" s="365">
        <v>0</v>
      </c>
      <c r="EM124" s="365">
        <v>0</v>
      </c>
      <c r="EN124" s="365">
        <v>0</v>
      </c>
      <c r="EO124" s="365">
        <v>0</v>
      </c>
      <c r="EP124" s="365">
        <v>0</v>
      </c>
      <c r="EQ124" s="365">
        <v>0</v>
      </c>
      <c r="ER124" s="365">
        <v>0</v>
      </c>
      <c r="ES124" s="365">
        <v>0</v>
      </c>
      <c r="ET124" s="365">
        <v>0</v>
      </c>
      <c r="EU124" s="365">
        <v>0</v>
      </c>
      <c r="EV124" s="436">
        <v>0</v>
      </c>
      <c r="EW124" s="436">
        <v>0</v>
      </c>
      <c r="EX124" s="436">
        <v>0</v>
      </c>
      <c r="EY124" s="436">
        <v>0</v>
      </c>
      <c r="EZ124" s="365">
        <v>0</v>
      </c>
      <c r="FA124" s="436">
        <v>0</v>
      </c>
      <c r="FB124" s="436">
        <v>0</v>
      </c>
      <c r="FC124" s="436">
        <v>0</v>
      </c>
      <c r="FD124" s="436">
        <v>0</v>
      </c>
      <c r="FE124" s="365">
        <v>0</v>
      </c>
      <c r="FF124" s="364">
        <v>0</v>
      </c>
      <c r="FG124" s="364">
        <v>0</v>
      </c>
      <c r="FH124" s="364">
        <v>0</v>
      </c>
      <c r="FI124" s="365">
        <v>0</v>
      </c>
      <c r="FJ124" s="365">
        <v>0</v>
      </c>
      <c r="FK124" s="365">
        <v>0</v>
      </c>
      <c r="FL124" s="365">
        <v>0</v>
      </c>
      <c r="FM124" s="365">
        <v>0</v>
      </c>
      <c r="FN124" s="365">
        <v>0</v>
      </c>
      <c r="FO124" s="365">
        <v>0</v>
      </c>
      <c r="FP124" s="365">
        <v>0</v>
      </c>
      <c r="FQ124" s="365">
        <v>0</v>
      </c>
      <c r="FR124" s="365">
        <v>0</v>
      </c>
      <c r="FS124" s="365">
        <v>0</v>
      </c>
      <c r="FT124" s="365">
        <v>0</v>
      </c>
      <c r="FU124" s="436">
        <v>0</v>
      </c>
      <c r="FV124" s="436">
        <v>0</v>
      </c>
      <c r="FW124" s="436">
        <v>0</v>
      </c>
      <c r="FX124" s="436">
        <v>0</v>
      </c>
      <c r="FY124" s="365">
        <v>0</v>
      </c>
      <c r="FZ124" s="436">
        <v>0</v>
      </c>
      <c r="GA124" s="436">
        <v>0</v>
      </c>
      <c r="GB124" s="436">
        <v>0</v>
      </c>
      <c r="GC124" s="436">
        <v>0</v>
      </c>
      <c r="GD124" s="365">
        <v>0</v>
      </c>
    </row>
    <row r="125" spans="1:186" ht="15" x14ac:dyDescent="0.25">
      <c r="A125" s="357">
        <v>97</v>
      </c>
      <c r="B125" s="357">
        <v>90</v>
      </c>
      <c r="C125" s="357" t="s">
        <v>1035</v>
      </c>
      <c r="D125" s="2">
        <v>99709</v>
      </c>
      <c r="E125" s="268" t="s">
        <v>19</v>
      </c>
      <c r="F125" s="358" t="s">
        <v>915</v>
      </c>
      <c r="G125" s="49">
        <v>119</v>
      </c>
      <c r="H125" s="49">
        <v>56</v>
      </c>
      <c r="I125" s="49">
        <v>46</v>
      </c>
      <c r="J125" s="49">
        <v>10</v>
      </c>
      <c r="K125" s="49">
        <v>0</v>
      </c>
      <c r="L125" s="49">
        <v>67</v>
      </c>
      <c r="M125" s="49">
        <v>67</v>
      </c>
      <c r="N125" s="49">
        <v>0</v>
      </c>
      <c r="O125" s="49">
        <v>0</v>
      </c>
      <c r="P125" s="49">
        <v>0</v>
      </c>
      <c r="Q125" s="49">
        <v>67</v>
      </c>
      <c r="R125" s="49">
        <v>0</v>
      </c>
      <c r="S125" s="49">
        <v>1494.5074626865671</v>
      </c>
      <c r="T125" s="49">
        <v>1494.5074626865671</v>
      </c>
      <c r="U125" s="49">
        <v>0</v>
      </c>
      <c r="V125" s="49">
        <v>0</v>
      </c>
      <c r="W125" s="49">
        <v>0</v>
      </c>
      <c r="X125" s="49">
        <v>1494.5074626865671</v>
      </c>
      <c r="Y125" s="434">
        <v>100132</v>
      </c>
      <c r="Z125" s="434">
        <v>0</v>
      </c>
      <c r="AA125" s="49">
        <v>0</v>
      </c>
      <c r="AB125" s="49">
        <v>56</v>
      </c>
      <c r="AC125" s="49">
        <v>0</v>
      </c>
      <c r="AD125" s="285">
        <v>0</v>
      </c>
      <c r="AE125" s="285">
        <v>0</v>
      </c>
      <c r="AF125" s="359">
        <v>56</v>
      </c>
      <c r="AG125" s="360">
        <v>0</v>
      </c>
      <c r="AH125" s="360">
        <v>46</v>
      </c>
      <c r="AI125" s="361">
        <v>46</v>
      </c>
      <c r="AJ125" s="360">
        <v>0</v>
      </c>
      <c r="AK125" s="360">
        <v>0</v>
      </c>
      <c r="AL125" s="360">
        <v>53.320870120433405</v>
      </c>
      <c r="AM125" s="360">
        <v>53.320870120433405</v>
      </c>
      <c r="AN125" s="360">
        <v>0</v>
      </c>
      <c r="AO125" s="360">
        <v>0</v>
      </c>
      <c r="AP125" s="360">
        <v>43.881912929306914</v>
      </c>
      <c r="AQ125" s="360">
        <v>43.881912929306914</v>
      </c>
      <c r="AR125" s="360">
        <v>0</v>
      </c>
      <c r="AS125" s="360">
        <v>0</v>
      </c>
      <c r="AT125" s="360">
        <v>0</v>
      </c>
      <c r="AU125" s="360">
        <v>50.769914114287992</v>
      </c>
      <c r="AV125" s="360">
        <v>52.029760680917114</v>
      </c>
      <c r="AW125" s="360">
        <v>53.320870120433405</v>
      </c>
      <c r="AX125" s="360">
        <v>54.644018215576629</v>
      </c>
      <c r="AY125" s="360">
        <v>56</v>
      </c>
      <c r="AZ125" s="360">
        <v>41.861353963810281</v>
      </c>
      <c r="BA125" s="360">
        <v>42.859728064265873</v>
      </c>
      <c r="BB125" s="360">
        <v>43.881912929306914</v>
      </c>
      <c r="BC125" s="360">
        <v>44.928476434752575</v>
      </c>
      <c r="BD125" s="360">
        <v>46</v>
      </c>
      <c r="BE125" s="360">
        <v>0</v>
      </c>
      <c r="BF125" s="360">
        <v>0</v>
      </c>
      <c r="BG125" s="360">
        <v>0</v>
      </c>
      <c r="BH125" s="360">
        <v>0</v>
      </c>
      <c r="BI125" s="360">
        <v>0</v>
      </c>
      <c r="BJ125" s="362">
        <v>56.286867224625688</v>
      </c>
      <c r="BK125" s="362">
        <v>56.575203963618598</v>
      </c>
      <c r="BL125" s="362">
        <v>56.865017744755654</v>
      </c>
      <c r="BM125" s="363">
        <v>56.491155202336401</v>
      </c>
      <c r="BN125" s="363">
        <v>56.119750642103156</v>
      </c>
      <c r="BO125" s="363">
        <v>55.940542113510304</v>
      </c>
      <c r="BP125" s="363">
        <v>55.761905855755309</v>
      </c>
      <c r="BQ125" s="363">
        <v>55.583840041392151</v>
      </c>
      <c r="BR125" s="363">
        <v>55.406342848810439</v>
      </c>
      <c r="BS125" s="363">
        <v>55.229412462216786</v>
      </c>
      <c r="BT125" s="363">
        <v>55.637942649550709</v>
      </c>
      <c r="BU125" s="363">
        <v>56.049494721538522</v>
      </c>
      <c r="BV125" s="363">
        <v>56.464091030963807</v>
      </c>
      <c r="BW125" s="363">
        <v>56.881754095952971</v>
      </c>
      <c r="BX125" s="363">
        <v>57.302506601198225</v>
      </c>
      <c r="BY125" s="435">
        <v>57.533482512401974</v>
      </c>
      <c r="BZ125" s="435">
        <v>57.764458423605724</v>
      </c>
      <c r="CA125" s="435">
        <v>57.995434334809474</v>
      </c>
      <c r="CB125" s="435">
        <v>58.226410246013224</v>
      </c>
      <c r="CC125" s="363">
        <v>58.457386157216973</v>
      </c>
      <c r="CD125" s="435">
        <v>58.646718135661821</v>
      </c>
      <c r="CE125" s="435">
        <v>58.836050114106669</v>
      </c>
      <c r="CF125" s="435">
        <v>59.02538209255151</v>
      </c>
      <c r="CG125" s="435">
        <v>59.214714070996358</v>
      </c>
      <c r="CH125" s="363">
        <v>59.404046049441206</v>
      </c>
      <c r="CI125" s="362">
        <v>46.23564093451396</v>
      </c>
      <c r="CJ125" s="362">
        <v>46.472488970115279</v>
      </c>
      <c r="CK125" s="362">
        <v>46.710550290335</v>
      </c>
      <c r="CL125" s="363">
        <v>46.403448916204901</v>
      </c>
      <c r="CM125" s="363">
        <v>46.098366598870449</v>
      </c>
      <c r="CN125" s="363">
        <v>45.951159593240604</v>
      </c>
      <c r="CO125" s="363">
        <v>45.80442266722757</v>
      </c>
      <c r="CP125" s="363">
        <v>45.658154319714974</v>
      </c>
      <c r="CQ125" s="363">
        <v>45.51235305438</v>
      </c>
      <c r="CR125" s="363">
        <v>45.367017379678074</v>
      </c>
      <c r="CS125" s="363">
        <v>45.702595747845223</v>
      </c>
      <c r="CT125" s="363">
        <v>46.040656378406645</v>
      </c>
      <c r="CU125" s="363">
        <v>46.38121763257741</v>
      </c>
      <c r="CV125" s="363">
        <v>46.72429800738994</v>
      </c>
      <c r="CW125" s="363">
        <v>47.069916136698538</v>
      </c>
      <c r="CX125" s="435">
        <v>47.259646349473044</v>
      </c>
      <c r="CY125" s="435">
        <v>47.449376562247558</v>
      </c>
      <c r="CZ125" s="435">
        <v>47.639106775022064</v>
      </c>
      <c r="DA125" s="435">
        <v>47.828836987796578</v>
      </c>
      <c r="DB125" s="363">
        <v>48.018567200571084</v>
      </c>
      <c r="DC125" s="435">
        <v>48.174089897150779</v>
      </c>
      <c r="DD125" s="435">
        <v>48.329612593730474</v>
      </c>
      <c r="DE125" s="435">
        <v>48.485135290310176</v>
      </c>
      <c r="DF125" s="435">
        <v>48.64065798688987</v>
      </c>
      <c r="DG125" s="363">
        <v>48.796180683469565</v>
      </c>
      <c r="DH125" s="362">
        <v>0</v>
      </c>
      <c r="DI125" s="362">
        <v>0</v>
      </c>
      <c r="DJ125" s="362">
        <v>0</v>
      </c>
      <c r="DK125" s="363">
        <v>0</v>
      </c>
      <c r="DL125" s="363">
        <v>0</v>
      </c>
      <c r="DM125" s="363">
        <v>0</v>
      </c>
      <c r="DN125" s="363">
        <v>0</v>
      </c>
      <c r="DO125" s="363">
        <v>0</v>
      </c>
      <c r="DP125" s="363">
        <v>0</v>
      </c>
      <c r="DQ125" s="363">
        <v>0</v>
      </c>
      <c r="DR125" s="363">
        <v>0</v>
      </c>
      <c r="DS125" s="363">
        <v>0</v>
      </c>
      <c r="DT125" s="363">
        <v>0</v>
      </c>
      <c r="DU125" s="363">
        <v>0</v>
      </c>
      <c r="DV125" s="363">
        <v>0</v>
      </c>
      <c r="DW125" s="435">
        <v>0</v>
      </c>
      <c r="DX125" s="435">
        <v>0</v>
      </c>
      <c r="DY125" s="435">
        <v>0</v>
      </c>
      <c r="DZ125" s="435">
        <v>0</v>
      </c>
      <c r="EA125" s="363">
        <v>0</v>
      </c>
      <c r="EB125" s="435">
        <v>0</v>
      </c>
      <c r="EC125" s="435">
        <v>0</v>
      </c>
      <c r="ED125" s="435">
        <v>0</v>
      </c>
      <c r="EE125" s="435">
        <v>0</v>
      </c>
      <c r="EF125" s="363">
        <v>0</v>
      </c>
      <c r="EG125" s="364">
        <v>0</v>
      </c>
      <c r="EH125" s="364">
        <v>0</v>
      </c>
      <c r="EI125" s="364">
        <v>0</v>
      </c>
      <c r="EJ125" s="365">
        <v>0</v>
      </c>
      <c r="EK125" s="365">
        <v>0</v>
      </c>
      <c r="EL125" s="365">
        <v>0</v>
      </c>
      <c r="EM125" s="365">
        <v>0</v>
      </c>
      <c r="EN125" s="365">
        <v>0</v>
      </c>
      <c r="EO125" s="365">
        <v>0</v>
      </c>
      <c r="EP125" s="365">
        <v>0</v>
      </c>
      <c r="EQ125" s="365">
        <v>0</v>
      </c>
      <c r="ER125" s="365">
        <v>0</v>
      </c>
      <c r="ES125" s="365">
        <v>0</v>
      </c>
      <c r="ET125" s="365">
        <v>0</v>
      </c>
      <c r="EU125" s="365">
        <v>0</v>
      </c>
      <c r="EV125" s="436">
        <v>0</v>
      </c>
      <c r="EW125" s="436">
        <v>0</v>
      </c>
      <c r="EX125" s="436">
        <v>0</v>
      </c>
      <c r="EY125" s="436">
        <v>0</v>
      </c>
      <c r="EZ125" s="365">
        <v>0</v>
      </c>
      <c r="FA125" s="436">
        <v>0</v>
      </c>
      <c r="FB125" s="436">
        <v>0</v>
      </c>
      <c r="FC125" s="436">
        <v>0</v>
      </c>
      <c r="FD125" s="436">
        <v>0</v>
      </c>
      <c r="FE125" s="365">
        <v>0</v>
      </c>
      <c r="FF125" s="364">
        <v>0</v>
      </c>
      <c r="FG125" s="364">
        <v>0</v>
      </c>
      <c r="FH125" s="364">
        <v>0</v>
      </c>
      <c r="FI125" s="365">
        <v>0</v>
      </c>
      <c r="FJ125" s="365">
        <v>0</v>
      </c>
      <c r="FK125" s="365">
        <v>0</v>
      </c>
      <c r="FL125" s="365">
        <v>0</v>
      </c>
      <c r="FM125" s="365">
        <v>0</v>
      </c>
      <c r="FN125" s="365">
        <v>0</v>
      </c>
      <c r="FO125" s="365">
        <v>0</v>
      </c>
      <c r="FP125" s="365">
        <v>0</v>
      </c>
      <c r="FQ125" s="365">
        <v>0</v>
      </c>
      <c r="FR125" s="365">
        <v>0</v>
      </c>
      <c r="FS125" s="365">
        <v>0</v>
      </c>
      <c r="FT125" s="365">
        <v>0</v>
      </c>
      <c r="FU125" s="436">
        <v>0</v>
      </c>
      <c r="FV125" s="436">
        <v>0</v>
      </c>
      <c r="FW125" s="436">
        <v>0</v>
      </c>
      <c r="FX125" s="436">
        <v>0</v>
      </c>
      <c r="FY125" s="365">
        <v>0</v>
      </c>
      <c r="FZ125" s="436">
        <v>0</v>
      </c>
      <c r="GA125" s="436">
        <v>0</v>
      </c>
      <c r="GB125" s="436">
        <v>0</v>
      </c>
      <c r="GC125" s="436">
        <v>0</v>
      </c>
      <c r="GD125" s="365">
        <v>0</v>
      </c>
    </row>
    <row r="126" spans="1:186" ht="15" x14ac:dyDescent="0.25">
      <c r="A126" s="357">
        <v>98</v>
      </c>
      <c r="B126" s="357">
        <v>90</v>
      </c>
      <c r="C126" s="357" t="s">
        <v>1036</v>
      </c>
      <c r="D126" s="2">
        <v>99709</v>
      </c>
      <c r="E126" s="268" t="s">
        <v>19</v>
      </c>
      <c r="F126" s="358" t="s">
        <v>915</v>
      </c>
      <c r="G126" s="49">
        <v>223</v>
      </c>
      <c r="H126" s="49">
        <v>98</v>
      </c>
      <c r="I126" s="49">
        <v>90</v>
      </c>
      <c r="J126" s="49">
        <v>8</v>
      </c>
      <c r="K126" s="49">
        <v>0</v>
      </c>
      <c r="L126" s="49">
        <v>81</v>
      </c>
      <c r="M126" s="49">
        <v>81</v>
      </c>
      <c r="N126" s="49">
        <v>0</v>
      </c>
      <c r="O126" s="49">
        <v>0</v>
      </c>
      <c r="P126" s="49">
        <v>0</v>
      </c>
      <c r="Q126" s="49">
        <v>81</v>
      </c>
      <c r="R126" s="49">
        <v>0</v>
      </c>
      <c r="S126" s="49">
        <v>1854.1851851851852</v>
      </c>
      <c r="T126" s="49">
        <v>1854.1851851851852</v>
      </c>
      <c r="U126" s="49">
        <v>0</v>
      </c>
      <c r="V126" s="49">
        <v>0</v>
      </c>
      <c r="W126" s="49">
        <v>0</v>
      </c>
      <c r="X126" s="49">
        <v>1854.1851851851852</v>
      </c>
      <c r="Y126" s="434">
        <v>150189</v>
      </c>
      <c r="Z126" s="434">
        <v>0</v>
      </c>
      <c r="AA126" s="49">
        <v>0</v>
      </c>
      <c r="AB126" s="49">
        <v>98</v>
      </c>
      <c r="AC126" s="49">
        <v>0</v>
      </c>
      <c r="AD126" s="285">
        <v>0</v>
      </c>
      <c r="AE126" s="285">
        <v>0</v>
      </c>
      <c r="AF126" s="359">
        <v>98</v>
      </c>
      <c r="AG126" s="360">
        <v>0</v>
      </c>
      <c r="AH126" s="360">
        <v>90</v>
      </c>
      <c r="AI126" s="361">
        <v>90</v>
      </c>
      <c r="AJ126" s="360">
        <v>0</v>
      </c>
      <c r="AK126" s="360">
        <v>0</v>
      </c>
      <c r="AL126" s="360">
        <v>93.311522710758453</v>
      </c>
      <c r="AM126" s="360">
        <v>93.311522710758453</v>
      </c>
      <c r="AN126" s="360">
        <v>0</v>
      </c>
      <c r="AO126" s="360">
        <v>0</v>
      </c>
      <c r="AP126" s="360">
        <v>85.855916600817864</v>
      </c>
      <c r="AQ126" s="360">
        <v>85.855916600817864</v>
      </c>
      <c r="AR126" s="360">
        <v>0</v>
      </c>
      <c r="AS126" s="360">
        <v>0</v>
      </c>
      <c r="AT126" s="360">
        <v>0</v>
      </c>
      <c r="AU126" s="360">
        <v>88.847349700003988</v>
      </c>
      <c r="AV126" s="360">
        <v>91.052081191604955</v>
      </c>
      <c r="AW126" s="360">
        <v>93.311522710758453</v>
      </c>
      <c r="AX126" s="360">
        <v>95.6270318772591</v>
      </c>
      <c r="AY126" s="360">
        <v>98</v>
      </c>
      <c r="AZ126" s="360">
        <v>81.902649059628814</v>
      </c>
      <c r="BA126" s="360">
        <v>83.855989690954971</v>
      </c>
      <c r="BB126" s="360">
        <v>85.855916600817864</v>
      </c>
      <c r="BC126" s="360">
        <v>87.903540850602866</v>
      </c>
      <c r="BD126" s="360">
        <v>90</v>
      </c>
      <c r="BE126" s="360">
        <v>0</v>
      </c>
      <c r="BF126" s="360">
        <v>0</v>
      </c>
      <c r="BG126" s="360">
        <v>0</v>
      </c>
      <c r="BH126" s="360">
        <v>0</v>
      </c>
      <c r="BI126" s="360">
        <v>0</v>
      </c>
      <c r="BJ126" s="362">
        <v>98.915645772813818</v>
      </c>
      <c r="BK126" s="362">
        <v>99.839846720946753</v>
      </c>
      <c r="BL126" s="362">
        <v>100.77268277817547</v>
      </c>
      <c r="BM126" s="363">
        <v>100.11014660243792</v>
      </c>
      <c r="BN126" s="363">
        <v>99.451966311371294</v>
      </c>
      <c r="BO126" s="363">
        <v>99.134383992412168</v>
      </c>
      <c r="BP126" s="363">
        <v>98.817815816592258</v>
      </c>
      <c r="BQ126" s="363">
        <v>98.50225854542424</v>
      </c>
      <c r="BR126" s="363">
        <v>98.187708950762357</v>
      </c>
      <c r="BS126" s="363">
        <v>97.874163814769389</v>
      </c>
      <c r="BT126" s="363">
        <v>98.598135856039121</v>
      </c>
      <c r="BU126" s="363">
        <v>99.327463095208998</v>
      </c>
      <c r="BV126" s="363">
        <v>100.06218514450563</v>
      </c>
      <c r="BW126" s="363">
        <v>100.80234190916602</v>
      </c>
      <c r="BX126" s="363">
        <v>101.54797358960478</v>
      </c>
      <c r="BY126" s="435">
        <v>101.95729487626316</v>
      </c>
      <c r="BZ126" s="435">
        <v>102.36661616292156</v>
      </c>
      <c r="CA126" s="435">
        <v>102.77593744957994</v>
      </c>
      <c r="CB126" s="435">
        <v>103.18525873623834</v>
      </c>
      <c r="CC126" s="363">
        <v>103.59458002289672</v>
      </c>
      <c r="CD126" s="435">
        <v>103.93010249629552</v>
      </c>
      <c r="CE126" s="435">
        <v>104.26562496969431</v>
      </c>
      <c r="CF126" s="435">
        <v>104.60114744309311</v>
      </c>
      <c r="CG126" s="435">
        <v>104.93666991649191</v>
      </c>
      <c r="CH126" s="363">
        <v>105.27219238989071</v>
      </c>
      <c r="CI126" s="362">
        <v>90.840899179114729</v>
      </c>
      <c r="CJ126" s="362">
        <v>91.689655151889866</v>
      </c>
      <c r="CK126" s="362">
        <v>92.546341326895842</v>
      </c>
      <c r="CL126" s="363">
        <v>91.937889736932789</v>
      </c>
      <c r="CM126" s="363">
        <v>91.333438449218548</v>
      </c>
      <c r="CN126" s="363">
        <v>91.04178121752139</v>
      </c>
      <c r="CO126" s="363">
        <v>90.751055341768406</v>
      </c>
      <c r="CP126" s="363">
        <v>90.461257847838596</v>
      </c>
      <c r="CQ126" s="363">
        <v>90.172385771108296</v>
      </c>
      <c r="CR126" s="363">
        <v>89.884436156420875</v>
      </c>
      <c r="CS126" s="363">
        <v>90.549308439219601</v>
      </c>
      <c r="CT126" s="363">
        <v>91.219098760906235</v>
      </c>
      <c r="CU126" s="363">
        <v>91.893843500056192</v>
      </c>
      <c r="CV126" s="363">
        <v>92.573579304336135</v>
      </c>
      <c r="CW126" s="363">
        <v>93.258343092494187</v>
      </c>
      <c r="CX126" s="435">
        <v>93.63425039656822</v>
      </c>
      <c r="CY126" s="435">
        <v>94.010157700642253</v>
      </c>
      <c r="CZ126" s="435">
        <v>94.386065004716286</v>
      </c>
      <c r="DA126" s="435">
        <v>94.76197230879032</v>
      </c>
      <c r="DB126" s="363">
        <v>95.137879612864353</v>
      </c>
      <c r="DC126" s="435">
        <v>95.446012496597945</v>
      </c>
      <c r="DD126" s="435">
        <v>95.754145380331536</v>
      </c>
      <c r="DE126" s="435">
        <v>96.062278264065114</v>
      </c>
      <c r="DF126" s="435">
        <v>96.370411147798706</v>
      </c>
      <c r="DG126" s="363">
        <v>96.678544031532297</v>
      </c>
      <c r="DH126" s="362">
        <v>0</v>
      </c>
      <c r="DI126" s="362">
        <v>0</v>
      </c>
      <c r="DJ126" s="362">
        <v>0</v>
      </c>
      <c r="DK126" s="363">
        <v>0</v>
      </c>
      <c r="DL126" s="363">
        <v>0</v>
      </c>
      <c r="DM126" s="363">
        <v>0</v>
      </c>
      <c r="DN126" s="363">
        <v>0</v>
      </c>
      <c r="DO126" s="363">
        <v>0</v>
      </c>
      <c r="DP126" s="363">
        <v>0</v>
      </c>
      <c r="DQ126" s="363">
        <v>0</v>
      </c>
      <c r="DR126" s="363">
        <v>0</v>
      </c>
      <c r="DS126" s="363">
        <v>0</v>
      </c>
      <c r="DT126" s="363">
        <v>0</v>
      </c>
      <c r="DU126" s="363">
        <v>0</v>
      </c>
      <c r="DV126" s="363">
        <v>0</v>
      </c>
      <c r="DW126" s="435">
        <v>0</v>
      </c>
      <c r="DX126" s="435">
        <v>0</v>
      </c>
      <c r="DY126" s="435">
        <v>0</v>
      </c>
      <c r="DZ126" s="435">
        <v>0</v>
      </c>
      <c r="EA126" s="363">
        <v>0</v>
      </c>
      <c r="EB126" s="435">
        <v>0</v>
      </c>
      <c r="EC126" s="435">
        <v>0</v>
      </c>
      <c r="ED126" s="435">
        <v>0</v>
      </c>
      <c r="EE126" s="435">
        <v>0</v>
      </c>
      <c r="EF126" s="363">
        <v>0</v>
      </c>
      <c r="EG126" s="364">
        <v>0</v>
      </c>
      <c r="EH126" s="364">
        <v>0</v>
      </c>
      <c r="EI126" s="364">
        <v>0</v>
      </c>
      <c r="EJ126" s="365">
        <v>0</v>
      </c>
      <c r="EK126" s="365">
        <v>0</v>
      </c>
      <c r="EL126" s="365">
        <v>0</v>
      </c>
      <c r="EM126" s="365">
        <v>0</v>
      </c>
      <c r="EN126" s="365">
        <v>0</v>
      </c>
      <c r="EO126" s="365">
        <v>0</v>
      </c>
      <c r="EP126" s="365">
        <v>0</v>
      </c>
      <c r="EQ126" s="365">
        <v>0</v>
      </c>
      <c r="ER126" s="365">
        <v>0</v>
      </c>
      <c r="ES126" s="365">
        <v>0</v>
      </c>
      <c r="ET126" s="365">
        <v>0</v>
      </c>
      <c r="EU126" s="365">
        <v>0</v>
      </c>
      <c r="EV126" s="436">
        <v>0</v>
      </c>
      <c r="EW126" s="436">
        <v>0</v>
      </c>
      <c r="EX126" s="436">
        <v>0</v>
      </c>
      <c r="EY126" s="436">
        <v>0</v>
      </c>
      <c r="EZ126" s="365">
        <v>0</v>
      </c>
      <c r="FA126" s="436">
        <v>0</v>
      </c>
      <c r="FB126" s="436">
        <v>0</v>
      </c>
      <c r="FC126" s="436">
        <v>0</v>
      </c>
      <c r="FD126" s="436">
        <v>0</v>
      </c>
      <c r="FE126" s="365">
        <v>0</v>
      </c>
      <c r="FF126" s="364">
        <v>0</v>
      </c>
      <c r="FG126" s="364">
        <v>0</v>
      </c>
      <c r="FH126" s="364">
        <v>0</v>
      </c>
      <c r="FI126" s="365">
        <v>0</v>
      </c>
      <c r="FJ126" s="365">
        <v>0</v>
      </c>
      <c r="FK126" s="365">
        <v>0</v>
      </c>
      <c r="FL126" s="365">
        <v>0</v>
      </c>
      <c r="FM126" s="365">
        <v>0</v>
      </c>
      <c r="FN126" s="365">
        <v>0</v>
      </c>
      <c r="FO126" s="365">
        <v>0</v>
      </c>
      <c r="FP126" s="365">
        <v>0</v>
      </c>
      <c r="FQ126" s="365">
        <v>0</v>
      </c>
      <c r="FR126" s="365">
        <v>0</v>
      </c>
      <c r="FS126" s="365">
        <v>0</v>
      </c>
      <c r="FT126" s="365">
        <v>0</v>
      </c>
      <c r="FU126" s="436">
        <v>0</v>
      </c>
      <c r="FV126" s="436">
        <v>0</v>
      </c>
      <c r="FW126" s="436">
        <v>0</v>
      </c>
      <c r="FX126" s="436">
        <v>0</v>
      </c>
      <c r="FY126" s="365">
        <v>0</v>
      </c>
      <c r="FZ126" s="436">
        <v>0</v>
      </c>
      <c r="GA126" s="436">
        <v>0</v>
      </c>
      <c r="GB126" s="436">
        <v>0</v>
      </c>
      <c r="GC126" s="436">
        <v>0</v>
      </c>
      <c r="GD126" s="365">
        <v>0</v>
      </c>
    </row>
    <row r="127" spans="1:186" ht="15" x14ac:dyDescent="0.25">
      <c r="A127" s="357">
        <v>99</v>
      </c>
      <c r="B127" s="357">
        <v>90</v>
      </c>
      <c r="C127" s="357" t="s">
        <v>1037</v>
      </c>
      <c r="D127" s="2">
        <v>99709</v>
      </c>
      <c r="E127" s="268" t="s">
        <v>1527</v>
      </c>
      <c r="F127" s="358" t="s">
        <v>985</v>
      </c>
      <c r="G127" s="49">
        <v>438</v>
      </c>
      <c r="H127" s="49">
        <v>200</v>
      </c>
      <c r="I127" s="49">
        <v>180</v>
      </c>
      <c r="J127" s="49">
        <v>20</v>
      </c>
      <c r="K127" s="49">
        <v>1</v>
      </c>
      <c r="L127" s="49">
        <v>52</v>
      </c>
      <c r="M127" s="49">
        <v>53</v>
      </c>
      <c r="N127" s="49">
        <v>0</v>
      </c>
      <c r="O127" s="49">
        <v>0</v>
      </c>
      <c r="P127" s="49">
        <v>0</v>
      </c>
      <c r="Q127" s="49">
        <v>53</v>
      </c>
      <c r="R127" s="49">
        <v>4128</v>
      </c>
      <c r="S127" s="49">
        <v>3235.2692307692309</v>
      </c>
      <c r="T127" s="49">
        <v>3252.1132075471696</v>
      </c>
      <c r="U127" s="49">
        <v>0</v>
      </c>
      <c r="V127" s="49">
        <v>0</v>
      </c>
      <c r="W127" s="49">
        <v>0</v>
      </c>
      <c r="X127" s="49">
        <v>3252.1132075471696</v>
      </c>
      <c r="Y127" s="434">
        <v>172362</v>
      </c>
      <c r="Z127" s="434">
        <v>0</v>
      </c>
      <c r="AA127" s="49">
        <v>3.7735849056603774</v>
      </c>
      <c r="AB127" s="49">
        <v>196.22641509433961</v>
      </c>
      <c r="AC127" s="49">
        <v>0</v>
      </c>
      <c r="AD127" s="285">
        <v>0</v>
      </c>
      <c r="AE127" s="285">
        <v>0</v>
      </c>
      <c r="AF127" s="359">
        <v>200</v>
      </c>
      <c r="AG127" s="360">
        <v>3.3962264150943393</v>
      </c>
      <c r="AH127" s="360">
        <v>176.60377358490564</v>
      </c>
      <c r="AI127" s="361">
        <v>179.99999999999997</v>
      </c>
      <c r="AJ127" s="360">
        <v>0</v>
      </c>
      <c r="AK127" s="360">
        <v>3.5930505471990166</v>
      </c>
      <c r="AL127" s="360">
        <v>186.83862845434885</v>
      </c>
      <c r="AM127" s="360">
        <v>190.43167900154788</v>
      </c>
      <c r="AN127" s="360">
        <v>0</v>
      </c>
      <c r="AO127" s="360">
        <v>3.2398459094648251</v>
      </c>
      <c r="AP127" s="360">
        <v>168.47198729217089</v>
      </c>
      <c r="AQ127" s="360">
        <v>171.71183320163573</v>
      </c>
      <c r="AR127" s="360">
        <v>0</v>
      </c>
      <c r="AS127" s="360">
        <v>0</v>
      </c>
      <c r="AT127" s="360">
        <v>0</v>
      </c>
      <c r="AU127" s="360">
        <v>181.32112183674283</v>
      </c>
      <c r="AV127" s="360">
        <v>185.82057386041828</v>
      </c>
      <c r="AW127" s="360">
        <v>190.43167900154788</v>
      </c>
      <c r="AX127" s="360">
        <v>195.15720791277369</v>
      </c>
      <c r="AY127" s="360">
        <v>200</v>
      </c>
      <c r="AZ127" s="360">
        <v>163.8052981192576</v>
      </c>
      <c r="BA127" s="360">
        <v>167.71197938190991</v>
      </c>
      <c r="BB127" s="360">
        <v>171.7118332016357</v>
      </c>
      <c r="BC127" s="360">
        <v>175.8070817012057</v>
      </c>
      <c r="BD127" s="360">
        <v>179.99999999999997</v>
      </c>
      <c r="BE127" s="360">
        <v>0</v>
      </c>
      <c r="BF127" s="360">
        <v>0</v>
      </c>
      <c r="BG127" s="360">
        <v>0</v>
      </c>
      <c r="BH127" s="360">
        <v>0</v>
      </c>
      <c r="BI127" s="360">
        <v>0</v>
      </c>
      <c r="BJ127" s="362">
        <v>201.86866484247719</v>
      </c>
      <c r="BK127" s="362">
        <v>203.75478922642193</v>
      </c>
      <c r="BL127" s="362">
        <v>205.65853628199076</v>
      </c>
      <c r="BM127" s="363">
        <v>204.30642163762843</v>
      </c>
      <c r="BN127" s="363">
        <v>202.96319655381899</v>
      </c>
      <c r="BO127" s="363">
        <v>202.31506937226976</v>
      </c>
      <c r="BP127" s="363">
        <v>201.66901187059645</v>
      </c>
      <c r="BQ127" s="363">
        <v>201.02501743964132</v>
      </c>
      <c r="BR127" s="363">
        <v>200.38307949135177</v>
      </c>
      <c r="BS127" s="363">
        <v>199.74319145871306</v>
      </c>
      <c r="BT127" s="363">
        <v>201.22068542048802</v>
      </c>
      <c r="BU127" s="363">
        <v>202.70910835756939</v>
      </c>
      <c r="BV127" s="363">
        <v>204.208541111236</v>
      </c>
      <c r="BW127" s="363">
        <v>205.71906512074699</v>
      </c>
      <c r="BX127" s="363">
        <v>207.24076242776488</v>
      </c>
      <c r="BY127" s="435">
        <v>208.07611199237382</v>
      </c>
      <c r="BZ127" s="435">
        <v>208.9114615569828</v>
      </c>
      <c r="CA127" s="435">
        <v>209.74681112159175</v>
      </c>
      <c r="CB127" s="435">
        <v>210.58216068620072</v>
      </c>
      <c r="CC127" s="363">
        <v>211.41751025080967</v>
      </c>
      <c r="CD127" s="435">
        <v>212.10224999243988</v>
      </c>
      <c r="CE127" s="435">
        <v>212.78698973407006</v>
      </c>
      <c r="CF127" s="435">
        <v>213.47172947570027</v>
      </c>
      <c r="CG127" s="435">
        <v>214.15646921733045</v>
      </c>
      <c r="CH127" s="363">
        <v>214.84120895896066</v>
      </c>
      <c r="CI127" s="362">
        <v>181.68179835822943</v>
      </c>
      <c r="CJ127" s="362">
        <v>183.3793103037797</v>
      </c>
      <c r="CK127" s="362">
        <v>185.09268265379166</v>
      </c>
      <c r="CL127" s="363">
        <v>183.87577947386555</v>
      </c>
      <c r="CM127" s="363">
        <v>182.66687689843707</v>
      </c>
      <c r="CN127" s="363">
        <v>182.08356243504275</v>
      </c>
      <c r="CO127" s="363">
        <v>181.50211068353678</v>
      </c>
      <c r="CP127" s="363">
        <v>180.92251569567716</v>
      </c>
      <c r="CQ127" s="363">
        <v>180.34477154221656</v>
      </c>
      <c r="CR127" s="363">
        <v>179.76887231284172</v>
      </c>
      <c r="CS127" s="363">
        <v>181.09861687843917</v>
      </c>
      <c r="CT127" s="363">
        <v>182.43819752181244</v>
      </c>
      <c r="CU127" s="363">
        <v>183.78768700011236</v>
      </c>
      <c r="CV127" s="363">
        <v>185.14715860867224</v>
      </c>
      <c r="CW127" s="363">
        <v>186.51668618498834</v>
      </c>
      <c r="CX127" s="435">
        <v>187.26850079313641</v>
      </c>
      <c r="CY127" s="435">
        <v>188.02031540128448</v>
      </c>
      <c r="CZ127" s="435">
        <v>188.77213000943252</v>
      </c>
      <c r="DA127" s="435">
        <v>189.52394461758058</v>
      </c>
      <c r="DB127" s="363">
        <v>190.27575922572865</v>
      </c>
      <c r="DC127" s="435">
        <v>190.89202499319583</v>
      </c>
      <c r="DD127" s="435">
        <v>191.50829076066302</v>
      </c>
      <c r="DE127" s="435">
        <v>192.1245565281302</v>
      </c>
      <c r="DF127" s="435">
        <v>192.74082229559738</v>
      </c>
      <c r="DG127" s="363">
        <v>193.35708806306457</v>
      </c>
      <c r="DH127" s="362">
        <v>0</v>
      </c>
      <c r="DI127" s="362">
        <v>0</v>
      </c>
      <c r="DJ127" s="362">
        <v>0</v>
      </c>
      <c r="DK127" s="363">
        <v>0</v>
      </c>
      <c r="DL127" s="363">
        <v>0</v>
      </c>
      <c r="DM127" s="363">
        <v>0</v>
      </c>
      <c r="DN127" s="363">
        <v>0</v>
      </c>
      <c r="DO127" s="363">
        <v>0</v>
      </c>
      <c r="DP127" s="363">
        <v>0</v>
      </c>
      <c r="DQ127" s="363">
        <v>0</v>
      </c>
      <c r="DR127" s="363">
        <v>0</v>
      </c>
      <c r="DS127" s="363">
        <v>0</v>
      </c>
      <c r="DT127" s="363">
        <v>0</v>
      </c>
      <c r="DU127" s="363">
        <v>0</v>
      </c>
      <c r="DV127" s="363">
        <v>0</v>
      </c>
      <c r="DW127" s="435">
        <v>0</v>
      </c>
      <c r="DX127" s="435">
        <v>0</v>
      </c>
      <c r="DY127" s="435">
        <v>0</v>
      </c>
      <c r="DZ127" s="435">
        <v>0</v>
      </c>
      <c r="EA127" s="363">
        <v>0</v>
      </c>
      <c r="EB127" s="435">
        <v>0</v>
      </c>
      <c r="EC127" s="435">
        <v>0</v>
      </c>
      <c r="ED127" s="435">
        <v>0</v>
      </c>
      <c r="EE127" s="435">
        <v>0</v>
      </c>
      <c r="EF127" s="363">
        <v>0</v>
      </c>
      <c r="EG127" s="364">
        <v>0</v>
      </c>
      <c r="EH127" s="364">
        <v>0</v>
      </c>
      <c r="EI127" s="364">
        <v>0</v>
      </c>
      <c r="EJ127" s="365">
        <v>0</v>
      </c>
      <c r="EK127" s="365">
        <v>0</v>
      </c>
      <c r="EL127" s="365">
        <v>0</v>
      </c>
      <c r="EM127" s="365">
        <v>0</v>
      </c>
      <c r="EN127" s="365">
        <v>0</v>
      </c>
      <c r="EO127" s="365">
        <v>0</v>
      </c>
      <c r="EP127" s="365">
        <v>0</v>
      </c>
      <c r="EQ127" s="365">
        <v>0</v>
      </c>
      <c r="ER127" s="365">
        <v>0</v>
      </c>
      <c r="ES127" s="365">
        <v>0</v>
      </c>
      <c r="ET127" s="365">
        <v>0</v>
      </c>
      <c r="EU127" s="365">
        <v>0</v>
      </c>
      <c r="EV127" s="436">
        <v>0</v>
      </c>
      <c r="EW127" s="436">
        <v>0</v>
      </c>
      <c r="EX127" s="436">
        <v>0</v>
      </c>
      <c r="EY127" s="436">
        <v>0</v>
      </c>
      <c r="EZ127" s="365">
        <v>0</v>
      </c>
      <c r="FA127" s="436">
        <v>0</v>
      </c>
      <c r="FB127" s="436">
        <v>0</v>
      </c>
      <c r="FC127" s="436">
        <v>0</v>
      </c>
      <c r="FD127" s="436">
        <v>0</v>
      </c>
      <c r="FE127" s="365">
        <v>0</v>
      </c>
      <c r="FF127" s="364">
        <v>0</v>
      </c>
      <c r="FG127" s="364">
        <v>0</v>
      </c>
      <c r="FH127" s="364">
        <v>0</v>
      </c>
      <c r="FI127" s="365">
        <v>0</v>
      </c>
      <c r="FJ127" s="365">
        <v>0</v>
      </c>
      <c r="FK127" s="365">
        <v>0</v>
      </c>
      <c r="FL127" s="365">
        <v>0</v>
      </c>
      <c r="FM127" s="365">
        <v>0</v>
      </c>
      <c r="FN127" s="365">
        <v>0</v>
      </c>
      <c r="FO127" s="365">
        <v>0</v>
      </c>
      <c r="FP127" s="365">
        <v>0</v>
      </c>
      <c r="FQ127" s="365">
        <v>0</v>
      </c>
      <c r="FR127" s="365">
        <v>0</v>
      </c>
      <c r="FS127" s="365">
        <v>0</v>
      </c>
      <c r="FT127" s="365">
        <v>0</v>
      </c>
      <c r="FU127" s="436">
        <v>0</v>
      </c>
      <c r="FV127" s="436">
        <v>0</v>
      </c>
      <c r="FW127" s="436">
        <v>0</v>
      </c>
      <c r="FX127" s="436">
        <v>0</v>
      </c>
      <c r="FY127" s="365">
        <v>0</v>
      </c>
      <c r="FZ127" s="436">
        <v>0</v>
      </c>
      <c r="GA127" s="436">
        <v>0</v>
      </c>
      <c r="GB127" s="436">
        <v>0</v>
      </c>
      <c r="GC127" s="436">
        <v>0</v>
      </c>
      <c r="GD127" s="365">
        <v>0</v>
      </c>
    </row>
    <row r="128" spans="1:186" ht="15" x14ac:dyDescent="0.25">
      <c r="A128" s="357">
        <v>100</v>
      </c>
      <c r="B128" s="357">
        <v>90</v>
      </c>
      <c r="C128" s="357" t="s">
        <v>1038</v>
      </c>
      <c r="D128" s="2">
        <v>99709</v>
      </c>
      <c r="E128" s="268" t="s">
        <v>1527</v>
      </c>
      <c r="F128" s="358" t="s">
        <v>985</v>
      </c>
      <c r="G128" s="49">
        <v>272</v>
      </c>
      <c r="H128" s="49">
        <v>114</v>
      </c>
      <c r="I128" s="49">
        <v>102</v>
      </c>
      <c r="J128" s="49">
        <v>12</v>
      </c>
      <c r="K128" s="49">
        <v>0</v>
      </c>
      <c r="L128" s="49">
        <v>121</v>
      </c>
      <c r="M128" s="49">
        <v>121</v>
      </c>
      <c r="N128" s="49">
        <v>1</v>
      </c>
      <c r="O128" s="49">
        <v>0</v>
      </c>
      <c r="P128" s="49">
        <v>0</v>
      </c>
      <c r="Q128" s="49">
        <v>122</v>
      </c>
      <c r="R128" s="49">
        <v>0</v>
      </c>
      <c r="S128" s="49">
        <v>2776.8099173553719</v>
      </c>
      <c r="T128" s="49">
        <v>2776.8099173553719</v>
      </c>
      <c r="U128" s="49">
        <v>832</v>
      </c>
      <c r="V128" s="49">
        <v>0</v>
      </c>
      <c r="W128" s="49">
        <v>0</v>
      </c>
      <c r="X128" s="49">
        <v>2760.8688524590166</v>
      </c>
      <c r="Y128" s="434">
        <v>335994</v>
      </c>
      <c r="Z128" s="434">
        <v>832</v>
      </c>
      <c r="AA128" s="49">
        <v>0</v>
      </c>
      <c r="AB128" s="49">
        <v>114</v>
      </c>
      <c r="AC128" s="49">
        <v>0</v>
      </c>
      <c r="AD128" s="285">
        <v>1</v>
      </c>
      <c r="AE128" s="285">
        <v>0</v>
      </c>
      <c r="AF128" s="359">
        <v>115</v>
      </c>
      <c r="AG128" s="360">
        <v>0</v>
      </c>
      <c r="AH128" s="360">
        <v>102</v>
      </c>
      <c r="AI128" s="361">
        <v>102</v>
      </c>
      <c r="AJ128" s="360">
        <v>0</v>
      </c>
      <c r="AK128" s="360">
        <v>0</v>
      </c>
      <c r="AL128" s="360">
        <v>108.54605703088228</v>
      </c>
      <c r="AM128" s="360">
        <v>108.54605703088228</v>
      </c>
      <c r="AN128" s="360">
        <v>0</v>
      </c>
      <c r="AO128" s="360">
        <v>0</v>
      </c>
      <c r="AP128" s="360">
        <v>97.303372147593578</v>
      </c>
      <c r="AQ128" s="360">
        <v>97.303372147593578</v>
      </c>
      <c r="AR128" s="360">
        <v>0</v>
      </c>
      <c r="AS128" s="360">
        <v>0.95966573850124082</v>
      </c>
      <c r="AT128" s="360">
        <v>0</v>
      </c>
      <c r="AU128" s="360">
        <v>103.35303944694341</v>
      </c>
      <c r="AV128" s="360">
        <v>105.91772710043841</v>
      </c>
      <c r="AW128" s="360">
        <v>108.54605703088228</v>
      </c>
      <c r="AX128" s="360">
        <v>111.239608510281</v>
      </c>
      <c r="AY128" s="360">
        <v>114</v>
      </c>
      <c r="AZ128" s="360">
        <v>92.823002267579312</v>
      </c>
      <c r="BA128" s="360">
        <v>95.036788316415638</v>
      </c>
      <c r="BB128" s="360">
        <v>97.303372147593578</v>
      </c>
      <c r="BC128" s="360">
        <v>99.624012964016586</v>
      </c>
      <c r="BD128" s="360">
        <v>102</v>
      </c>
      <c r="BE128" s="360">
        <v>0.92095832965313207</v>
      </c>
      <c r="BF128" s="360">
        <v>0.94011284192667122</v>
      </c>
      <c r="BG128" s="360">
        <v>0.95966573850124082</v>
      </c>
      <c r="BH128" s="360">
        <v>0.97962530515561963</v>
      </c>
      <c r="BI128" s="360">
        <v>1</v>
      </c>
      <c r="BJ128" s="362">
        <v>114.9214521355476</v>
      </c>
      <c r="BK128" s="362">
        <v>115.8503522889733</v>
      </c>
      <c r="BL128" s="362">
        <v>116.78676066196115</v>
      </c>
      <c r="BM128" s="363">
        <v>116.01893895023723</v>
      </c>
      <c r="BN128" s="363">
        <v>115.2561653293898</v>
      </c>
      <c r="BO128" s="363">
        <v>114.88811508747659</v>
      </c>
      <c r="BP128" s="363">
        <v>114.521240149116</v>
      </c>
      <c r="BQ128" s="363">
        <v>114.15553676118336</v>
      </c>
      <c r="BR128" s="363">
        <v>113.79100118253893</v>
      </c>
      <c r="BS128" s="363">
        <v>113.42762968398968</v>
      </c>
      <c r="BT128" s="363">
        <v>114.26665021196187</v>
      </c>
      <c r="BU128" s="363">
        <v>115.11187694778943</v>
      </c>
      <c r="BV128" s="363">
        <v>115.96335579859218</v>
      </c>
      <c r="BW128" s="363">
        <v>116.82113301106354</v>
      </c>
      <c r="BX128" s="363">
        <v>117.68525517398204</v>
      </c>
      <c r="BY128" s="435">
        <v>118.1596228877408</v>
      </c>
      <c r="BZ128" s="435">
        <v>118.63399060149955</v>
      </c>
      <c r="CA128" s="435">
        <v>119.10835831525831</v>
      </c>
      <c r="CB128" s="435">
        <v>119.58272602901707</v>
      </c>
      <c r="CC128" s="363">
        <v>120.05709374277582</v>
      </c>
      <c r="CD128" s="435">
        <v>120.44593506085197</v>
      </c>
      <c r="CE128" s="435">
        <v>120.8347763789281</v>
      </c>
      <c r="CF128" s="435">
        <v>121.22361769700424</v>
      </c>
      <c r="CG128" s="435">
        <v>121.61245901508038</v>
      </c>
      <c r="CH128" s="363">
        <v>122.00130033315652</v>
      </c>
      <c r="CI128" s="362">
        <v>102.82445717391101</v>
      </c>
      <c r="CJ128" s="362">
        <v>103.65557836381822</v>
      </c>
      <c r="CK128" s="362">
        <v>104.4934174343863</v>
      </c>
      <c r="CL128" s="363">
        <v>103.80641906073858</v>
      </c>
      <c r="CM128" s="363">
        <v>103.12393739998035</v>
      </c>
      <c r="CN128" s="363">
        <v>102.79462928879485</v>
      </c>
      <c r="CO128" s="363">
        <v>102.46637276499854</v>
      </c>
      <c r="CP128" s="363">
        <v>102.13916447053248</v>
      </c>
      <c r="CQ128" s="363">
        <v>101.81300105806115</v>
      </c>
      <c r="CR128" s="363">
        <v>101.48787919093814</v>
      </c>
      <c r="CS128" s="363">
        <v>102.23858176859748</v>
      </c>
      <c r="CT128" s="363">
        <v>102.99483726907475</v>
      </c>
      <c r="CU128" s="363">
        <v>103.75668676716143</v>
      </c>
      <c r="CV128" s="363">
        <v>104.52417164147791</v>
      </c>
      <c r="CW128" s="363">
        <v>105.29733357672079</v>
      </c>
      <c r="CX128" s="435">
        <v>105.72176784692599</v>
      </c>
      <c r="CY128" s="435">
        <v>106.14620211713118</v>
      </c>
      <c r="CZ128" s="435">
        <v>106.57063638733639</v>
      </c>
      <c r="DA128" s="435">
        <v>106.99507065754159</v>
      </c>
      <c r="DB128" s="363">
        <v>107.41950492774679</v>
      </c>
      <c r="DC128" s="435">
        <v>107.76741558076228</v>
      </c>
      <c r="DD128" s="435">
        <v>108.11532623377778</v>
      </c>
      <c r="DE128" s="435">
        <v>108.46323688679327</v>
      </c>
      <c r="DF128" s="435">
        <v>108.81114753980877</v>
      </c>
      <c r="DG128" s="363">
        <v>109.15905819282426</v>
      </c>
      <c r="DH128" s="362">
        <v>1.0080829134697158</v>
      </c>
      <c r="DI128" s="362">
        <v>1.0162311604295904</v>
      </c>
      <c r="DJ128" s="362">
        <v>1.0244452689645716</v>
      </c>
      <c r="DK128" s="363">
        <v>1.0177099907915546</v>
      </c>
      <c r="DL128" s="363">
        <v>1.0110189941174543</v>
      </c>
      <c r="DM128" s="363">
        <v>1.007790483223479</v>
      </c>
      <c r="DN128" s="363">
        <v>1.0045722820097895</v>
      </c>
      <c r="DO128" s="363">
        <v>1.0013643575542399</v>
      </c>
      <c r="DP128" s="363">
        <v>0.99816667703981521</v>
      </c>
      <c r="DQ128" s="363">
        <v>0.99497920775429549</v>
      </c>
      <c r="DR128" s="363">
        <v>1.002339036947034</v>
      </c>
      <c r="DS128" s="363">
        <v>1.0097533065595563</v>
      </c>
      <c r="DT128" s="363">
        <v>1.0172224192858963</v>
      </c>
      <c r="DU128" s="363">
        <v>1.0247467807988029</v>
      </c>
      <c r="DV128" s="363">
        <v>1.0323267997717724</v>
      </c>
      <c r="DW128" s="435">
        <v>1.0364879200679018</v>
      </c>
      <c r="DX128" s="435">
        <v>1.0406490403640312</v>
      </c>
      <c r="DY128" s="435">
        <v>1.0448101606601607</v>
      </c>
      <c r="DZ128" s="435">
        <v>1.0489712809562901</v>
      </c>
      <c r="EA128" s="363">
        <v>1.0531324012524195</v>
      </c>
      <c r="EB128" s="435">
        <v>1.0565432900074734</v>
      </c>
      <c r="EC128" s="435">
        <v>1.0599541787625273</v>
      </c>
      <c r="ED128" s="435">
        <v>1.063365067517581</v>
      </c>
      <c r="EE128" s="435">
        <v>1.0667759562726349</v>
      </c>
      <c r="EF128" s="363">
        <v>1.0701868450276888</v>
      </c>
      <c r="EG128" s="364">
        <v>0</v>
      </c>
      <c r="EH128" s="364">
        <v>0</v>
      </c>
      <c r="EI128" s="364">
        <v>0</v>
      </c>
      <c r="EJ128" s="365">
        <v>0</v>
      </c>
      <c r="EK128" s="365">
        <v>0</v>
      </c>
      <c r="EL128" s="365">
        <v>0</v>
      </c>
      <c r="EM128" s="365">
        <v>0</v>
      </c>
      <c r="EN128" s="365">
        <v>0</v>
      </c>
      <c r="EO128" s="365">
        <v>0</v>
      </c>
      <c r="EP128" s="365">
        <v>0</v>
      </c>
      <c r="EQ128" s="365">
        <v>0</v>
      </c>
      <c r="ER128" s="365">
        <v>0</v>
      </c>
      <c r="ES128" s="365">
        <v>0</v>
      </c>
      <c r="ET128" s="365">
        <v>0</v>
      </c>
      <c r="EU128" s="365">
        <v>0</v>
      </c>
      <c r="EV128" s="436">
        <v>0</v>
      </c>
      <c r="EW128" s="436">
        <v>0</v>
      </c>
      <c r="EX128" s="436">
        <v>0</v>
      </c>
      <c r="EY128" s="436">
        <v>0</v>
      </c>
      <c r="EZ128" s="365">
        <v>0</v>
      </c>
      <c r="FA128" s="436">
        <v>0</v>
      </c>
      <c r="FB128" s="436">
        <v>0</v>
      </c>
      <c r="FC128" s="436">
        <v>0</v>
      </c>
      <c r="FD128" s="436">
        <v>0</v>
      </c>
      <c r="FE128" s="365">
        <v>0</v>
      </c>
      <c r="FF128" s="364">
        <v>0</v>
      </c>
      <c r="FG128" s="364">
        <v>0</v>
      </c>
      <c r="FH128" s="364">
        <v>0</v>
      </c>
      <c r="FI128" s="365">
        <v>0</v>
      </c>
      <c r="FJ128" s="365">
        <v>0</v>
      </c>
      <c r="FK128" s="365">
        <v>0</v>
      </c>
      <c r="FL128" s="365">
        <v>0</v>
      </c>
      <c r="FM128" s="365">
        <v>0</v>
      </c>
      <c r="FN128" s="365">
        <v>0</v>
      </c>
      <c r="FO128" s="365">
        <v>0</v>
      </c>
      <c r="FP128" s="365">
        <v>0</v>
      </c>
      <c r="FQ128" s="365">
        <v>0</v>
      </c>
      <c r="FR128" s="365">
        <v>0</v>
      </c>
      <c r="FS128" s="365">
        <v>0</v>
      </c>
      <c r="FT128" s="365">
        <v>0</v>
      </c>
      <c r="FU128" s="436">
        <v>0</v>
      </c>
      <c r="FV128" s="436">
        <v>0</v>
      </c>
      <c r="FW128" s="436">
        <v>0</v>
      </c>
      <c r="FX128" s="436">
        <v>0</v>
      </c>
      <c r="FY128" s="365">
        <v>0</v>
      </c>
      <c r="FZ128" s="436">
        <v>0</v>
      </c>
      <c r="GA128" s="436">
        <v>0</v>
      </c>
      <c r="GB128" s="436">
        <v>0</v>
      </c>
      <c r="GC128" s="436">
        <v>0</v>
      </c>
      <c r="GD128" s="365">
        <v>0</v>
      </c>
    </row>
    <row r="129" spans="1:186" ht="15" x14ac:dyDescent="0.25">
      <c r="A129" s="357">
        <v>101</v>
      </c>
      <c r="B129" s="357">
        <v>90</v>
      </c>
      <c r="C129" s="357" t="s">
        <v>1039</v>
      </c>
      <c r="D129" s="2">
        <v>99709</v>
      </c>
      <c r="E129" s="268" t="s">
        <v>1527</v>
      </c>
      <c r="F129" s="358" t="s">
        <v>985</v>
      </c>
      <c r="G129" s="49">
        <v>18</v>
      </c>
      <c r="H129" s="49">
        <v>9</v>
      </c>
      <c r="I129" s="49">
        <v>8</v>
      </c>
      <c r="J129" s="49">
        <v>1</v>
      </c>
      <c r="K129" s="49">
        <v>0</v>
      </c>
      <c r="L129" s="49">
        <v>39</v>
      </c>
      <c r="M129" s="49">
        <v>39</v>
      </c>
      <c r="N129" s="49">
        <v>0</v>
      </c>
      <c r="O129" s="49">
        <v>0</v>
      </c>
      <c r="P129" s="49">
        <v>0</v>
      </c>
      <c r="Q129" s="49">
        <v>39</v>
      </c>
      <c r="R129" s="49">
        <v>0</v>
      </c>
      <c r="S129" s="49">
        <v>2900.7435897435898</v>
      </c>
      <c r="T129" s="49">
        <v>2900.7435897435898</v>
      </c>
      <c r="U129" s="49">
        <v>0</v>
      </c>
      <c r="V129" s="49">
        <v>0</v>
      </c>
      <c r="W129" s="49">
        <v>0</v>
      </c>
      <c r="X129" s="49">
        <v>2900.7435897435898</v>
      </c>
      <c r="Y129" s="434">
        <v>113129</v>
      </c>
      <c r="Z129" s="434">
        <v>0</v>
      </c>
      <c r="AA129" s="49">
        <v>0</v>
      </c>
      <c r="AB129" s="49">
        <v>9</v>
      </c>
      <c r="AC129" s="49">
        <v>0</v>
      </c>
      <c r="AD129" s="285">
        <v>0</v>
      </c>
      <c r="AE129" s="285">
        <v>0</v>
      </c>
      <c r="AF129" s="359">
        <v>9</v>
      </c>
      <c r="AG129" s="360">
        <v>0</v>
      </c>
      <c r="AH129" s="360">
        <v>8</v>
      </c>
      <c r="AI129" s="361">
        <v>8</v>
      </c>
      <c r="AJ129" s="360">
        <v>0</v>
      </c>
      <c r="AK129" s="360">
        <v>0</v>
      </c>
      <c r="AL129" s="360">
        <v>8.569425555069655</v>
      </c>
      <c r="AM129" s="360">
        <v>8.569425555069655</v>
      </c>
      <c r="AN129" s="360">
        <v>0</v>
      </c>
      <c r="AO129" s="360">
        <v>0</v>
      </c>
      <c r="AP129" s="360">
        <v>7.6316370311838106</v>
      </c>
      <c r="AQ129" s="360">
        <v>7.6316370311838106</v>
      </c>
      <c r="AR129" s="360">
        <v>0</v>
      </c>
      <c r="AS129" s="360">
        <v>0</v>
      </c>
      <c r="AT129" s="360">
        <v>0</v>
      </c>
      <c r="AU129" s="360">
        <v>8.159450482653428</v>
      </c>
      <c r="AV129" s="360">
        <v>8.3619258237188223</v>
      </c>
      <c r="AW129" s="360">
        <v>8.569425555069655</v>
      </c>
      <c r="AX129" s="360">
        <v>8.7820743560748156</v>
      </c>
      <c r="AY129" s="360">
        <v>9</v>
      </c>
      <c r="AZ129" s="360">
        <v>7.2802354719670053</v>
      </c>
      <c r="BA129" s="360">
        <v>7.4538657503071084</v>
      </c>
      <c r="BB129" s="360">
        <v>7.6316370311838106</v>
      </c>
      <c r="BC129" s="360">
        <v>7.8136480756091444</v>
      </c>
      <c r="BD129" s="360">
        <v>8</v>
      </c>
      <c r="BE129" s="360">
        <v>0</v>
      </c>
      <c r="BF129" s="360">
        <v>0</v>
      </c>
      <c r="BG129" s="360">
        <v>0</v>
      </c>
      <c r="BH129" s="360">
        <v>0</v>
      </c>
      <c r="BI129" s="360">
        <v>0</v>
      </c>
      <c r="BJ129" s="362">
        <v>9.0840899179114736</v>
      </c>
      <c r="BK129" s="362">
        <v>9.1689655151889866</v>
      </c>
      <c r="BL129" s="362">
        <v>9.2546341326895849</v>
      </c>
      <c r="BM129" s="363">
        <v>9.1937889736932803</v>
      </c>
      <c r="BN129" s="363">
        <v>9.1333438449218551</v>
      </c>
      <c r="BO129" s="363">
        <v>9.10417812175214</v>
      </c>
      <c r="BP129" s="363">
        <v>9.0751055341768403</v>
      </c>
      <c r="BQ129" s="363">
        <v>9.0461257847838592</v>
      </c>
      <c r="BR129" s="363">
        <v>9.017238577110831</v>
      </c>
      <c r="BS129" s="363">
        <v>8.9884436156420886</v>
      </c>
      <c r="BT129" s="363">
        <v>9.0549308439219605</v>
      </c>
      <c r="BU129" s="363">
        <v>9.1219098760906228</v>
      </c>
      <c r="BV129" s="363">
        <v>9.1893843500056214</v>
      </c>
      <c r="BW129" s="363">
        <v>9.2573579304336153</v>
      </c>
      <c r="BX129" s="363">
        <v>9.3258343092494194</v>
      </c>
      <c r="BY129" s="435">
        <v>9.363425039656823</v>
      </c>
      <c r="BZ129" s="435">
        <v>9.4010157700642267</v>
      </c>
      <c r="CA129" s="435">
        <v>9.4386065004716286</v>
      </c>
      <c r="CB129" s="435">
        <v>9.4761972308790323</v>
      </c>
      <c r="CC129" s="363">
        <v>9.513787961286436</v>
      </c>
      <c r="CD129" s="435">
        <v>9.5446012496597952</v>
      </c>
      <c r="CE129" s="435">
        <v>9.5754145380331543</v>
      </c>
      <c r="CF129" s="435">
        <v>9.6062278264065117</v>
      </c>
      <c r="CG129" s="435">
        <v>9.6370411147798709</v>
      </c>
      <c r="CH129" s="363">
        <v>9.6678544031532301</v>
      </c>
      <c r="CI129" s="362">
        <v>8.0747465936990874</v>
      </c>
      <c r="CJ129" s="362">
        <v>8.1501915690568776</v>
      </c>
      <c r="CK129" s="362">
        <v>8.2263414512796302</v>
      </c>
      <c r="CL129" s="363">
        <v>8.1722568655051369</v>
      </c>
      <c r="CM129" s="363">
        <v>8.1185278621527601</v>
      </c>
      <c r="CN129" s="363">
        <v>8.0926027748907892</v>
      </c>
      <c r="CO129" s="363">
        <v>8.0667604748238571</v>
      </c>
      <c r="CP129" s="363">
        <v>8.0410006975856518</v>
      </c>
      <c r="CQ129" s="363">
        <v>8.0153231796540698</v>
      </c>
      <c r="CR129" s="363">
        <v>7.9897276583485217</v>
      </c>
      <c r="CS129" s="363">
        <v>8.0488274168195204</v>
      </c>
      <c r="CT129" s="363">
        <v>8.1083643343027756</v>
      </c>
      <c r="CU129" s="363">
        <v>8.1683416444494394</v>
      </c>
      <c r="CV129" s="363">
        <v>8.2287626048298783</v>
      </c>
      <c r="CW129" s="363">
        <v>8.2896304971105952</v>
      </c>
      <c r="CX129" s="435">
        <v>8.3230444796949534</v>
      </c>
      <c r="CY129" s="435">
        <v>8.3564584622793117</v>
      </c>
      <c r="CZ129" s="435">
        <v>8.3898724448636699</v>
      </c>
      <c r="DA129" s="435">
        <v>8.4232864274480281</v>
      </c>
      <c r="DB129" s="363">
        <v>8.4567004100323864</v>
      </c>
      <c r="DC129" s="435">
        <v>8.4840899996975949</v>
      </c>
      <c r="DD129" s="435">
        <v>8.5114795893628017</v>
      </c>
      <c r="DE129" s="435">
        <v>8.5388691790280102</v>
      </c>
      <c r="DF129" s="435">
        <v>8.566258768693217</v>
      </c>
      <c r="DG129" s="363">
        <v>8.5936483583584256</v>
      </c>
      <c r="DH129" s="362">
        <v>0</v>
      </c>
      <c r="DI129" s="362">
        <v>0</v>
      </c>
      <c r="DJ129" s="362">
        <v>0</v>
      </c>
      <c r="DK129" s="363">
        <v>0</v>
      </c>
      <c r="DL129" s="363">
        <v>0</v>
      </c>
      <c r="DM129" s="363">
        <v>0</v>
      </c>
      <c r="DN129" s="363">
        <v>0</v>
      </c>
      <c r="DO129" s="363">
        <v>0</v>
      </c>
      <c r="DP129" s="363">
        <v>0</v>
      </c>
      <c r="DQ129" s="363">
        <v>0</v>
      </c>
      <c r="DR129" s="363">
        <v>0</v>
      </c>
      <c r="DS129" s="363">
        <v>0</v>
      </c>
      <c r="DT129" s="363">
        <v>0</v>
      </c>
      <c r="DU129" s="363">
        <v>0</v>
      </c>
      <c r="DV129" s="363">
        <v>0</v>
      </c>
      <c r="DW129" s="435">
        <v>0</v>
      </c>
      <c r="DX129" s="435">
        <v>0</v>
      </c>
      <c r="DY129" s="435">
        <v>0</v>
      </c>
      <c r="DZ129" s="435">
        <v>0</v>
      </c>
      <c r="EA129" s="363">
        <v>0</v>
      </c>
      <c r="EB129" s="435">
        <v>0</v>
      </c>
      <c r="EC129" s="435">
        <v>0</v>
      </c>
      <c r="ED129" s="435">
        <v>0</v>
      </c>
      <c r="EE129" s="435">
        <v>0</v>
      </c>
      <c r="EF129" s="363">
        <v>0</v>
      </c>
      <c r="EG129" s="364">
        <v>0</v>
      </c>
      <c r="EH129" s="364">
        <v>0</v>
      </c>
      <c r="EI129" s="364">
        <v>0</v>
      </c>
      <c r="EJ129" s="365">
        <v>0</v>
      </c>
      <c r="EK129" s="365">
        <v>0</v>
      </c>
      <c r="EL129" s="365">
        <v>0</v>
      </c>
      <c r="EM129" s="365">
        <v>0</v>
      </c>
      <c r="EN129" s="365">
        <v>0</v>
      </c>
      <c r="EO129" s="365">
        <v>0</v>
      </c>
      <c r="EP129" s="365">
        <v>0</v>
      </c>
      <c r="EQ129" s="365">
        <v>0</v>
      </c>
      <c r="ER129" s="365">
        <v>0</v>
      </c>
      <c r="ES129" s="365">
        <v>0</v>
      </c>
      <c r="ET129" s="365">
        <v>0</v>
      </c>
      <c r="EU129" s="365">
        <v>0</v>
      </c>
      <c r="EV129" s="436">
        <v>0</v>
      </c>
      <c r="EW129" s="436">
        <v>0</v>
      </c>
      <c r="EX129" s="436">
        <v>0</v>
      </c>
      <c r="EY129" s="436">
        <v>0</v>
      </c>
      <c r="EZ129" s="365">
        <v>0</v>
      </c>
      <c r="FA129" s="436">
        <v>0</v>
      </c>
      <c r="FB129" s="436">
        <v>0</v>
      </c>
      <c r="FC129" s="436">
        <v>0</v>
      </c>
      <c r="FD129" s="436">
        <v>0</v>
      </c>
      <c r="FE129" s="365">
        <v>0</v>
      </c>
      <c r="FF129" s="364">
        <v>0</v>
      </c>
      <c r="FG129" s="364">
        <v>0</v>
      </c>
      <c r="FH129" s="364">
        <v>0</v>
      </c>
      <c r="FI129" s="365">
        <v>0</v>
      </c>
      <c r="FJ129" s="365">
        <v>0</v>
      </c>
      <c r="FK129" s="365">
        <v>0</v>
      </c>
      <c r="FL129" s="365">
        <v>0</v>
      </c>
      <c r="FM129" s="365">
        <v>0</v>
      </c>
      <c r="FN129" s="365">
        <v>0</v>
      </c>
      <c r="FO129" s="365">
        <v>0</v>
      </c>
      <c r="FP129" s="365">
        <v>0</v>
      </c>
      <c r="FQ129" s="365">
        <v>0</v>
      </c>
      <c r="FR129" s="365">
        <v>0</v>
      </c>
      <c r="FS129" s="365">
        <v>0</v>
      </c>
      <c r="FT129" s="365">
        <v>0</v>
      </c>
      <c r="FU129" s="436">
        <v>0</v>
      </c>
      <c r="FV129" s="436">
        <v>0</v>
      </c>
      <c r="FW129" s="436">
        <v>0</v>
      </c>
      <c r="FX129" s="436">
        <v>0</v>
      </c>
      <c r="FY129" s="365">
        <v>0</v>
      </c>
      <c r="FZ129" s="436">
        <v>0</v>
      </c>
      <c r="GA129" s="436">
        <v>0</v>
      </c>
      <c r="GB129" s="436">
        <v>0</v>
      </c>
      <c r="GC129" s="436">
        <v>0</v>
      </c>
      <c r="GD129" s="365">
        <v>0</v>
      </c>
    </row>
    <row r="130" spans="1:186" ht="15" x14ac:dyDescent="0.25">
      <c r="A130" s="357">
        <v>115</v>
      </c>
      <c r="B130" s="357">
        <v>90</v>
      </c>
      <c r="C130" s="357" t="s">
        <v>1040</v>
      </c>
      <c r="D130" s="2">
        <v>99705</v>
      </c>
      <c r="E130" s="268" t="s">
        <v>218</v>
      </c>
      <c r="F130" s="358" t="s">
        <v>985</v>
      </c>
      <c r="G130" s="49">
        <v>90</v>
      </c>
      <c r="H130" s="49">
        <v>51</v>
      </c>
      <c r="I130" s="49">
        <v>39</v>
      </c>
      <c r="J130" s="49">
        <v>12</v>
      </c>
      <c r="K130" s="49">
        <v>0</v>
      </c>
      <c r="L130" s="49">
        <v>16</v>
      </c>
      <c r="M130" s="49">
        <v>16</v>
      </c>
      <c r="N130" s="49">
        <v>9</v>
      </c>
      <c r="O130" s="49">
        <v>0</v>
      </c>
      <c r="P130" s="49">
        <v>0</v>
      </c>
      <c r="Q130" s="49">
        <v>25</v>
      </c>
      <c r="R130" s="49">
        <v>0</v>
      </c>
      <c r="S130" s="49">
        <v>1584.1875</v>
      </c>
      <c r="T130" s="49">
        <v>1584.1875</v>
      </c>
      <c r="U130" s="49">
        <v>6421.4444444444443</v>
      </c>
      <c r="V130" s="49">
        <v>0</v>
      </c>
      <c r="W130" s="49">
        <v>0</v>
      </c>
      <c r="X130" s="49">
        <v>3325.6</v>
      </c>
      <c r="Y130" s="434">
        <v>25347</v>
      </c>
      <c r="Z130" s="434">
        <v>57793</v>
      </c>
      <c r="AA130" s="49">
        <v>0</v>
      </c>
      <c r="AB130" s="49">
        <v>51</v>
      </c>
      <c r="AC130" s="49">
        <v>0</v>
      </c>
      <c r="AD130" s="285">
        <v>9</v>
      </c>
      <c r="AE130" s="285">
        <v>0</v>
      </c>
      <c r="AF130" s="359">
        <v>60</v>
      </c>
      <c r="AG130" s="360">
        <v>0</v>
      </c>
      <c r="AH130" s="360">
        <v>39</v>
      </c>
      <c r="AI130" s="361">
        <v>39</v>
      </c>
      <c r="AJ130" s="360">
        <v>0</v>
      </c>
      <c r="AK130" s="360">
        <v>0</v>
      </c>
      <c r="AL130" s="360">
        <v>47.335736711263884</v>
      </c>
      <c r="AM130" s="360">
        <v>47.335736711263884</v>
      </c>
      <c r="AN130" s="360">
        <v>0</v>
      </c>
      <c r="AO130" s="360">
        <v>0</v>
      </c>
      <c r="AP130" s="360">
        <v>36.38357902017303</v>
      </c>
      <c r="AQ130" s="360">
        <v>36.38357902017303</v>
      </c>
      <c r="AR130" s="360">
        <v>0</v>
      </c>
      <c r="AS130" s="360">
        <v>8.4609690060141833</v>
      </c>
      <c r="AT130" s="360">
        <v>0</v>
      </c>
      <c r="AU130" s="360">
        <v>43.934744509766581</v>
      </c>
      <c r="AV130" s="360">
        <v>45.60354699572126</v>
      </c>
      <c r="AW130" s="360">
        <v>47.335736711263884</v>
      </c>
      <c r="AX130" s="360">
        <v>49.133721335498883</v>
      </c>
      <c r="AY130" s="360">
        <v>51</v>
      </c>
      <c r="AZ130" s="360">
        <v>33.942687751722438</v>
      </c>
      <c r="BA130" s="360">
        <v>35.141947327543654</v>
      </c>
      <c r="BB130" s="360">
        <v>36.38357902017303</v>
      </c>
      <c r="BC130" s="360">
        <v>37.669079916912601</v>
      </c>
      <c r="BD130" s="360">
        <v>39</v>
      </c>
      <c r="BE130" s="360">
        <v>7.9542218356369609</v>
      </c>
      <c r="BF130" s="360">
        <v>8.2036835883818426</v>
      </c>
      <c r="BG130" s="360">
        <v>8.4609690060141833</v>
      </c>
      <c r="BH130" s="360">
        <v>8.7263234557359635</v>
      </c>
      <c r="BI130" s="360">
        <v>9</v>
      </c>
      <c r="BJ130" s="362">
        <v>51.523962384746262</v>
      </c>
      <c r="BK130" s="362">
        <v>52.053307839700928</v>
      </c>
      <c r="BL130" s="362">
        <v>52.588091669301335</v>
      </c>
      <c r="BM130" s="363">
        <v>52.242348039347483</v>
      </c>
      <c r="BN130" s="363">
        <v>51.898877522067231</v>
      </c>
      <c r="BO130" s="363">
        <v>51.733147607555225</v>
      </c>
      <c r="BP130" s="363">
        <v>51.567946922303584</v>
      </c>
      <c r="BQ130" s="363">
        <v>51.403273776311956</v>
      </c>
      <c r="BR130" s="363">
        <v>51.239126484976744</v>
      </c>
      <c r="BS130" s="363">
        <v>51.075503369073822</v>
      </c>
      <c r="BT130" s="363">
        <v>51.453307224470919</v>
      </c>
      <c r="BU130" s="363">
        <v>51.833905682832999</v>
      </c>
      <c r="BV130" s="363">
        <v>52.217319415748285</v>
      </c>
      <c r="BW130" s="363">
        <v>52.603569247712102</v>
      </c>
      <c r="BX130" s="363">
        <v>52.992676157257847</v>
      </c>
      <c r="BY130" s="435">
        <v>53.206279931133452</v>
      </c>
      <c r="BZ130" s="435">
        <v>53.419883705009063</v>
      </c>
      <c r="CA130" s="435">
        <v>53.633487478884668</v>
      </c>
      <c r="CB130" s="435">
        <v>53.847091252760279</v>
      </c>
      <c r="CC130" s="363">
        <v>54.060695026635884</v>
      </c>
      <c r="CD130" s="435">
        <v>54.235786987093526</v>
      </c>
      <c r="CE130" s="435">
        <v>54.410878947551161</v>
      </c>
      <c r="CF130" s="435">
        <v>54.585970908008804</v>
      </c>
      <c r="CG130" s="435">
        <v>54.761062868466439</v>
      </c>
      <c r="CH130" s="363">
        <v>54.936154828924082</v>
      </c>
      <c r="CI130" s="362">
        <v>39.400677117747136</v>
      </c>
      <c r="CJ130" s="362">
        <v>39.805470700947765</v>
      </c>
      <c r="CK130" s="362">
        <v>40.214423041230432</v>
      </c>
      <c r="CL130" s="363">
        <v>39.950030853618664</v>
      </c>
      <c r="CM130" s="363">
        <v>39.687376928639644</v>
      </c>
      <c r="CN130" s="363">
        <v>39.560642288130467</v>
      </c>
      <c r="CO130" s="363">
        <v>39.434312352349799</v>
      </c>
      <c r="CP130" s="363">
        <v>39.308385828944438</v>
      </c>
      <c r="CQ130" s="363">
        <v>39.182861429688096</v>
      </c>
      <c r="CR130" s="363">
        <v>39.057737870468216</v>
      </c>
      <c r="CS130" s="363">
        <v>39.346646701066</v>
      </c>
      <c r="CT130" s="363">
        <v>39.637692580989935</v>
      </c>
      <c r="CU130" s="363">
        <v>39.930891317925159</v>
      </c>
      <c r="CV130" s="363">
        <v>40.226258836485727</v>
      </c>
      <c r="CW130" s="363">
        <v>40.52381117907953</v>
      </c>
      <c r="CX130" s="435">
        <v>40.687155241454995</v>
      </c>
      <c r="CY130" s="435">
        <v>40.85049930383046</v>
      </c>
      <c r="CZ130" s="435">
        <v>41.013843366205919</v>
      </c>
      <c r="DA130" s="435">
        <v>41.177187428581384</v>
      </c>
      <c r="DB130" s="363">
        <v>41.340531490956849</v>
      </c>
      <c r="DC130" s="435">
        <v>41.474425343071516</v>
      </c>
      <c r="DD130" s="435">
        <v>41.608319195186183</v>
      </c>
      <c r="DE130" s="435">
        <v>41.742213047300851</v>
      </c>
      <c r="DF130" s="435">
        <v>41.876106899415518</v>
      </c>
      <c r="DG130" s="363">
        <v>42.010000751530185</v>
      </c>
      <c r="DH130" s="362">
        <v>9.0924639502493392</v>
      </c>
      <c r="DI130" s="362">
        <v>9.18587785406487</v>
      </c>
      <c r="DJ130" s="362">
        <v>9.2802514710531767</v>
      </c>
      <c r="DK130" s="363">
        <v>9.2192378892966147</v>
      </c>
      <c r="DL130" s="363">
        <v>9.1586254450706868</v>
      </c>
      <c r="DM130" s="363">
        <v>9.1293789895685702</v>
      </c>
      <c r="DN130" s="363">
        <v>9.1002259274653383</v>
      </c>
      <c r="DO130" s="363">
        <v>9.0711659605256401</v>
      </c>
      <c r="DP130" s="363">
        <v>9.0421987914664843</v>
      </c>
      <c r="DQ130" s="363">
        <v>9.0133241239542041</v>
      </c>
      <c r="DR130" s="363">
        <v>9.0799953925536911</v>
      </c>
      <c r="DS130" s="363">
        <v>9.1471598263822926</v>
      </c>
      <c r="DT130" s="363">
        <v>9.2148210733673448</v>
      </c>
      <c r="DU130" s="363">
        <v>9.2829828084197832</v>
      </c>
      <c r="DV130" s="363">
        <v>9.3516487336337377</v>
      </c>
      <c r="DW130" s="435">
        <v>9.389343517258844</v>
      </c>
      <c r="DX130" s="435">
        <v>9.427038300883952</v>
      </c>
      <c r="DY130" s="435">
        <v>9.4647330845090583</v>
      </c>
      <c r="DZ130" s="435">
        <v>9.5024278681341663</v>
      </c>
      <c r="EA130" s="363">
        <v>9.5401226517592725</v>
      </c>
      <c r="EB130" s="435">
        <v>9.5710212330165039</v>
      </c>
      <c r="EC130" s="435">
        <v>9.6019198142737352</v>
      </c>
      <c r="ED130" s="435">
        <v>9.6328183955309648</v>
      </c>
      <c r="EE130" s="435">
        <v>9.6637169767881961</v>
      </c>
      <c r="EF130" s="363">
        <v>9.6946155580454274</v>
      </c>
      <c r="EG130" s="364">
        <v>0</v>
      </c>
      <c r="EH130" s="364">
        <v>0</v>
      </c>
      <c r="EI130" s="364">
        <v>0</v>
      </c>
      <c r="EJ130" s="365">
        <v>0</v>
      </c>
      <c r="EK130" s="365">
        <v>0</v>
      </c>
      <c r="EL130" s="365">
        <v>0</v>
      </c>
      <c r="EM130" s="365">
        <v>0</v>
      </c>
      <c r="EN130" s="365">
        <v>0</v>
      </c>
      <c r="EO130" s="365">
        <v>0</v>
      </c>
      <c r="EP130" s="365">
        <v>0</v>
      </c>
      <c r="EQ130" s="365">
        <v>0</v>
      </c>
      <c r="ER130" s="365">
        <v>0</v>
      </c>
      <c r="ES130" s="365">
        <v>0</v>
      </c>
      <c r="ET130" s="365">
        <v>0</v>
      </c>
      <c r="EU130" s="365">
        <v>0</v>
      </c>
      <c r="EV130" s="436">
        <v>0</v>
      </c>
      <c r="EW130" s="436">
        <v>0</v>
      </c>
      <c r="EX130" s="436">
        <v>0</v>
      </c>
      <c r="EY130" s="436">
        <v>0</v>
      </c>
      <c r="EZ130" s="365">
        <v>0</v>
      </c>
      <c r="FA130" s="436">
        <v>0</v>
      </c>
      <c r="FB130" s="436">
        <v>0</v>
      </c>
      <c r="FC130" s="436">
        <v>0</v>
      </c>
      <c r="FD130" s="436">
        <v>0</v>
      </c>
      <c r="FE130" s="365">
        <v>0</v>
      </c>
      <c r="FF130" s="364">
        <v>0</v>
      </c>
      <c r="FG130" s="364">
        <v>0</v>
      </c>
      <c r="FH130" s="364">
        <v>0</v>
      </c>
      <c r="FI130" s="365">
        <v>0</v>
      </c>
      <c r="FJ130" s="365">
        <v>0</v>
      </c>
      <c r="FK130" s="365">
        <v>0</v>
      </c>
      <c r="FL130" s="365">
        <v>0</v>
      </c>
      <c r="FM130" s="365">
        <v>0</v>
      </c>
      <c r="FN130" s="365">
        <v>0</v>
      </c>
      <c r="FO130" s="365">
        <v>0</v>
      </c>
      <c r="FP130" s="365">
        <v>0</v>
      </c>
      <c r="FQ130" s="365">
        <v>0</v>
      </c>
      <c r="FR130" s="365">
        <v>0</v>
      </c>
      <c r="FS130" s="365">
        <v>0</v>
      </c>
      <c r="FT130" s="365">
        <v>0</v>
      </c>
      <c r="FU130" s="436">
        <v>0</v>
      </c>
      <c r="FV130" s="436">
        <v>0</v>
      </c>
      <c r="FW130" s="436">
        <v>0</v>
      </c>
      <c r="FX130" s="436">
        <v>0</v>
      </c>
      <c r="FY130" s="365">
        <v>0</v>
      </c>
      <c r="FZ130" s="436">
        <v>0</v>
      </c>
      <c r="GA130" s="436">
        <v>0</v>
      </c>
      <c r="GB130" s="436">
        <v>0</v>
      </c>
      <c r="GC130" s="436">
        <v>0</v>
      </c>
      <c r="GD130" s="365">
        <v>0</v>
      </c>
    </row>
    <row r="131" spans="1:186" ht="15" x14ac:dyDescent="0.25">
      <c r="A131" s="357">
        <v>116</v>
      </c>
      <c r="B131" s="357">
        <v>90</v>
      </c>
      <c r="C131" s="357" t="s">
        <v>1041</v>
      </c>
      <c r="D131" s="2">
        <v>99705</v>
      </c>
      <c r="E131" s="268" t="s">
        <v>218</v>
      </c>
      <c r="F131" s="358" t="s">
        <v>985</v>
      </c>
      <c r="G131" s="49">
        <v>114</v>
      </c>
      <c r="H131" s="49">
        <v>50</v>
      </c>
      <c r="I131" s="49">
        <v>41</v>
      </c>
      <c r="J131" s="49">
        <v>9</v>
      </c>
      <c r="K131" s="49">
        <v>0</v>
      </c>
      <c r="L131" s="49">
        <v>40</v>
      </c>
      <c r="M131" s="49">
        <v>40</v>
      </c>
      <c r="N131" s="49">
        <v>14</v>
      </c>
      <c r="O131" s="49">
        <v>0</v>
      </c>
      <c r="P131" s="49">
        <v>0</v>
      </c>
      <c r="Q131" s="49">
        <v>54</v>
      </c>
      <c r="R131" s="49">
        <v>0</v>
      </c>
      <c r="S131" s="49">
        <v>1491.675</v>
      </c>
      <c r="T131" s="49">
        <v>1491.675</v>
      </c>
      <c r="U131" s="49">
        <v>6842.1428571428569</v>
      </c>
      <c r="V131" s="49">
        <v>0</v>
      </c>
      <c r="W131" s="49">
        <v>0</v>
      </c>
      <c r="X131" s="49">
        <v>2878.8333333333335</v>
      </c>
      <c r="Y131" s="434">
        <v>59667</v>
      </c>
      <c r="Z131" s="434">
        <v>95790</v>
      </c>
      <c r="AA131" s="49">
        <v>0</v>
      </c>
      <c r="AB131" s="49">
        <v>50</v>
      </c>
      <c r="AC131" s="49">
        <v>0</v>
      </c>
      <c r="AD131" s="285">
        <v>14</v>
      </c>
      <c r="AE131" s="285">
        <v>0</v>
      </c>
      <c r="AF131" s="359">
        <v>64</v>
      </c>
      <c r="AG131" s="360">
        <v>0</v>
      </c>
      <c r="AH131" s="360">
        <v>41</v>
      </c>
      <c r="AI131" s="361">
        <v>41</v>
      </c>
      <c r="AJ131" s="360">
        <v>0</v>
      </c>
      <c r="AK131" s="360">
        <v>0</v>
      </c>
      <c r="AL131" s="360">
        <v>46.407585011043025</v>
      </c>
      <c r="AM131" s="360">
        <v>46.407585011043025</v>
      </c>
      <c r="AN131" s="360">
        <v>0</v>
      </c>
      <c r="AO131" s="360">
        <v>0</v>
      </c>
      <c r="AP131" s="360">
        <v>38.249403585310112</v>
      </c>
      <c r="AQ131" s="360">
        <v>38.249403585310112</v>
      </c>
      <c r="AR131" s="360">
        <v>0</v>
      </c>
      <c r="AS131" s="360">
        <v>13.161507342688731</v>
      </c>
      <c r="AT131" s="360">
        <v>0</v>
      </c>
      <c r="AU131" s="360">
        <v>43.073278931143712</v>
      </c>
      <c r="AV131" s="360">
        <v>44.709359799726727</v>
      </c>
      <c r="AW131" s="360">
        <v>46.407585011043025</v>
      </c>
      <c r="AX131" s="360">
        <v>48.170315034802826</v>
      </c>
      <c r="AY131" s="360">
        <v>50</v>
      </c>
      <c r="AZ131" s="360">
        <v>35.683338405656926</v>
      </c>
      <c r="BA131" s="360">
        <v>36.944098472545896</v>
      </c>
      <c r="BB131" s="360">
        <v>38.249403585310112</v>
      </c>
      <c r="BC131" s="360">
        <v>39.600827604959399</v>
      </c>
      <c r="BD131" s="360">
        <v>41</v>
      </c>
      <c r="BE131" s="360">
        <v>12.373233966546383</v>
      </c>
      <c r="BF131" s="360">
        <v>12.761285581927309</v>
      </c>
      <c r="BG131" s="360">
        <v>13.161507342688731</v>
      </c>
      <c r="BH131" s="360">
        <v>13.574280931144832</v>
      </c>
      <c r="BI131" s="360">
        <v>14</v>
      </c>
      <c r="BJ131" s="362">
        <v>50.513688612496331</v>
      </c>
      <c r="BK131" s="362">
        <v>51.03265474480483</v>
      </c>
      <c r="BL131" s="362">
        <v>51.556952616962093</v>
      </c>
      <c r="BM131" s="363">
        <v>51.217988273870084</v>
      </c>
      <c r="BN131" s="363">
        <v>50.881252472614932</v>
      </c>
      <c r="BO131" s="363">
        <v>50.718772164269829</v>
      </c>
      <c r="BP131" s="363">
        <v>50.556810708140766</v>
      </c>
      <c r="BQ131" s="363">
        <v>50.395366447364665</v>
      </c>
      <c r="BR131" s="363">
        <v>50.234437730369358</v>
      </c>
      <c r="BS131" s="363">
        <v>50.074022910856684</v>
      </c>
      <c r="BT131" s="363">
        <v>50.44441884752051</v>
      </c>
      <c r="BU131" s="363">
        <v>50.817554591012744</v>
      </c>
      <c r="BV131" s="363">
        <v>51.193450407596359</v>
      </c>
      <c r="BW131" s="363">
        <v>51.57212671344324</v>
      </c>
      <c r="BX131" s="363">
        <v>51.953604075742987</v>
      </c>
      <c r="BY131" s="435">
        <v>52.163019540326914</v>
      </c>
      <c r="BZ131" s="435">
        <v>52.372435004910841</v>
      </c>
      <c r="CA131" s="435">
        <v>52.581850469494775</v>
      </c>
      <c r="CB131" s="435">
        <v>52.791265934078702</v>
      </c>
      <c r="CC131" s="363">
        <v>53.000681398662628</v>
      </c>
      <c r="CD131" s="435">
        <v>53.172340183425021</v>
      </c>
      <c r="CE131" s="435">
        <v>53.343998968187414</v>
      </c>
      <c r="CF131" s="435">
        <v>53.515657752949807</v>
      </c>
      <c r="CG131" s="435">
        <v>53.687316537712199</v>
      </c>
      <c r="CH131" s="363">
        <v>53.858975322474592</v>
      </c>
      <c r="CI131" s="362">
        <v>41.421224662246992</v>
      </c>
      <c r="CJ131" s="362">
        <v>41.84677689073996</v>
      </c>
      <c r="CK131" s="362">
        <v>42.276701145908916</v>
      </c>
      <c r="CL131" s="363">
        <v>41.998750384573469</v>
      </c>
      <c r="CM131" s="363">
        <v>41.722627027544242</v>
      </c>
      <c r="CN131" s="363">
        <v>41.589393174701264</v>
      </c>
      <c r="CO131" s="363">
        <v>41.456584780675428</v>
      </c>
      <c r="CP131" s="363">
        <v>41.324200486839025</v>
      </c>
      <c r="CQ131" s="363">
        <v>41.192238938902868</v>
      </c>
      <c r="CR131" s="363">
        <v>41.060698786902485</v>
      </c>
      <c r="CS131" s="363">
        <v>41.364423454966818</v>
      </c>
      <c r="CT131" s="363">
        <v>41.670394764630444</v>
      </c>
      <c r="CU131" s="363">
        <v>41.978629334229012</v>
      </c>
      <c r="CV131" s="363">
        <v>42.289143905023458</v>
      </c>
      <c r="CW131" s="363">
        <v>42.60195534210925</v>
      </c>
      <c r="CX131" s="435">
        <v>42.77367602306807</v>
      </c>
      <c r="CY131" s="435">
        <v>42.945396704026891</v>
      </c>
      <c r="CZ131" s="435">
        <v>43.117117384985711</v>
      </c>
      <c r="DA131" s="435">
        <v>43.288838065944532</v>
      </c>
      <c r="DB131" s="363">
        <v>43.460558746903352</v>
      </c>
      <c r="DC131" s="435">
        <v>43.601318950408512</v>
      </c>
      <c r="DD131" s="435">
        <v>43.742079153913679</v>
      </c>
      <c r="DE131" s="435">
        <v>43.882839357418838</v>
      </c>
      <c r="DF131" s="435">
        <v>44.023599560924005</v>
      </c>
      <c r="DG131" s="363">
        <v>44.164359764429165</v>
      </c>
      <c r="DH131" s="362">
        <v>14.143832811498973</v>
      </c>
      <c r="DI131" s="362">
        <v>14.289143328545352</v>
      </c>
      <c r="DJ131" s="362">
        <v>14.435946732749386</v>
      </c>
      <c r="DK131" s="363">
        <v>14.341036716683623</v>
      </c>
      <c r="DL131" s="363">
        <v>14.246750692332181</v>
      </c>
      <c r="DM131" s="363">
        <v>14.201256205995552</v>
      </c>
      <c r="DN131" s="363">
        <v>14.155906998279415</v>
      </c>
      <c r="DO131" s="363">
        <v>14.110702605262105</v>
      </c>
      <c r="DP131" s="363">
        <v>14.065642564503419</v>
      </c>
      <c r="DQ131" s="363">
        <v>14.020726415039872</v>
      </c>
      <c r="DR131" s="363">
        <v>14.124437277305743</v>
      </c>
      <c r="DS131" s="363">
        <v>14.228915285483568</v>
      </c>
      <c r="DT131" s="363">
        <v>14.33416611412698</v>
      </c>
      <c r="DU131" s="363">
        <v>14.440195479764107</v>
      </c>
      <c r="DV131" s="363">
        <v>14.547009141208035</v>
      </c>
      <c r="DW131" s="435">
        <v>14.605645471291535</v>
      </c>
      <c r="DX131" s="435">
        <v>14.664281801375035</v>
      </c>
      <c r="DY131" s="435">
        <v>14.722918131458536</v>
      </c>
      <c r="DZ131" s="435">
        <v>14.781554461542036</v>
      </c>
      <c r="EA131" s="363">
        <v>14.840190791625536</v>
      </c>
      <c r="EB131" s="435">
        <v>14.888255251359006</v>
      </c>
      <c r="EC131" s="435">
        <v>14.936319711092477</v>
      </c>
      <c r="ED131" s="435">
        <v>14.984384170825946</v>
      </c>
      <c r="EE131" s="435">
        <v>15.032448630559417</v>
      </c>
      <c r="EF131" s="363">
        <v>15.080513090292886</v>
      </c>
      <c r="EG131" s="364">
        <v>0</v>
      </c>
      <c r="EH131" s="364">
        <v>0</v>
      </c>
      <c r="EI131" s="364">
        <v>0</v>
      </c>
      <c r="EJ131" s="365">
        <v>0</v>
      </c>
      <c r="EK131" s="365">
        <v>0</v>
      </c>
      <c r="EL131" s="365">
        <v>0</v>
      </c>
      <c r="EM131" s="365">
        <v>0</v>
      </c>
      <c r="EN131" s="365">
        <v>0</v>
      </c>
      <c r="EO131" s="365">
        <v>0</v>
      </c>
      <c r="EP131" s="365">
        <v>0</v>
      </c>
      <c r="EQ131" s="365">
        <v>0</v>
      </c>
      <c r="ER131" s="365">
        <v>0</v>
      </c>
      <c r="ES131" s="365">
        <v>0</v>
      </c>
      <c r="ET131" s="365">
        <v>0</v>
      </c>
      <c r="EU131" s="365">
        <v>0</v>
      </c>
      <c r="EV131" s="436">
        <v>0</v>
      </c>
      <c r="EW131" s="436">
        <v>0</v>
      </c>
      <c r="EX131" s="436">
        <v>0</v>
      </c>
      <c r="EY131" s="436">
        <v>0</v>
      </c>
      <c r="EZ131" s="365">
        <v>0</v>
      </c>
      <c r="FA131" s="436">
        <v>0</v>
      </c>
      <c r="FB131" s="436">
        <v>0</v>
      </c>
      <c r="FC131" s="436">
        <v>0</v>
      </c>
      <c r="FD131" s="436">
        <v>0</v>
      </c>
      <c r="FE131" s="365">
        <v>0</v>
      </c>
      <c r="FF131" s="364">
        <v>0</v>
      </c>
      <c r="FG131" s="364">
        <v>0</v>
      </c>
      <c r="FH131" s="364">
        <v>0</v>
      </c>
      <c r="FI131" s="365">
        <v>0</v>
      </c>
      <c r="FJ131" s="365">
        <v>0</v>
      </c>
      <c r="FK131" s="365">
        <v>0</v>
      </c>
      <c r="FL131" s="365">
        <v>0</v>
      </c>
      <c r="FM131" s="365">
        <v>0</v>
      </c>
      <c r="FN131" s="365">
        <v>0</v>
      </c>
      <c r="FO131" s="365">
        <v>0</v>
      </c>
      <c r="FP131" s="365">
        <v>0</v>
      </c>
      <c r="FQ131" s="365">
        <v>0</v>
      </c>
      <c r="FR131" s="365">
        <v>0</v>
      </c>
      <c r="FS131" s="365">
        <v>0</v>
      </c>
      <c r="FT131" s="365">
        <v>0</v>
      </c>
      <c r="FU131" s="436">
        <v>0</v>
      </c>
      <c r="FV131" s="436">
        <v>0</v>
      </c>
      <c r="FW131" s="436">
        <v>0</v>
      </c>
      <c r="FX131" s="436">
        <v>0</v>
      </c>
      <c r="FY131" s="365">
        <v>0</v>
      </c>
      <c r="FZ131" s="436">
        <v>0</v>
      </c>
      <c r="GA131" s="436">
        <v>0</v>
      </c>
      <c r="GB131" s="436">
        <v>0</v>
      </c>
      <c r="GC131" s="436">
        <v>0</v>
      </c>
      <c r="GD131" s="365">
        <v>0</v>
      </c>
    </row>
    <row r="132" spans="1:186" ht="15" x14ac:dyDescent="0.25">
      <c r="A132" s="357">
        <v>118</v>
      </c>
      <c r="B132" s="357">
        <v>90</v>
      </c>
      <c r="C132" s="357" t="s">
        <v>1042</v>
      </c>
      <c r="D132" s="2">
        <v>99705</v>
      </c>
      <c r="E132" s="268" t="s">
        <v>218</v>
      </c>
      <c r="F132" s="358" t="s">
        <v>985</v>
      </c>
      <c r="G132" s="49">
        <v>242</v>
      </c>
      <c r="H132" s="49">
        <v>103</v>
      </c>
      <c r="I132" s="49">
        <v>88</v>
      </c>
      <c r="J132" s="49">
        <v>15</v>
      </c>
      <c r="K132" s="49">
        <v>0</v>
      </c>
      <c r="L132" s="49">
        <v>1</v>
      </c>
      <c r="M132" s="49">
        <v>1</v>
      </c>
      <c r="N132" s="49">
        <v>0</v>
      </c>
      <c r="O132" s="49">
        <v>0</v>
      </c>
      <c r="P132" s="49">
        <v>0</v>
      </c>
      <c r="Q132" s="49">
        <v>1</v>
      </c>
      <c r="R132" s="49">
        <v>0</v>
      </c>
      <c r="S132" s="49">
        <v>720</v>
      </c>
      <c r="T132" s="49">
        <v>720</v>
      </c>
      <c r="U132" s="49">
        <v>0</v>
      </c>
      <c r="V132" s="49">
        <v>0</v>
      </c>
      <c r="W132" s="49">
        <v>0</v>
      </c>
      <c r="X132" s="49">
        <v>720</v>
      </c>
      <c r="Y132" s="434">
        <v>720</v>
      </c>
      <c r="Z132" s="434">
        <v>0</v>
      </c>
      <c r="AA132" s="49">
        <v>0</v>
      </c>
      <c r="AB132" s="49">
        <v>103</v>
      </c>
      <c r="AC132" s="49">
        <v>0</v>
      </c>
      <c r="AD132" s="285">
        <v>0</v>
      </c>
      <c r="AE132" s="285">
        <v>0</v>
      </c>
      <c r="AF132" s="359">
        <v>103</v>
      </c>
      <c r="AG132" s="360">
        <v>0</v>
      </c>
      <c r="AH132" s="360">
        <v>88</v>
      </c>
      <c r="AI132" s="361">
        <v>88</v>
      </c>
      <c r="AJ132" s="360">
        <v>0</v>
      </c>
      <c r="AK132" s="360">
        <v>0</v>
      </c>
      <c r="AL132" s="360">
        <v>95.599625122748634</v>
      </c>
      <c r="AM132" s="360">
        <v>95.599625122748634</v>
      </c>
      <c r="AN132" s="360">
        <v>0</v>
      </c>
      <c r="AO132" s="360">
        <v>0</v>
      </c>
      <c r="AP132" s="360">
        <v>82.096280866031464</v>
      </c>
      <c r="AQ132" s="360">
        <v>82.096280866031464</v>
      </c>
      <c r="AR132" s="360">
        <v>0</v>
      </c>
      <c r="AS132" s="360">
        <v>0</v>
      </c>
      <c r="AT132" s="360">
        <v>0</v>
      </c>
      <c r="AU132" s="360">
        <v>88.730954598156046</v>
      </c>
      <c r="AV132" s="360">
        <v>92.101281187437053</v>
      </c>
      <c r="AW132" s="360">
        <v>95.599625122748634</v>
      </c>
      <c r="AX132" s="360">
        <v>99.230848971693817</v>
      </c>
      <c r="AY132" s="360">
        <v>103</v>
      </c>
      <c r="AZ132" s="360">
        <v>76.588628773117307</v>
      </c>
      <c r="BA132" s="360">
        <v>79.294650380098503</v>
      </c>
      <c r="BB132" s="360">
        <v>82.096280866031464</v>
      </c>
      <c r="BC132" s="360">
        <v>84.996898274059205</v>
      </c>
      <c r="BD132" s="360">
        <v>88</v>
      </c>
      <c r="BE132" s="360">
        <v>0</v>
      </c>
      <c r="BF132" s="360">
        <v>0</v>
      </c>
      <c r="BG132" s="360">
        <v>0</v>
      </c>
      <c r="BH132" s="360">
        <v>0</v>
      </c>
      <c r="BI132" s="360">
        <v>0</v>
      </c>
      <c r="BJ132" s="362">
        <v>104.05819854174244</v>
      </c>
      <c r="BK132" s="362">
        <v>105.12726877429795</v>
      </c>
      <c r="BL132" s="362">
        <v>106.20732239094191</v>
      </c>
      <c r="BM132" s="363">
        <v>105.50905584417238</v>
      </c>
      <c r="BN132" s="363">
        <v>104.81538009358675</v>
      </c>
      <c r="BO132" s="363">
        <v>104.48067065839585</v>
      </c>
      <c r="BP132" s="363">
        <v>104.14703005876999</v>
      </c>
      <c r="BQ132" s="363">
        <v>103.81445488157121</v>
      </c>
      <c r="BR132" s="363">
        <v>103.48294172456087</v>
      </c>
      <c r="BS132" s="363">
        <v>103.15248719636477</v>
      </c>
      <c r="BT132" s="363">
        <v>103.91550282589225</v>
      </c>
      <c r="BU132" s="363">
        <v>104.68416245748625</v>
      </c>
      <c r="BV132" s="363">
        <v>105.45850783964849</v>
      </c>
      <c r="BW132" s="363">
        <v>106.23858102969307</v>
      </c>
      <c r="BX132" s="363">
        <v>107.02442439603055</v>
      </c>
      <c r="BY132" s="435">
        <v>107.45582025307344</v>
      </c>
      <c r="BZ132" s="435">
        <v>107.88721611011634</v>
      </c>
      <c r="CA132" s="435">
        <v>108.31861196715923</v>
      </c>
      <c r="CB132" s="435">
        <v>108.75000782420213</v>
      </c>
      <c r="CC132" s="363">
        <v>109.18140368124502</v>
      </c>
      <c r="CD132" s="435">
        <v>109.53502077785555</v>
      </c>
      <c r="CE132" s="435">
        <v>109.88863787446607</v>
      </c>
      <c r="CF132" s="435">
        <v>110.2422549710766</v>
      </c>
      <c r="CG132" s="435">
        <v>110.59587206768713</v>
      </c>
      <c r="CH132" s="363">
        <v>110.94948916429766</v>
      </c>
      <c r="CI132" s="362">
        <v>88.904091957993543</v>
      </c>
      <c r="CJ132" s="362">
        <v>89.817472350856491</v>
      </c>
      <c r="CK132" s="362">
        <v>90.740236605853283</v>
      </c>
      <c r="CL132" s="363">
        <v>90.143659362011348</v>
      </c>
      <c r="CM132" s="363">
        <v>89.551004351802277</v>
      </c>
      <c r="CN132" s="363">
        <v>89.265039009114901</v>
      </c>
      <c r="CO132" s="363">
        <v>88.979986846327748</v>
      </c>
      <c r="CP132" s="363">
        <v>88.695844947361806</v>
      </c>
      <c r="CQ132" s="363">
        <v>88.412610405450067</v>
      </c>
      <c r="CR132" s="363">
        <v>88.130280323107769</v>
      </c>
      <c r="CS132" s="363">
        <v>88.782177171636093</v>
      </c>
      <c r="CT132" s="363">
        <v>89.438896080182431</v>
      </c>
      <c r="CU132" s="363">
        <v>90.100472717369584</v>
      </c>
      <c r="CV132" s="363">
        <v>90.766943015660104</v>
      </c>
      <c r="CW132" s="363">
        <v>91.438343173307658</v>
      </c>
      <c r="CX132" s="435">
        <v>91.806914390975365</v>
      </c>
      <c r="CY132" s="435">
        <v>92.175485608643086</v>
      </c>
      <c r="CZ132" s="435">
        <v>92.544056826310793</v>
      </c>
      <c r="DA132" s="435">
        <v>92.912628043978515</v>
      </c>
      <c r="DB132" s="363">
        <v>93.281199261646222</v>
      </c>
      <c r="DC132" s="435">
        <v>93.583318722828039</v>
      </c>
      <c r="DD132" s="435">
        <v>93.885438184009843</v>
      </c>
      <c r="DE132" s="435">
        <v>94.18755764519166</v>
      </c>
      <c r="DF132" s="435">
        <v>94.489677106373463</v>
      </c>
      <c r="DG132" s="363">
        <v>94.791796567555281</v>
      </c>
      <c r="DH132" s="362">
        <v>0</v>
      </c>
      <c r="DI132" s="362">
        <v>0</v>
      </c>
      <c r="DJ132" s="362">
        <v>0</v>
      </c>
      <c r="DK132" s="363">
        <v>0</v>
      </c>
      <c r="DL132" s="363">
        <v>0</v>
      </c>
      <c r="DM132" s="363">
        <v>0</v>
      </c>
      <c r="DN132" s="363">
        <v>0</v>
      </c>
      <c r="DO132" s="363">
        <v>0</v>
      </c>
      <c r="DP132" s="363">
        <v>0</v>
      </c>
      <c r="DQ132" s="363">
        <v>0</v>
      </c>
      <c r="DR132" s="363">
        <v>0</v>
      </c>
      <c r="DS132" s="363">
        <v>0</v>
      </c>
      <c r="DT132" s="363">
        <v>0</v>
      </c>
      <c r="DU132" s="363">
        <v>0</v>
      </c>
      <c r="DV132" s="363">
        <v>0</v>
      </c>
      <c r="DW132" s="435">
        <v>0</v>
      </c>
      <c r="DX132" s="435">
        <v>0</v>
      </c>
      <c r="DY132" s="435">
        <v>0</v>
      </c>
      <c r="DZ132" s="435">
        <v>0</v>
      </c>
      <c r="EA132" s="363">
        <v>0</v>
      </c>
      <c r="EB132" s="435">
        <v>0</v>
      </c>
      <c r="EC132" s="435">
        <v>0</v>
      </c>
      <c r="ED132" s="435">
        <v>0</v>
      </c>
      <c r="EE132" s="435">
        <v>0</v>
      </c>
      <c r="EF132" s="363">
        <v>0</v>
      </c>
      <c r="EG132" s="364">
        <v>0</v>
      </c>
      <c r="EH132" s="364">
        <v>0</v>
      </c>
      <c r="EI132" s="364">
        <v>0</v>
      </c>
      <c r="EJ132" s="365">
        <v>0</v>
      </c>
      <c r="EK132" s="365">
        <v>0</v>
      </c>
      <c r="EL132" s="365">
        <v>0</v>
      </c>
      <c r="EM132" s="365">
        <v>0</v>
      </c>
      <c r="EN132" s="365">
        <v>0</v>
      </c>
      <c r="EO132" s="365">
        <v>0</v>
      </c>
      <c r="EP132" s="365">
        <v>0</v>
      </c>
      <c r="EQ132" s="365">
        <v>0</v>
      </c>
      <c r="ER132" s="365">
        <v>0</v>
      </c>
      <c r="ES132" s="365">
        <v>0</v>
      </c>
      <c r="ET132" s="365">
        <v>0</v>
      </c>
      <c r="EU132" s="365">
        <v>0</v>
      </c>
      <c r="EV132" s="436">
        <v>0</v>
      </c>
      <c r="EW132" s="436">
        <v>0</v>
      </c>
      <c r="EX132" s="436">
        <v>0</v>
      </c>
      <c r="EY132" s="436">
        <v>0</v>
      </c>
      <c r="EZ132" s="365">
        <v>0</v>
      </c>
      <c r="FA132" s="436">
        <v>0</v>
      </c>
      <c r="FB132" s="436">
        <v>0</v>
      </c>
      <c r="FC132" s="436">
        <v>0</v>
      </c>
      <c r="FD132" s="436">
        <v>0</v>
      </c>
      <c r="FE132" s="365">
        <v>0</v>
      </c>
      <c r="FF132" s="364">
        <v>0</v>
      </c>
      <c r="FG132" s="364">
        <v>0</v>
      </c>
      <c r="FH132" s="364">
        <v>0</v>
      </c>
      <c r="FI132" s="365">
        <v>0</v>
      </c>
      <c r="FJ132" s="365">
        <v>0</v>
      </c>
      <c r="FK132" s="365">
        <v>0</v>
      </c>
      <c r="FL132" s="365">
        <v>0</v>
      </c>
      <c r="FM132" s="365">
        <v>0</v>
      </c>
      <c r="FN132" s="365">
        <v>0</v>
      </c>
      <c r="FO132" s="365">
        <v>0</v>
      </c>
      <c r="FP132" s="365">
        <v>0</v>
      </c>
      <c r="FQ132" s="365">
        <v>0</v>
      </c>
      <c r="FR132" s="365">
        <v>0</v>
      </c>
      <c r="FS132" s="365">
        <v>0</v>
      </c>
      <c r="FT132" s="365">
        <v>0</v>
      </c>
      <c r="FU132" s="436">
        <v>0</v>
      </c>
      <c r="FV132" s="436">
        <v>0</v>
      </c>
      <c r="FW132" s="436">
        <v>0</v>
      </c>
      <c r="FX132" s="436">
        <v>0</v>
      </c>
      <c r="FY132" s="365">
        <v>0</v>
      </c>
      <c r="FZ132" s="436">
        <v>0</v>
      </c>
      <c r="GA132" s="436">
        <v>0</v>
      </c>
      <c r="GB132" s="436">
        <v>0</v>
      </c>
      <c r="GC132" s="436">
        <v>0</v>
      </c>
      <c r="GD132" s="365">
        <v>0</v>
      </c>
    </row>
    <row r="133" spans="1:186" ht="15" x14ac:dyDescent="0.25">
      <c r="A133" s="357">
        <v>120</v>
      </c>
      <c r="B133" s="357">
        <v>90</v>
      </c>
      <c r="C133" s="357" t="s">
        <v>1043</v>
      </c>
      <c r="D133" s="2">
        <v>99705</v>
      </c>
      <c r="E133" s="268" t="s">
        <v>218</v>
      </c>
      <c r="F133" s="358" t="s">
        <v>985</v>
      </c>
      <c r="G133" s="49">
        <v>540</v>
      </c>
      <c r="H133" s="49">
        <v>202</v>
      </c>
      <c r="I133" s="49">
        <v>185</v>
      </c>
      <c r="J133" s="49">
        <v>17</v>
      </c>
      <c r="K133" s="49">
        <v>0</v>
      </c>
      <c r="L133" s="49">
        <v>85</v>
      </c>
      <c r="M133" s="49">
        <v>85</v>
      </c>
      <c r="N133" s="49">
        <v>0</v>
      </c>
      <c r="O133" s="49">
        <v>0</v>
      </c>
      <c r="P133" s="49">
        <v>0</v>
      </c>
      <c r="Q133" s="49">
        <v>85</v>
      </c>
      <c r="R133" s="49">
        <v>0</v>
      </c>
      <c r="S133" s="49">
        <v>1850.0117647058823</v>
      </c>
      <c r="T133" s="49">
        <v>1850.0117647058823</v>
      </c>
      <c r="U133" s="49">
        <v>0</v>
      </c>
      <c r="V133" s="49">
        <v>0</v>
      </c>
      <c r="W133" s="49">
        <v>0</v>
      </c>
      <c r="X133" s="49">
        <v>1850.0117647058823</v>
      </c>
      <c r="Y133" s="434">
        <v>157251</v>
      </c>
      <c r="Z133" s="434">
        <v>0</v>
      </c>
      <c r="AA133" s="49">
        <v>0</v>
      </c>
      <c r="AB133" s="49">
        <v>202</v>
      </c>
      <c r="AC133" s="49">
        <v>0</v>
      </c>
      <c r="AD133" s="285">
        <v>0</v>
      </c>
      <c r="AE133" s="285">
        <v>0</v>
      </c>
      <c r="AF133" s="359">
        <v>202</v>
      </c>
      <c r="AG133" s="360">
        <v>0</v>
      </c>
      <c r="AH133" s="360">
        <v>185</v>
      </c>
      <c r="AI133" s="361">
        <v>185</v>
      </c>
      <c r="AJ133" s="360">
        <v>0</v>
      </c>
      <c r="AK133" s="360">
        <v>0</v>
      </c>
      <c r="AL133" s="360">
        <v>187.48664344461383</v>
      </c>
      <c r="AM133" s="360">
        <v>187.48664344461383</v>
      </c>
      <c r="AN133" s="360">
        <v>0</v>
      </c>
      <c r="AO133" s="360">
        <v>0</v>
      </c>
      <c r="AP133" s="360">
        <v>172.58877227517976</v>
      </c>
      <c r="AQ133" s="360">
        <v>172.58877227517976</v>
      </c>
      <c r="AR133" s="360">
        <v>0</v>
      </c>
      <c r="AS133" s="360">
        <v>0</v>
      </c>
      <c r="AT133" s="360">
        <v>0</v>
      </c>
      <c r="AU133" s="360">
        <v>174.01604688182059</v>
      </c>
      <c r="AV133" s="360">
        <v>180.62581359089597</v>
      </c>
      <c r="AW133" s="360">
        <v>187.48664344461383</v>
      </c>
      <c r="AX133" s="360">
        <v>194.60807274060343</v>
      </c>
      <c r="AY133" s="360">
        <v>202</v>
      </c>
      <c r="AZ133" s="360">
        <v>161.01018548893978</v>
      </c>
      <c r="BA133" s="360">
        <v>166.69898091270707</v>
      </c>
      <c r="BB133" s="360">
        <v>172.58877227517976</v>
      </c>
      <c r="BC133" s="360">
        <v>178.68666114432901</v>
      </c>
      <c r="BD133" s="360">
        <v>185</v>
      </c>
      <c r="BE133" s="360">
        <v>0</v>
      </c>
      <c r="BF133" s="360">
        <v>0</v>
      </c>
      <c r="BG133" s="360">
        <v>0</v>
      </c>
      <c r="BH133" s="360">
        <v>0</v>
      </c>
      <c r="BI133" s="360">
        <v>0</v>
      </c>
      <c r="BJ133" s="362">
        <v>204.07530199448519</v>
      </c>
      <c r="BK133" s="362">
        <v>206.1719251690115</v>
      </c>
      <c r="BL133" s="362">
        <v>208.29008857252686</v>
      </c>
      <c r="BM133" s="363">
        <v>206.92067262643513</v>
      </c>
      <c r="BN133" s="363">
        <v>205.56025998936431</v>
      </c>
      <c r="BO133" s="363">
        <v>204.90383954365012</v>
      </c>
      <c r="BP133" s="363">
        <v>204.2495152608887</v>
      </c>
      <c r="BQ133" s="363">
        <v>203.59728044735323</v>
      </c>
      <c r="BR133" s="363">
        <v>202.9471284306922</v>
      </c>
      <c r="BS133" s="363">
        <v>202.299052559861</v>
      </c>
      <c r="BT133" s="363">
        <v>203.79545214398286</v>
      </c>
      <c r="BU133" s="363">
        <v>205.30292054769149</v>
      </c>
      <c r="BV133" s="363">
        <v>206.82153964668927</v>
      </c>
      <c r="BW133" s="363">
        <v>208.35139192231068</v>
      </c>
      <c r="BX133" s="363">
        <v>209.89256046600167</v>
      </c>
      <c r="BY133" s="435">
        <v>210.73859894292073</v>
      </c>
      <c r="BZ133" s="435">
        <v>211.58463741983979</v>
      </c>
      <c r="CA133" s="435">
        <v>212.43067589675888</v>
      </c>
      <c r="CB133" s="435">
        <v>213.27671437367795</v>
      </c>
      <c r="CC133" s="363">
        <v>214.12275285059701</v>
      </c>
      <c r="CD133" s="435">
        <v>214.81625434103708</v>
      </c>
      <c r="CE133" s="435">
        <v>215.50975583147715</v>
      </c>
      <c r="CF133" s="435">
        <v>216.20325732191722</v>
      </c>
      <c r="CG133" s="435">
        <v>216.89675881235729</v>
      </c>
      <c r="CH133" s="363">
        <v>217.59026030279736</v>
      </c>
      <c r="CI133" s="362">
        <v>186.90064786623643</v>
      </c>
      <c r="CJ133" s="362">
        <v>188.82082255577785</v>
      </c>
      <c r="CK133" s="362">
        <v>190.76072468275976</v>
      </c>
      <c r="CL133" s="363">
        <v>189.50655661331933</v>
      </c>
      <c r="CM133" s="363">
        <v>188.26063414867525</v>
      </c>
      <c r="CN133" s="363">
        <v>187.65945700779838</v>
      </c>
      <c r="CO133" s="363">
        <v>187.06019962012084</v>
      </c>
      <c r="CP133" s="363">
        <v>186.46285585524927</v>
      </c>
      <c r="CQ133" s="363">
        <v>185.86741960236662</v>
      </c>
      <c r="CR133" s="363">
        <v>185.27388477016976</v>
      </c>
      <c r="CS133" s="363">
        <v>186.6443497358259</v>
      </c>
      <c r="CT133" s="363">
        <v>188.02495198674717</v>
      </c>
      <c r="CU133" s="363">
        <v>189.41576650810654</v>
      </c>
      <c r="CV133" s="363">
        <v>190.81686883974001</v>
      </c>
      <c r="CW133" s="363">
        <v>192.22833508024905</v>
      </c>
      <c r="CX133" s="435">
        <v>193.00317229920958</v>
      </c>
      <c r="CY133" s="435">
        <v>193.77800951817014</v>
      </c>
      <c r="CZ133" s="435">
        <v>194.55284673713066</v>
      </c>
      <c r="DA133" s="435">
        <v>195.32768395609122</v>
      </c>
      <c r="DB133" s="363">
        <v>196.10252117505175</v>
      </c>
      <c r="DC133" s="435">
        <v>196.7376586786726</v>
      </c>
      <c r="DD133" s="435">
        <v>197.37279618229346</v>
      </c>
      <c r="DE133" s="435">
        <v>198.00793368591431</v>
      </c>
      <c r="DF133" s="435">
        <v>198.64307118953516</v>
      </c>
      <c r="DG133" s="363">
        <v>199.27820869315602</v>
      </c>
      <c r="DH133" s="362">
        <v>0</v>
      </c>
      <c r="DI133" s="362">
        <v>0</v>
      </c>
      <c r="DJ133" s="362">
        <v>0</v>
      </c>
      <c r="DK133" s="363">
        <v>0</v>
      </c>
      <c r="DL133" s="363">
        <v>0</v>
      </c>
      <c r="DM133" s="363">
        <v>0</v>
      </c>
      <c r="DN133" s="363">
        <v>0</v>
      </c>
      <c r="DO133" s="363">
        <v>0</v>
      </c>
      <c r="DP133" s="363">
        <v>0</v>
      </c>
      <c r="DQ133" s="363">
        <v>0</v>
      </c>
      <c r="DR133" s="363">
        <v>0</v>
      </c>
      <c r="DS133" s="363">
        <v>0</v>
      </c>
      <c r="DT133" s="363">
        <v>0</v>
      </c>
      <c r="DU133" s="363">
        <v>0</v>
      </c>
      <c r="DV133" s="363">
        <v>0</v>
      </c>
      <c r="DW133" s="435">
        <v>0</v>
      </c>
      <c r="DX133" s="435">
        <v>0</v>
      </c>
      <c r="DY133" s="435">
        <v>0</v>
      </c>
      <c r="DZ133" s="435">
        <v>0</v>
      </c>
      <c r="EA133" s="363">
        <v>0</v>
      </c>
      <c r="EB133" s="435">
        <v>0</v>
      </c>
      <c r="EC133" s="435">
        <v>0</v>
      </c>
      <c r="ED133" s="435">
        <v>0</v>
      </c>
      <c r="EE133" s="435">
        <v>0</v>
      </c>
      <c r="EF133" s="363">
        <v>0</v>
      </c>
      <c r="EG133" s="364">
        <v>0</v>
      </c>
      <c r="EH133" s="364">
        <v>0</v>
      </c>
      <c r="EI133" s="364">
        <v>0</v>
      </c>
      <c r="EJ133" s="365">
        <v>0</v>
      </c>
      <c r="EK133" s="365">
        <v>0</v>
      </c>
      <c r="EL133" s="365">
        <v>0</v>
      </c>
      <c r="EM133" s="365">
        <v>0</v>
      </c>
      <c r="EN133" s="365">
        <v>0</v>
      </c>
      <c r="EO133" s="365">
        <v>0</v>
      </c>
      <c r="EP133" s="365">
        <v>0</v>
      </c>
      <c r="EQ133" s="365">
        <v>0</v>
      </c>
      <c r="ER133" s="365">
        <v>0</v>
      </c>
      <c r="ES133" s="365">
        <v>0</v>
      </c>
      <c r="ET133" s="365">
        <v>0</v>
      </c>
      <c r="EU133" s="365">
        <v>0</v>
      </c>
      <c r="EV133" s="436">
        <v>0</v>
      </c>
      <c r="EW133" s="436">
        <v>0</v>
      </c>
      <c r="EX133" s="436">
        <v>0</v>
      </c>
      <c r="EY133" s="436">
        <v>0</v>
      </c>
      <c r="EZ133" s="365">
        <v>0</v>
      </c>
      <c r="FA133" s="436">
        <v>0</v>
      </c>
      <c r="FB133" s="436">
        <v>0</v>
      </c>
      <c r="FC133" s="436">
        <v>0</v>
      </c>
      <c r="FD133" s="436">
        <v>0</v>
      </c>
      <c r="FE133" s="365">
        <v>0</v>
      </c>
      <c r="FF133" s="364">
        <v>0</v>
      </c>
      <c r="FG133" s="364">
        <v>0</v>
      </c>
      <c r="FH133" s="364">
        <v>0</v>
      </c>
      <c r="FI133" s="365">
        <v>0</v>
      </c>
      <c r="FJ133" s="365">
        <v>0</v>
      </c>
      <c r="FK133" s="365">
        <v>0</v>
      </c>
      <c r="FL133" s="365">
        <v>0</v>
      </c>
      <c r="FM133" s="365">
        <v>0</v>
      </c>
      <c r="FN133" s="365">
        <v>0</v>
      </c>
      <c r="FO133" s="365">
        <v>0</v>
      </c>
      <c r="FP133" s="365">
        <v>0</v>
      </c>
      <c r="FQ133" s="365">
        <v>0</v>
      </c>
      <c r="FR133" s="365">
        <v>0</v>
      </c>
      <c r="FS133" s="365">
        <v>0</v>
      </c>
      <c r="FT133" s="365">
        <v>0</v>
      </c>
      <c r="FU133" s="436">
        <v>0</v>
      </c>
      <c r="FV133" s="436">
        <v>0</v>
      </c>
      <c r="FW133" s="436">
        <v>0</v>
      </c>
      <c r="FX133" s="436">
        <v>0</v>
      </c>
      <c r="FY133" s="365">
        <v>0</v>
      </c>
      <c r="FZ133" s="436">
        <v>0</v>
      </c>
      <c r="GA133" s="436">
        <v>0</v>
      </c>
      <c r="GB133" s="436">
        <v>0</v>
      </c>
      <c r="GC133" s="436">
        <v>0</v>
      </c>
      <c r="GD133" s="365">
        <v>0</v>
      </c>
    </row>
    <row r="134" spans="1:186" ht="15" x14ac:dyDescent="0.25">
      <c r="A134" s="357">
        <v>121</v>
      </c>
      <c r="B134" s="357">
        <v>90</v>
      </c>
      <c r="C134" s="357" t="s">
        <v>1044</v>
      </c>
      <c r="D134" s="2">
        <v>99705</v>
      </c>
      <c r="E134" s="268" t="s">
        <v>218</v>
      </c>
      <c r="F134" s="358" t="s">
        <v>985</v>
      </c>
      <c r="G134" s="49">
        <v>536</v>
      </c>
      <c r="H134" s="49">
        <v>180</v>
      </c>
      <c r="I134" s="49">
        <v>169</v>
      </c>
      <c r="J134" s="49">
        <v>11</v>
      </c>
      <c r="K134" s="49">
        <v>1</v>
      </c>
      <c r="L134" s="49">
        <v>211</v>
      </c>
      <c r="M134" s="49">
        <v>212</v>
      </c>
      <c r="N134" s="49">
        <v>2</v>
      </c>
      <c r="O134" s="49">
        <v>0</v>
      </c>
      <c r="P134" s="49">
        <v>0</v>
      </c>
      <c r="Q134" s="49">
        <v>214</v>
      </c>
      <c r="R134" s="49">
        <v>2654</v>
      </c>
      <c r="S134" s="49">
        <v>2404.2559241706163</v>
      </c>
      <c r="T134" s="49">
        <v>2405.4339622641514</v>
      </c>
      <c r="U134" s="49">
        <v>10195.5</v>
      </c>
      <c r="V134" s="49">
        <v>0</v>
      </c>
      <c r="W134" s="49">
        <v>0</v>
      </c>
      <c r="X134" s="49">
        <v>2478.2383177570096</v>
      </c>
      <c r="Y134" s="434">
        <v>509952.00000000012</v>
      </c>
      <c r="Z134" s="434">
        <v>20391</v>
      </c>
      <c r="AA134" s="49">
        <v>0.84905660377358494</v>
      </c>
      <c r="AB134" s="49">
        <v>179.15094339622641</v>
      </c>
      <c r="AC134" s="49">
        <v>0</v>
      </c>
      <c r="AD134" s="285">
        <v>2</v>
      </c>
      <c r="AE134" s="285">
        <v>0</v>
      </c>
      <c r="AF134" s="359">
        <v>182</v>
      </c>
      <c r="AG134" s="360">
        <v>0.79716981132075471</v>
      </c>
      <c r="AH134" s="360">
        <v>168.20283018867923</v>
      </c>
      <c r="AI134" s="361">
        <v>168.99999999999997</v>
      </c>
      <c r="AJ134" s="360">
        <v>0</v>
      </c>
      <c r="AK134" s="360">
        <v>0.7880533303762024</v>
      </c>
      <c r="AL134" s="360">
        <v>166.27925270937868</v>
      </c>
      <c r="AM134" s="360">
        <v>167.0673060397549</v>
      </c>
      <c r="AN134" s="360">
        <v>0</v>
      </c>
      <c r="AO134" s="360">
        <v>0.74368950827397706</v>
      </c>
      <c r="AP134" s="360">
        <v>156.91848624580913</v>
      </c>
      <c r="AQ134" s="360">
        <v>157.66217575408311</v>
      </c>
      <c r="AR134" s="360">
        <v>0</v>
      </c>
      <c r="AS134" s="360">
        <v>1.8802153346698185</v>
      </c>
      <c r="AT134" s="360">
        <v>0</v>
      </c>
      <c r="AU134" s="360">
        <v>155.06380415211734</v>
      </c>
      <c r="AV134" s="360">
        <v>160.95369527901622</v>
      </c>
      <c r="AW134" s="360">
        <v>167.0673060397549</v>
      </c>
      <c r="AX134" s="360">
        <v>173.41313412529018</v>
      </c>
      <c r="AY134" s="360">
        <v>180</v>
      </c>
      <c r="AZ134" s="360">
        <v>147.08498025746388</v>
      </c>
      <c r="BA134" s="360">
        <v>152.28177175268914</v>
      </c>
      <c r="BB134" s="360">
        <v>157.66217575408311</v>
      </c>
      <c r="BC134" s="360">
        <v>163.23267963995457</v>
      </c>
      <c r="BD134" s="360">
        <v>168.99999999999997</v>
      </c>
      <c r="BE134" s="360">
        <v>1.7676048523637691</v>
      </c>
      <c r="BF134" s="360">
        <v>1.823040797418187</v>
      </c>
      <c r="BG134" s="360">
        <v>1.8802153346698185</v>
      </c>
      <c r="BH134" s="360">
        <v>1.9391829901635476</v>
      </c>
      <c r="BI134" s="360">
        <v>2</v>
      </c>
      <c r="BJ134" s="362">
        <v>182.93246917328688</v>
      </c>
      <c r="BK134" s="362">
        <v>185.91271265464198</v>
      </c>
      <c r="BL134" s="362">
        <v>188.94150875898575</v>
      </c>
      <c r="BM134" s="363">
        <v>187.6993012360719</v>
      </c>
      <c r="BN134" s="363">
        <v>186.46526068260866</v>
      </c>
      <c r="BO134" s="363">
        <v>185.86981675033388</v>
      </c>
      <c r="BP134" s="363">
        <v>185.27627426326765</v>
      </c>
      <c r="BQ134" s="363">
        <v>184.68462714947992</v>
      </c>
      <c r="BR134" s="363">
        <v>184.09486935643034</v>
      </c>
      <c r="BS134" s="363">
        <v>183.50699485090627</v>
      </c>
      <c r="BT134" s="363">
        <v>184.8643901886679</v>
      </c>
      <c r="BU134" s="363">
        <v>186.2318261360775</v>
      </c>
      <c r="BV134" s="363">
        <v>187.6093769632017</v>
      </c>
      <c r="BW134" s="363">
        <v>188.99711748948039</v>
      </c>
      <c r="BX134" s="363">
        <v>190.39512308779032</v>
      </c>
      <c r="BY134" s="435">
        <v>191.1625709648965</v>
      </c>
      <c r="BZ134" s="435">
        <v>191.93001884200268</v>
      </c>
      <c r="CA134" s="435">
        <v>192.69746671910886</v>
      </c>
      <c r="CB134" s="435">
        <v>193.46491459621504</v>
      </c>
      <c r="CC134" s="363">
        <v>194.23236247332122</v>
      </c>
      <c r="CD134" s="435">
        <v>194.86144290066343</v>
      </c>
      <c r="CE134" s="435">
        <v>195.49052332800562</v>
      </c>
      <c r="CF134" s="435">
        <v>196.11960375534784</v>
      </c>
      <c r="CG134" s="435">
        <v>196.74868418269003</v>
      </c>
      <c r="CH134" s="363">
        <v>197.37776461003224</v>
      </c>
      <c r="CI134" s="362">
        <v>171.75326272380821</v>
      </c>
      <c r="CJ134" s="362">
        <v>174.55138021463605</v>
      </c>
      <c r="CK134" s="362">
        <v>177.39508322371438</v>
      </c>
      <c r="CL134" s="363">
        <v>176.22878838275639</v>
      </c>
      <c r="CM134" s="363">
        <v>175.07016141867143</v>
      </c>
      <c r="CN134" s="363">
        <v>174.51110572670234</v>
      </c>
      <c r="CO134" s="363">
        <v>173.95383528051238</v>
      </c>
      <c r="CP134" s="363">
        <v>173.39834437923392</v>
      </c>
      <c r="CQ134" s="363">
        <v>172.84462734020403</v>
      </c>
      <c r="CR134" s="363">
        <v>172.29267849890644</v>
      </c>
      <c r="CS134" s="363">
        <v>173.56712189936039</v>
      </c>
      <c r="CT134" s="363">
        <v>174.85099231665052</v>
      </c>
      <c r="CU134" s="363">
        <v>176.14435948211712</v>
      </c>
      <c r="CV134" s="363">
        <v>177.44729364290103</v>
      </c>
      <c r="CW134" s="363">
        <v>178.75986556575867</v>
      </c>
      <c r="CX134" s="435">
        <v>179.48041385037504</v>
      </c>
      <c r="CY134" s="435">
        <v>180.20096213499139</v>
      </c>
      <c r="CZ134" s="435">
        <v>180.92151041960776</v>
      </c>
      <c r="DA134" s="435">
        <v>181.6420587042241</v>
      </c>
      <c r="DB134" s="363">
        <v>182.36260698884047</v>
      </c>
      <c r="DC134" s="435">
        <v>182.95324361228953</v>
      </c>
      <c r="DD134" s="435">
        <v>183.54388023573861</v>
      </c>
      <c r="DE134" s="435">
        <v>184.13451685918767</v>
      </c>
      <c r="DF134" s="435">
        <v>184.72515348263676</v>
      </c>
      <c r="DG134" s="363">
        <v>185.31579010608581</v>
      </c>
      <c r="DH134" s="362">
        <v>2.0325829908142987</v>
      </c>
      <c r="DI134" s="362">
        <v>2.0656968072737998</v>
      </c>
      <c r="DJ134" s="362">
        <v>2.099350097322064</v>
      </c>
      <c r="DK134" s="363">
        <v>2.0855477915119103</v>
      </c>
      <c r="DL134" s="363">
        <v>2.0718362298067632</v>
      </c>
      <c r="DM134" s="363">
        <v>2.0652201861148209</v>
      </c>
      <c r="DN134" s="363">
        <v>2.0586252695918628</v>
      </c>
      <c r="DO134" s="363">
        <v>2.0520514127719993</v>
      </c>
      <c r="DP134" s="363">
        <v>2.0454985484047818</v>
      </c>
      <c r="DQ134" s="363">
        <v>2.0389666094545142</v>
      </c>
      <c r="DR134" s="363">
        <v>2.0540487798740878</v>
      </c>
      <c r="DS134" s="363">
        <v>2.0692425126230836</v>
      </c>
      <c r="DT134" s="363">
        <v>2.0845486329244634</v>
      </c>
      <c r="DU134" s="363">
        <v>2.0999679721053379</v>
      </c>
      <c r="DV134" s="363">
        <v>2.1155013676421146</v>
      </c>
      <c r="DW134" s="435">
        <v>2.1240285662766278</v>
      </c>
      <c r="DX134" s="435">
        <v>2.1325557649111411</v>
      </c>
      <c r="DY134" s="435">
        <v>2.1410829635456539</v>
      </c>
      <c r="DZ134" s="435">
        <v>2.1496101621801671</v>
      </c>
      <c r="EA134" s="363">
        <v>2.1581373608146803</v>
      </c>
      <c r="EB134" s="435">
        <v>2.1651271433407047</v>
      </c>
      <c r="EC134" s="435">
        <v>2.1721169258667294</v>
      </c>
      <c r="ED134" s="435">
        <v>2.1791067083927538</v>
      </c>
      <c r="EE134" s="435">
        <v>2.1860964909187786</v>
      </c>
      <c r="EF134" s="363">
        <v>2.1930862734448029</v>
      </c>
      <c r="EG134" s="364">
        <v>0</v>
      </c>
      <c r="EH134" s="364">
        <v>0</v>
      </c>
      <c r="EI134" s="364">
        <v>0</v>
      </c>
      <c r="EJ134" s="365">
        <v>0</v>
      </c>
      <c r="EK134" s="365">
        <v>0</v>
      </c>
      <c r="EL134" s="365">
        <v>0</v>
      </c>
      <c r="EM134" s="365">
        <v>0</v>
      </c>
      <c r="EN134" s="365">
        <v>0</v>
      </c>
      <c r="EO134" s="365">
        <v>0</v>
      </c>
      <c r="EP134" s="365">
        <v>0</v>
      </c>
      <c r="EQ134" s="365">
        <v>0</v>
      </c>
      <c r="ER134" s="365">
        <v>0</v>
      </c>
      <c r="ES134" s="365">
        <v>0</v>
      </c>
      <c r="ET134" s="365">
        <v>0</v>
      </c>
      <c r="EU134" s="365">
        <v>0</v>
      </c>
      <c r="EV134" s="436">
        <v>0</v>
      </c>
      <c r="EW134" s="436">
        <v>0</v>
      </c>
      <c r="EX134" s="436">
        <v>0</v>
      </c>
      <c r="EY134" s="436">
        <v>0</v>
      </c>
      <c r="EZ134" s="365">
        <v>0</v>
      </c>
      <c r="FA134" s="436">
        <v>0</v>
      </c>
      <c r="FB134" s="436">
        <v>0</v>
      </c>
      <c r="FC134" s="436">
        <v>0</v>
      </c>
      <c r="FD134" s="436">
        <v>0</v>
      </c>
      <c r="FE134" s="365">
        <v>0</v>
      </c>
      <c r="FF134" s="364">
        <v>0</v>
      </c>
      <c r="FG134" s="364">
        <v>0</v>
      </c>
      <c r="FH134" s="364">
        <v>0</v>
      </c>
      <c r="FI134" s="365">
        <v>0</v>
      </c>
      <c r="FJ134" s="365">
        <v>0</v>
      </c>
      <c r="FK134" s="365">
        <v>0</v>
      </c>
      <c r="FL134" s="365">
        <v>0</v>
      </c>
      <c r="FM134" s="365">
        <v>0</v>
      </c>
      <c r="FN134" s="365">
        <v>0</v>
      </c>
      <c r="FO134" s="365">
        <v>0</v>
      </c>
      <c r="FP134" s="365">
        <v>0</v>
      </c>
      <c r="FQ134" s="365">
        <v>0</v>
      </c>
      <c r="FR134" s="365">
        <v>0</v>
      </c>
      <c r="FS134" s="365">
        <v>0</v>
      </c>
      <c r="FT134" s="365">
        <v>0</v>
      </c>
      <c r="FU134" s="436">
        <v>0</v>
      </c>
      <c r="FV134" s="436">
        <v>0</v>
      </c>
      <c r="FW134" s="436">
        <v>0</v>
      </c>
      <c r="FX134" s="436">
        <v>0</v>
      </c>
      <c r="FY134" s="365">
        <v>0</v>
      </c>
      <c r="FZ134" s="436">
        <v>0</v>
      </c>
      <c r="GA134" s="436">
        <v>0</v>
      </c>
      <c r="GB134" s="436">
        <v>0</v>
      </c>
      <c r="GC134" s="436">
        <v>0</v>
      </c>
      <c r="GD134" s="365">
        <v>0</v>
      </c>
    </row>
    <row r="135" spans="1:186" ht="15" x14ac:dyDescent="0.25">
      <c r="A135" s="357">
        <v>122</v>
      </c>
      <c r="B135" s="357">
        <v>90</v>
      </c>
      <c r="C135" s="357" t="s">
        <v>1045</v>
      </c>
      <c r="D135" s="2">
        <v>99705</v>
      </c>
      <c r="E135" s="268" t="s">
        <v>218</v>
      </c>
      <c r="F135" s="358" t="s">
        <v>985</v>
      </c>
      <c r="G135" s="49">
        <v>204</v>
      </c>
      <c r="H135" s="49">
        <v>77</v>
      </c>
      <c r="I135" s="49">
        <v>70</v>
      </c>
      <c r="J135" s="49">
        <v>7</v>
      </c>
      <c r="K135" s="49">
        <v>0</v>
      </c>
      <c r="L135" s="49">
        <v>46</v>
      </c>
      <c r="M135" s="49">
        <v>46</v>
      </c>
      <c r="N135" s="49">
        <v>0</v>
      </c>
      <c r="O135" s="49">
        <v>0</v>
      </c>
      <c r="P135" s="49">
        <v>0</v>
      </c>
      <c r="Q135" s="49">
        <v>46</v>
      </c>
      <c r="R135" s="49">
        <v>0</v>
      </c>
      <c r="S135" s="49">
        <v>2494.717391304348</v>
      </c>
      <c r="T135" s="49">
        <v>2494.717391304348</v>
      </c>
      <c r="U135" s="49">
        <v>0</v>
      </c>
      <c r="V135" s="49">
        <v>0</v>
      </c>
      <c r="W135" s="49">
        <v>0</v>
      </c>
      <c r="X135" s="49">
        <v>2494.717391304348</v>
      </c>
      <c r="Y135" s="434">
        <v>114757</v>
      </c>
      <c r="Z135" s="434">
        <v>0</v>
      </c>
      <c r="AA135" s="49">
        <v>0</v>
      </c>
      <c r="AB135" s="49">
        <v>77</v>
      </c>
      <c r="AC135" s="49">
        <v>0</v>
      </c>
      <c r="AD135" s="285">
        <v>0</v>
      </c>
      <c r="AE135" s="285">
        <v>0</v>
      </c>
      <c r="AF135" s="359">
        <v>77</v>
      </c>
      <c r="AG135" s="360">
        <v>0</v>
      </c>
      <c r="AH135" s="360">
        <v>70</v>
      </c>
      <c r="AI135" s="361">
        <v>70</v>
      </c>
      <c r="AJ135" s="360">
        <v>0</v>
      </c>
      <c r="AK135" s="360">
        <v>0</v>
      </c>
      <c r="AL135" s="360">
        <v>71.467680917006263</v>
      </c>
      <c r="AM135" s="360">
        <v>71.467680917006263</v>
      </c>
      <c r="AN135" s="360">
        <v>0</v>
      </c>
      <c r="AO135" s="360">
        <v>0</v>
      </c>
      <c r="AP135" s="360">
        <v>65.303859779797747</v>
      </c>
      <c r="AQ135" s="360">
        <v>65.303859779797747</v>
      </c>
      <c r="AR135" s="360">
        <v>0</v>
      </c>
      <c r="AS135" s="360">
        <v>0</v>
      </c>
      <c r="AT135" s="360">
        <v>0</v>
      </c>
      <c r="AU135" s="360">
        <v>66.33284955396131</v>
      </c>
      <c r="AV135" s="360">
        <v>68.852414091579163</v>
      </c>
      <c r="AW135" s="360">
        <v>71.467680917006263</v>
      </c>
      <c r="AX135" s="360">
        <v>74.182285153596354</v>
      </c>
      <c r="AY135" s="360">
        <v>77</v>
      </c>
      <c r="AZ135" s="360">
        <v>60.922772887706941</v>
      </c>
      <c r="BA135" s="360">
        <v>63.075290075078357</v>
      </c>
      <c r="BB135" s="360">
        <v>65.303859779797747</v>
      </c>
      <c r="BC135" s="360">
        <v>67.611169081637996</v>
      </c>
      <c r="BD135" s="360">
        <v>70</v>
      </c>
      <c r="BE135" s="360">
        <v>0</v>
      </c>
      <c r="BF135" s="360">
        <v>0</v>
      </c>
      <c r="BG135" s="360">
        <v>0</v>
      </c>
      <c r="BH135" s="360">
        <v>0</v>
      </c>
      <c r="BI135" s="360">
        <v>0</v>
      </c>
      <c r="BJ135" s="362">
        <v>78.254445146350506</v>
      </c>
      <c r="BK135" s="362">
        <v>79.529327080041298</v>
      </c>
      <c r="BL135" s="362">
        <v>80.824978746899461</v>
      </c>
      <c r="BM135" s="363">
        <v>80.29358997320854</v>
      </c>
      <c r="BN135" s="363">
        <v>79.765694847560368</v>
      </c>
      <c r="BO135" s="363">
        <v>79.510977165420599</v>
      </c>
      <c r="BP135" s="363">
        <v>79.25707287928671</v>
      </c>
      <c r="BQ135" s="363">
        <v>79.00397939172197</v>
      </c>
      <c r="BR135" s="363">
        <v>78.751694113584094</v>
      </c>
      <c r="BS135" s="363">
        <v>78.500214463998802</v>
      </c>
      <c r="BT135" s="363">
        <v>79.080878025152373</v>
      </c>
      <c r="BU135" s="363">
        <v>79.665836735988705</v>
      </c>
      <c r="BV135" s="363">
        <v>80.255122367591838</v>
      </c>
      <c r="BW135" s="363">
        <v>80.848766926055504</v>
      </c>
      <c r="BX135" s="363">
        <v>81.446802654221415</v>
      </c>
      <c r="BY135" s="435">
        <v>81.775099801650171</v>
      </c>
      <c r="BZ135" s="435">
        <v>82.103396949078927</v>
      </c>
      <c r="CA135" s="435">
        <v>82.431694096507684</v>
      </c>
      <c r="CB135" s="435">
        <v>82.75999124393644</v>
      </c>
      <c r="CC135" s="363">
        <v>83.088288391365197</v>
      </c>
      <c r="CD135" s="435">
        <v>83.35739501861714</v>
      </c>
      <c r="CE135" s="435">
        <v>83.626501645869084</v>
      </c>
      <c r="CF135" s="435">
        <v>83.895608273121027</v>
      </c>
      <c r="CG135" s="435">
        <v>84.164714900372971</v>
      </c>
      <c r="CH135" s="363">
        <v>84.433821527624914</v>
      </c>
      <c r="CI135" s="362">
        <v>71.14040467850046</v>
      </c>
      <c r="CJ135" s="362">
        <v>72.299388254582993</v>
      </c>
      <c r="CK135" s="362">
        <v>73.47725340627224</v>
      </c>
      <c r="CL135" s="363">
        <v>72.994172702916856</v>
      </c>
      <c r="CM135" s="363">
        <v>72.514268043236697</v>
      </c>
      <c r="CN135" s="363">
        <v>72.282706514018727</v>
      </c>
      <c r="CO135" s="363">
        <v>72.051884435715195</v>
      </c>
      <c r="CP135" s="363">
        <v>71.82179944701997</v>
      </c>
      <c r="CQ135" s="363">
        <v>71.592449194167358</v>
      </c>
      <c r="CR135" s="363">
        <v>71.363831330907999</v>
      </c>
      <c r="CS135" s="363">
        <v>71.891707295593065</v>
      </c>
      <c r="CT135" s="363">
        <v>72.42348794180792</v>
      </c>
      <c r="CU135" s="363">
        <v>72.959202152356227</v>
      </c>
      <c r="CV135" s="363">
        <v>73.498879023686825</v>
      </c>
      <c r="CW135" s="363">
        <v>74.042547867474013</v>
      </c>
      <c r="CX135" s="435">
        <v>74.340999819681969</v>
      </c>
      <c r="CY135" s="435">
        <v>74.639451771889938</v>
      </c>
      <c r="CZ135" s="435">
        <v>74.937903724097893</v>
      </c>
      <c r="DA135" s="435">
        <v>75.236355676305863</v>
      </c>
      <c r="DB135" s="363">
        <v>75.534807628513818</v>
      </c>
      <c r="DC135" s="435">
        <v>75.77945001692467</v>
      </c>
      <c r="DD135" s="435">
        <v>76.024092405335537</v>
      </c>
      <c r="DE135" s="435">
        <v>76.26873479374639</v>
      </c>
      <c r="DF135" s="435">
        <v>76.513377182157257</v>
      </c>
      <c r="DG135" s="363">
        <v>76.758019570568109</v>
      </c>
      <c r="DH135" s="362">
        <v>0</v>
      </c>
      <c r="DI135" s="362">
        <v>0</v>
      </c>
      <c r="DJ135" s="362">
        <v>0</v>
      </c>
      <c r="DK135" s="363">
        <v>0</v>
      </c>
      <c r="DL135" s="363">
        <v>0</v>
      </c>
      <c r="DM135" s="363">
        <v>0</v>
      </c>
      <c r="DN135" s="363">
        <v>0</v>
      </c>
      <c r="DO135" s="363">
        <v>0</v>
      </c>
      <c r="DP135" s="363">
        <v>0</v>
      </c>
      <c r="DQ135" s="363">
        <v>0</v>
      </c>
      <c r="DR135" s="363">
        <v>0</v>
      </c>
      <c r="DS135" s="363">
        <v>0</v>
      </c>
      <c r="DT135" s="363">
        <v>0</v>
      </c>
      <c r="DU135" s="363">
        <v>0</v>
      </c>
      <c r="DV135" s="363">
        <v>0</v>
      </c>
      <c r="DW135" s="435">
        <v>0</v>
      </c>
      <c r="DX135" s="435">
        <v>0</v>
      </c>
      <c r="DY135" s="435">
        <v>0</v>
      </c>
      <c r="DZ135" s="435">
        <v>0</v>
      </c>
      <c r="EA135" s="363">
        <v>0</v>
      </c>
      <c r="EB135" s="435">
        <v>0</v>
      </c>
      <c r="EC135" s="435">
        <v>0</v>
      </c>
      <c r="ED135" s="435">
        <v>0</v>
      </c>
      <c r="EE135" s="435">
        <v>0</v>
      </c>
      <c r="EF135" s="363">
        <v>0</v>
      </c>
      <c r="EG135" s="364">
        <v>0</v>
      </c>
      <c r="EH135" s="364">
        <v>0</v>
      </c>
      <c r="EI135" s="364">
        <v>0</v>
      </c>
      <c r="EJ135" s="365">
        <v>0</v>
      </c>
      <c r="EK135" s="365">
        <v>0</v>
      </c>
      <c r="EL135" s="365">
        <v>0</v>
      </c>
      <c r="EM135" s="365">
        <v>0</v>
      </c>
      <c r="EN135" s="365">
        <v>0</v>
      </c>
      <c r="EO135" s="365">
        <v>0</v>
      </c>
      <c r="EP135" s="365">
        <v>0</v>
      </c>
      <c r="EQ135" s="365">
        <v>0</v>
      </c>
      <c r="ER135" s="365">
        <v>0</v>
      </c>
      <c r="ES135" s="365">
        <v>0</v>
      </c>
      <c r="ET135" s="365">
        <v>0</v>
      </c>
      <c r="EU135" s="365">
        <v>0</v>
      </c>
      <c r="EV135" s="436">
        <v>0</v>
      </c>
      <c r="EW135" s="436">
        <v>0</v>
      </c>
      <c r="EX135" s="436">
        <v>0</v>
      </c>
      <c r="EY135" s="436">
        <v>0</v>
      </c>
      <c r="EZ135" s="365">
        <v>0</v>
      </c>
      <c r="FA135" s="436">
        <v>0</v>
      </c>
      <c r="FB135" s="436">
        <v>0</v>
      </c>
      <c r="FC135" s="436">
        <v>0</v>
      </c>
      <c r="FD135" s="436">
        <v>0</v>
      </c>
      <c r="FE135" s="365">
        <v>0</v>
      </c>
      <c r="FF135" s="364">
        <v>0</v>
      </c>
      <c r="FG135" s="364">
        <v>0</v>
      </c>
      <c r="FH135" s="364">
        <v>0</v>
      </c>
      <c r="FI135" s="365">
        <v>0</v>
      </c>
      <c r="FJ135" s="365">
        <v>0</v>
      </c>
      <c r="FK135" s="365">
        <v>0</v>
      </c>
      <c r="FL135" s="365">
        <v>0</v>
      </c>
      <c r="FM135" s="365">
        <v>0</v>
      </c>
      <c r="FN135" s="365">
        <v>0</v>
      </c>
      <c r="FO135" s="365">
        <v>0</v>
      </c>
      <c r="FP135" s="365">
        <v>0</v>
      </c>
      <c r="FQ135" s="365">
        <v>0</v>
      </c>
      <c r="FR135" s="365">
        <v>0</v>
      </c>
      <c r="FS135" s="365">
        <v>0</v>
      </c>
      <c r="FT135" s="365">
        <v>0</v>
      </c>
      <c r="FU135" s="436">
        <v>0</v>
      </c>
      <c r="FV135" s="436">
        <v>0</v>
      </c>
      <c r="FW135" s="436">
        <v>0</v>
      </c>
      <c r="FX135" s="436">
        <v>0</v>
      </c>
      <c r="FY135" s="365">
        <v>0</v>
      </c>
      <c r="FZ135" s="436">
        <v>0</v>
      </c>
      <c r="GA135" s="436">
        <v>0</v>
      </c>
      <c r="GB135" s="436">
        <v>0</v>
      </c>
      <c r="GC135" s="436">
        <v>0</v>
      </c>
      <c r="GD135" s="365">
        <v>0</v>
      </c>
    </row>
    <row r="136" spans="1:186" ht="15" x14ac:dyDescent="0.25">
      <c r="A136" s="357">
        <v>123</v>
      </c>
      <c r="B136" s="357">
        <v>90</v>
      </c>
      <c r="C136" s="357" t="s">
        <v>1046</v>
      </c>
      <c r="D136" s="2">
        <v>99705</v>
      </c>
      <c r="E136" s="268" t="s">
        <v>218</v>
      </c>
      <c r="F136" s="358" t="s">
        <v>985</v>
      </c>
      <c r="G136" s="49">
        <v>11</v>
      </c>
      <c r="H136" s="49">
        <v>6</v>
      </c>
      <c r="I136" s="49">
        <v>6</v>
      </c>
      <c r="J136" s="49">
        <v>0</v>
      </c>
      <c r="K136" s="49">
        <v>0</v>
      </c>
      <c r="L136" s="49">
        <v>53</v>
      </c>
      <c r="M136" s="49">
        <v>53</v>
      </c>
      <c r="N136" s="49">
        <v>1</v>
      </c>
      <c r="O136" s="49">
        <v>0</v>
      </c>
      <c r="P136" s="49">
        <v>0</v>
      </c>
      <c r="Q136" s="49">
        <v>54</v>
      </c>
      <c r="R136" s="49">
        <v>0</v>
      </c>
      <c r="S136" s="49">
        <v>1868.8490566037735</v>
      </c>
      <c r="T136" s="49">
        <v>1868.8490566037735</v>
      </c>
      <c r="U136" s="49">
        <v>4064</v>
      </c>
      <c r="V136" s="49">
        <v>0</v>
      </c>
      <c r="W136" s="49">
        <v>0</v>
      </c>
      <c r="X136" s="49">
        <v>1909.5</v>
      </c>
      <c r="Y136" s="434">
        <v>99049</v>
      </c>
      <c r="Z136" s="434">
        <v>4064</v>
      </c>
      <c r="AA136" s="49">
        <v>0</v>
      </c>
      <c r="AB136" s="49">
        <v>6</v>
      </c>
      <c r="AC136" s="49">
        <v>0</v>
      </c>
      <c r="AD136" s="285">
        <v>1</v>
      </c>
      <c r="AE136" s="285">
        <v>0</v>
      </c>
      <c r="AF136" s="359">
        <v>7</v>
      </c>
      <c r="AG136" s="360">
        <v>0</v>
      </c>
      <c r="AH136" s="360">
        <v>6</v>
      </c>
      <c r="AI136" s="361">
        <v>6</v>
      </c>
      <c r="AJ136" s="360">
        <v>0</v>
      </c>
      <c r="AK136" s="360">
        <v>0</v>
      </c>
      <c r="AL136" s="360">
        <v>5.5689102013251635</v>
      </c>
      <c r="AM136" s="360">
        <v>5.5689102013251635</v>
      </c>
      <c r="AN136" s="360">
        <v>0</v>
      </c>
      <c r="AO136" s="360">
        <v>0</v>
      </c>
      <c r="AP136" s="360">
        <v>5.5974736954112361</v>
      </c>
      <c r="AQ136" s="360">
        <v>5.5974736954112361</v>
      </c>
      <c r="AR136" s="360">
        <v>0</v>
      </c>
      <c r="AS136" s="360">
        <v>0.94010766733490925</v>
      </c>
      <c r="AT136" s="360">
        <v>0</v>
      </c>
      <c r="AU136" s="360">
        <v>5.1687934717372448</v>
      </c>
      <c r="AV136" s="360">
        <v>5.3651231759672076</v>
      </c>
      <c r="AW136" s="360">
        <v>5.5689102013251635</v>
      </c>
      <c r="AX136" s="360">
        <v>5.7804378041763389</v>
      </c>
      <c r="AY136" s="360">
        <v>6</v>
      </c>
      <c r="AZ136" s="360">
        <v>5.2219519618034527</v>
      </c>
      <c r="BA136" s="360">
        <v>5.4064534350067159</v>
      </c>
      <c r="BB136" s="360">
        <v>5.5974736954112361</v>
      </c>
      <c r="BC136" s="360">
        <v>5.7952430641403998</v>
      </c>
      <c r="BD136" s="360">
        <v>6</v>
      </c>
      <c r="BE136" s="360">
        <v>0.88380242618188454</v>
      </c>
      <c r="BF136" s="360">
        <v>0.91152039870909352</v>
      </c>
      <c r="BG136" s="360">
        <v>0.94010766733490925</v>
      </c>
      <c r="BH136" s="360">
        <v>0.96959149508177378</v>
      </c>
      <c r="BI136" s="360">
        <v>1</v>
      </c>
      <c r="BJ136" s="362">
        <v>6.0977489724428962</v>
      </c>
      <c r="BK136" s="362">
        <v>6.1970904218213994</v>
      </c>
      <c r="BL136" s="362">
        <v>6.2980502919661916</v>
      </c>
      <c r="BM136" s="363">
        <v>6.2566433745357299</v>
      </c>
      <c r="BN136" s="363">
        <v>6.2155086894202887</v>
      </c>
      <c r="BO136" s="363">
        <v>6.1956605583444624</v>
      </c>
      <c r="BP136" s="363">
        <v>6.1758758087755883</v>
      </c>
      <c r="BQ136" s="363">
        <v>6.1561542383159971</v>
      </c>
      <c r="BR136" s="363">
        <v>6.1364956452143442</v>
      </c>
      <c r="BS136" s="363">
        <v>6.1168998283635423</v>
      </c>
      <c r="BT136" s="363">
        <v>6.1621463396222627</v>
      </c>
      <c r="BU136" s="363">
        <v>6.2077275378692498</v>
      </c>
      <c r="BV136" s="363">
        <v>6.2536458987733896</v>
      </c>
      <c r="BW136" s="363">
        <v>6.2999039163160129</v>
      </c>
      <c r="BX136" s="363">
        <v>6.3465041029263443</v>
      </c>
      <c r="BY136" s="435">
        <v>6.372085698829884</v>
      </c>
      <c r="BZ136" s="435">
        <v>6.3976672947334228</v>
      </c>
      <c r="CA136" s="435">
        <v>6.4232488906369625</v>
      </c>
      <c r="CB136" s="435">
        <v>6.4488304865405013</v>
      </c>
      <c r="CC136" s="363">
        <v>6.474412082444041</v>
      </c>
      <c r="CD136" s="435">
        <v>6.4953814300221149</v>
      </c>
      <c r="CE136" s="435">
        <v>6.5163507776001879</v>
      </c>
      <c r="CF136" s="435">
        <v>6.5373201251782618</v>
      </c>
      <c r="CG136" s="435">
        <v>6.5582894727563348</v>
      </c>
      <c r="CH136" s="363">
        <v>6.5792588203344087</v>
      </c>
      <c r="CI136" s="362">
        <v>6.0977489724428962</v>
      </c>
      <c r="CJ136" s="362">
        <v>6.1970904218213994</v>
      </c>
      <c r="CK136" s="362">
        <v>6.2980502919661916</v>
      </c>
      <c r="CL136" s="363">
        <v>6.2566433745357299</v>
      </c>
      <c r="CM136" s="363">
        <v>6.2155086894202887</v>
      </c>
      <c r="CN136" s="363">
        <v>6.1956605583444624</v>
      </c>
      <c r="CO136" s="363">
        <v>6.1758758087755883</v>
      </c>
      <c r="CP136" s="363">
        <v>6.1561542383159971</v>
      </c>
      <c r="CQ136" s="363">
        <v>6.1364956452143442</v>
      </c>
      <c r="CR136" s="363">
        <v>6.1168998283635423</v>
      </c>
      <c r="CS136" s="363">
        <v>6.1621463396222627</v>
      </c>
      <c r="CT136" s="363">
        <v>6.2077275378692498</v>
      </c>
      <c r="CU136" s="363">
        <v>6.2536458987733896</v>
      </c>
      <c r="CV136" s="363">
        <v>6.2999039163160129</v>
      </c>
      <c r="CW136" s="363">
        <v>6.3465041029263443</v>
      </c>
      <c r="CX136" s="435">
        <v>6.372085698829884</v>
      </c>
      <c r="CY136" s="435">
        <v>6.3976672947334228</v>
      </c>
      <c r="CZ136" s="435">
        <v>6.4232488906369625</v>
      </c>
      <c r="DA136" s="435">
        <v>6.4488304865405013</v>
      </c>
      <c r="DB136" s="363">
        <v>6.474412082444041</v>
      </c>
      <c r="DC136" s="435">
        <v>6.4953814300221149</v>
      </c>
      <c r="DD136" s="435">
        <v>6.5163507776001879</v>
      </c>
      <c r="DE136" s="435">
        <v>6.5373201251782618</v>
      </c>
      <c r="DF136" s="435">
        <v>6.5582894727563348</v>
      </c>
      <c r="DG136" s="363">
        <v>6.5792588203344087</v>
      </c>
      <c r="DH136" s="362">
        <v>1.0162914954071494</v>
      </c>
      <c r="DI136" s="362">
        <v>1.0328484036368999</v>
      </c>
      <c r="DJ136" s="362">
        <v>1.049675048661032</v>
      </c>
      <c r="DK136" s="363">
        <v>1.0427738957559551</v>
      </c>
      <c r="DL136" s="363">
        <v>1.0359181149033816</v>
      </c>
      <c r="DM136" s="363">
        <v>1.0326100930574105</v>
      </c>
      <c r="DN136" s="363">
        <v>1.0293126347959314</v>
      </c>
      <c r="DO136" s="363">
        <v>1.0260257063859997</v>
      </c>
      <c r="DP136" s="363">
        <v>1.0227492742023909</v>
      </c>
      <c r="DQ136" s="363">
        <v>1.0194833047272571</v>
      </c>
      <c r="DR136" s="363">
        <v>1.0270243899370439</v>
      </c>
      <c r="DS136" s="363">
        <v>1.0346212563115418</v>
      </c>
      <c r="DT136" s="363">
        <v>1.0422743164622317</v>
      </c>
      <c r="DU136" s="363">
        <v>1.049983986052669</v>
      </c>
      <c r="DV136" s="363">
        <v>1.0577506838210573</v>
      </c>
      <c r="DW136" s="435">
        <v>1.0620142831383139</v>
      </c>
      <c r="DX136" s="435">
        <v>1.0662778824555705</v>
      </c>
      <c r="DY136" s="435">
        <v>1.0705414817728269</v>
      </c>
      <c r="DZ136" s="435">
        <v>1.0748050810900835</v>
      </c>
      <c r="EA136" s="363">
        <v>1.0790686804073402</v>
      </c>
      <c r="EB136" s="435">
        <v>1.0825635716703523</v>
      </c>
      <c r="EC136" s="435">
        <v>1.0860584629333647</v>
      </c>
      <c r="ED136" s="435">
        <v>1.0895533541963769</v>
      </c>
      <c r="EE136" s="435">
        <v>1.0930482454593893</v>
      </c>
      <c r="EF136" s="363">
        <v>1.0965431367224014</v>
      </c>
      <c r="EG136" s="364">
        <v>0</v>
      </c>
      <c r="EH136" s="364">
        <v>0</v>
      </c>
      <c r="EI136" s="364">
        <v>0</v>
      </c>
      <c r="EJ136" s="365">
        <v>0</v>
      </c>
      <c r="EK136" s="365">
        <v>0</v>
      </c>
      <c r="EL136" s="365">
        <v>0</v>
      </c>
      <c r="EM136" s="365">
        <v>0</v>
      </c>
      <c r="EN136" s="365">
        <v>0</v>
      </c>
      <c r="EO136" s="365">
        <v>0</v>
      </c>
      <c r="EP136" s="365">
        <v>0</v>
      </c>
      <c r="EQ136" s="365">
        <v>0</v>
      </c>
      <c r="ER136" s="365">
        <v>0</v>
      </c>
      <c r="ES136" s="365">
        <v>0</v>
      </c>
      <c r="ET136" s="365">
        <v>0</v>
      </c>
      <c r="EU136" s="365">
        <v>0</v>
      </c>
      <c r="EV136" s="436">
        <v>0</v>
      </c>
      <c r="EW136" s="436">
        <v>0</v>
      </c>
      <c r="EX136" s="436">
        <v>0</v>
      </c>
      <c r="EY136" s="436">
        <v>0</v>
      </c>
      <c r="EZ136" s="365">
        <v>0</v>
      </c>
      <c r="FA136" s="436">
        <v>0</v>
      </c>
      <c r="FB136" s="436">
        <v>0</v>
      </c>
      <c r="FC136" s="436">
        <v>0</v>
      </c>
      <c r="FD136" s="436">
        <v>0</v>
      </c>
      <c r="FE136" s="365">
        <v>0</v>
      </c>
      <c r="FF136" s="364">
        <v>0</v>
      </c>
      <c r="FG136" s="364">
        <v>0</v>
      </c>
      <c r="FH136" s="364">
        <v>0</v>
      </c>
      <c r="FI136" s="365">
        <v>0</v>
      </c>
      <c r="FJ136" s="365">
        <v>0</v>
      </c>
      <c r="FK136" s="365">
        <v>0</v>
      </c>
      <c r="FL136" s="365">
        <v>0</v>
      </c>
      <c r="FM136" s="365">
        <v>0</v>
      </c>
      <c r="FN136" s="365">
        <v>0</v>
      </c>
      <c r="FO136" s="365">
        <v>0</v>
      </c>
      <c r="FP136" s="365">
        <v>0</v>
      </c>
      <c r="FQ136" s="365">
        <v>0</v>
      </c>
      <c r="FR136" s="365">
        <v>0</v>
      </c>
      <c r="FS136" s="365">
        <v>0</v>
      </c>
      <c r="FT136" s="365">
        <v>0</v>
      </c>
      <c r="FU136" s="436">
        <v>0</v>
      </c>
      <c r="FV136" s="436">
        <v>0</v>
      </c>
      <c r="FW136" s="436">
        <v>0</v>
      </c>
      <c r="FX136" s="436">
        <v>0</v>
      </c>
      <c r="FY136" s="365">
        <v>0</v>
      </c>
      <c r="FZ136" s="436">
        <v>0</v>
      </c>
      <c r="GA136" s="436">
        <v>0</v>
      </c>
      <c r="GB136" s="436">
        <v>0</v>
      </c>
      <c r="GC136" s="436">
        <v>0</v>
      </c>
      <c r="GD136" s="365">
        <v>0</v>
      </c>
    </row>
    <row r="137" spans="1:186" ht="15" x14ac:dyDescent="0.25">
      <c r="A137" s="357">
        <v>95</v>
      </c>
      <c r="B137" s="357">
        <v>91</v>
      </c>
      <c r="C137" s="357" t="s">
        <v>1047</v>
      </c>
      <c r="D137" s="2">
        <v>99709</v>
      </c>
      <c r="E137" s="268" t="s">
        <v>19</v>
      </c>
      <c r="F137" s="358" t="s">
        <v>915</v>
      </c>
      <c r="G137" s="49">
        <v>67</v>
      </c>
      <c r="H137" s="49">
        <v>28</v>
      </c>
      <c r="I137" s="49">
        <v>26</v>
      </c>
      <c r="J137" s="49">
        <v>2</v>
      </c>
      <c r="K137" s="49">
        <v>0</v>
      </c>
      <c r="L137" s="49">
        <v>0</v>
      </c>
      <c r="M137" s="49">
        <v>0</v>
      </c>
      <c r="N137" s="49">
        <v>0</v>
      </c>
      <c r="O137" s="49">
        <v>0</v>
      </c>
      <c r="P137" s="49">
        <v>0</v>
      </c>
      <c r="Q137" s="49">
        <v>0</v>
      </c>
      <c r="R137" s="49">
        <v>0</v>
      </c>
      <c r="S137" s="49">
        <v>834.49503068156923</v>
      </c>
      <c r="T137" s="49">
        <v>834.49503068156923</v>
      </c>
      <c r="U137" s="49">
        <v>1408.3846153846155</v>
      </c>
      <c r="V137" s="49">
        <v>0</v>
      </c>
      <c r="W137" s="49">
        <v>0</v>
      </c>
      <c r="X137" s="49">
        <v>1365.173957061457</v>
      </c>
      <c r="Y137" s="434">
        <v>0</v>
      </c>
      <c r="Z137" s="434">
        <v>0</v>
      </c>
      <c r="AA137" s="49">
        <v>0.64154539154539159</v>
      </c>
      <c r="AB137" s="49">
        <v>27.322072072072071</v>
      </c>
      <c r="AC137" s="49">
        <v>3.6382536382536385E-2</v>
      </c>
      <c r="AD137" s="285">
        <v>0</v>
      </c>
      <c r="AE137" s="285">
        <v>0</v>
      </c>
      <c r="AF137" s="359">
        <v>28</v>
      </c>
      <c r="AG137" s="360">
        <v>0.59572072072072069</v>
      </c>
      <c r="AH137" s="360">
        <v>25.370495495495497</v>
      </c>
      <c r="AI137" s="361">
        <v>25.966216216216218</v>
      </c>
      <c r="AJ137" s="360">
        <v>3.3783783783783786E-2</v>
      </c>
      <c r="AK137" s="360">
        <v>0.61085283033847182</v>
      </c>
      <c r="AL137" s="360">
        <v>26.014940292429923</v>
      </c>
      <c r="AM137" s="360">
        <v>26.625793122768396</v>
      </c>
      <c r="AN137" s="360">
        <v>3.4641937448306528E-2</v>
      </c>
      <c r="AO137" s="360">
        <v>0.56829053906197013</v>
      </c>
      <c r="AP137" s="360">
        <v>24.202301615363186</v>
      </c>
      <c r="AQ137" s="360">
        <v>24.770592154425156</v>
      </c>
      <c r="AR137" s="360">
        <v>3.2228196922228933E-2</v>
      </c>
      <c r="AS137" s="360">
        <v>0</v>
      </c>
      <c r="AT137" s="360">
        <v>0</v>
      </c>
      <c r="AU137" s="360">
        <v>25.351972445583261</v>
      </c>
      <c r="AV137" s="360">
        <v>25.981077221513054</v>
      </c>
      <c r="AW137" s="360">
        <v>26.625793122768396</v>
      </c>
      <c r="AX137" s="360">
        <v>27.28650753670231</v>
      </c>
      <c r="AY137" s="360">
        <v>27.963617463617464</v>
      </c>
      <c r="AZ137" s="360">
        <v>23.630021046257774</v>
      </c>
      <c r="BA137" s="360">
        <v>24.193586214890388</v>
      </c>
      <c r="BB137" s="360">
        <v>24.770592154425156</v>
      </c>
      <c r="BC137" s="360">
        <v>25.3613594210861</v>
      </c>
      <c r="BD137" s="360">
        <v>25.966216216216218</v>
      </c>
      <c r="BE137" s="360">
        <v>0</v>
      </c>
      <c r="BF137" s="360">
        <v>0</v>
      </c>
      <c r="BG137" s="360">
        <v>0</v>
      </c>
      <c r="BH137" s="360">
        <v>0</v>
      </c>
      <c r="BI137" s="360">
        <v>0</v>
      </c>
      <c r="BJ137" s="362">
        <v>28.106864701693933</v>
      </c>
      <c r="BK137" s="362">
        <v>28.250845742227945</v>
      </c>
      <c r="BL137" s="362">
        <v>28.395564344217252</v>
      </c>
      <c r="BM137" s="363">
        <v>28.208875967071048</v>
      </c>
      <c r="BN137" s="363">
        <v>28.02341498409595</v>
      </c>
      <c r="BO137" s="363">
        <v>27.933927149456871</v>
      </c>
      <c r="BP137" s="363">
        <v>27.844725078439144</v>
      </c>
      <c r="BQ137" s="363">
        <v>27.755807858507019</v>
      </c>
      <c r="BR137" s="363">
        <v>27.66717458003879</v>
      </c>
      <c r="BS137" s="363">
        <v>27.578824336317453</v>
      </c>
      <c r="BT137" s="363">
        <v>27.782824012762912</v>
      </c>
      <c r="BU137" s="363">
        <v>27.988332668252671</v>
      </c>
      <c r="BV137" s="363">
        <v>28.195361464656173</v>
      </c>
      <c r="BW137" s="363">
        <v>28.403921646406872</v>
      </c>
      <c r="BX137" s="363">
        <v>28.614024541112887</v>
      </c>
      <c r="BY137" s="435">
        <v>28.72936243440239</v>
      </c>
      <c r="BZ137" s="435">
        <v>28.844700327691893</v>
      </c>
      <c r="CA137" s="435">
        <v>28.960038220981392</v>
      </c>
      <c r="CB137" s="435">
        <v>29.075376114270895</v>
      </c>
      <c r="CC137" s="363">
        <v>29.190714007560398</v>
      </c>
      <c r="CD137" s="435">
        <v>29.285256990040068</v>
      </c>
      <c r="CE137" s="435">
        <v>29.379799972519741</v>
      </c>
      <c r="CF137" s="435">
        <v>29.474342954999411</v>
      </c>
      <c r="CG137" s="435">
        <v>29.568885937479084</v>
      </c>
      <c r="CH137" s="363">
        <v>29.663428919958754</v>
      </c>
      <c r="CI137" s="362">
        <v>26.099231508715796</v>
      </c>
      <c r="CJ137" s="362">
        <v>26.232928189211666</v>
      </c>
      <c r="CK137" s="362">
        <v>26.367309748201738</v>
      </c>
      <c r="CL137" s="363">
        <v>26.193956255137405</v>
      </c>
      <c r="CM137" s="363">
        <v>26.021742485231957</v>
      </c>
      <c r="CN137" s="363">
        <v>25.938646638781382</v>
      </c>
      <c r="CO137" s="363">
        <v>25.855816144264921</v>
      </c>
      <c r="CP137" s="363">
        <v>25.77325015432795</v>
      </c>
      <c r="CQ137" s="363">
        <v>25.690947824321736</v>
      </c>
      <c r="CR137" s="363">
        <v>25.60890831229478</v>
      </c>
      <c r="CS137" s="363">
        <v>25.798336583279852</v>
      </c>
      <c r="CT137" s="363">
        <v>25.989166049091768</v>
      </c>
      <c r="CU137" s="363">
        <v>26.181407074323594</v>
      </c>
      <c r="CV137" s="363">
        <v>26.375070100234954</v>
      </c>
      <c r="CW137" s="363">
        <v>26.570165645319111</v>
      </c>
      <c r="CX137" s="435">
        <v>26.677265117659363</v>
      </c>
      <c r="CY137" s="435">
        <v>26.784364589999615</v>
      </c>
      <c r="CZ137" s="435">
        <v>26.891464062339871</v>
      </c>
      <c r="DA137" s="435">
        <v>26.998563534680123</v>
      </c>
      <c r="DB137" s="363">
        <v>27.105663007020375</v>
      </c>
      <c r="DC137" s="435">
        <v>27.193452919322926</v>
      </c>
      <c r="DD137" s="435">
        <v>27.281242831625477</v>
      </c>
      <c r="DE137" s="435">
        <v>27.369032743928031</v>
      </c>
      <c r="DF137" s="435">
        <v>27.456822656230582</v>
      </c>
      <c r="DG137" s="363">
        <v>27.544612568533132</v>
      </c>
      <c r="DH137" s="362">
        <v>0</v>
      </c>
      <c r="DI137" s="362">
        <v>0</v>
      </c>
      <c r="DJ137" s="362">
        <v>0</v>
      </c>
      <c r="DK137" s="363">
        <v>0</v>
      </c>
      <c r="DL137" s="363">
        <v>0</v>
      </c>
      <c r="DM137" s="363">
        <v>0</v>
      </c>
      <c r="DN137" s="363">
        <v>0</v>
      </c>
      <c r="DO137" s="363">
        <v>0</v>
      </c>
      <c r="DP137" s="363">
        <v>0</v>
      </c>
      <c r="DQ137" s="363">
        <v>0</v>
      </c>
      <c r="DR137" s="363">
        <v>0</v>
      </c>
      <c r="DS137" s="363">
        <v>0</v>
      </c>
      <c r="DT137" s="363">
        <v>0</v>
      </c>
      <c r="DU137" s="363">
        <v>0</v>
      </c>
      <c r="DV137" s="363">
        <v>0</v>
      </c>
      <c r="DW137" s="435">
        <v>0</v>
      </c>
      <c r="DX137" s="435">
        <v>0</v>
      </c>
      <c r="DY137" s="435">
        <v>0</v>
      </c>
      <c r="DZ137" s="435">
        <v>0</v>
      </c>
      <c r="EA137" s="363">
        <v>0</v>
      </c>
      <c r="EB137" s="435">
        <v>0</v>
      </c>
      <c r="EC137" s="435">
        <v>0</v>
      </c>
      <c r="ED137" s="435">
        <v>0</v>
      </c>
      <c r="EE137" s="435">
        <v>0</v>
      </c>
      <c r="EF137" s="363">
        <v>0</v>
      </c>
      <c r="EG137" s="364">
        <v>3.6568910618909621E-2</v>
      </c>
      <c r="EH137" s="364">
        <v>3.6756239581353038E-2</v>
      </c>
      <c r="EI137" s="364">
        <v>3.69445281605741E-2</v>
      </c>
      <c r="EJ137" s="365">
        <v>3.6701634097152026E-2</v>
      </c>
      <c r="EK137" s="365">
        <v>3.646033695562835E-2</v>
      </c>
      <c r="EL137" s="365">
        <v>3.6343907298278522E-2</v>
      </c>
      <c r="EM137" s="365">
        <v>3.6227849438510464E-2</v>
      </c>
      <c r="EN137" s="365">
        <v>3.6112162189054151E-2</v>
      </c>
      <c r="EO137" s="365">
        <v>3.59968443664309E-2</v>
      </c>
      <c r="EP137" s="365">
        <v>3.5881894790941261E-2</v>
      </c>
      <c r="EQ137" s="365">
        <v>3.6147312012441993E-2</v>
      </c>
      <c r="ER137" s="365">
        <v>3.641469251659208E-2</v>
      </c>
      <c r="ES137" s="365">
        <v>3.6684050825730126E-2</v>
      </c>
      <c r="ET137" s="365">
        <v>3.695540156961602E-2</v>
      </c>
      <c r="EU137" s="365">
        <v>3.7228759486225456E-2</v>
      </c>
      <c r="EV137" s="436">
        <v>3.7378821798597958E-2</v>
      </c>
      <c r="EW137" s="436">
        <v>3.7528884110970454E-2</v>
      </c>
      <c r="EX137" s="436">
        <v>3.7678946423342956E-2</v>
      </c>
      <c r="EY137" s="436">
        <v>3.7829008735715451E-2</v>
      </c>
      <c r="EZ137" s="365">
        <v>3.7979071048087953E-2</v>
      </c>
      <c r="FA137" s="436">
        <v>3.8102077790840586E-2</v>
      </c>
      <c r="FB137" s="436">
        <v>3.8225084533593211E-2</v>
      </c>
      <c r="FC137" s="436">
        <v>3.8348091276345843E-2</v>
      </c>
      <c r="FD137" s="436">
        <v>3.8471098019098468E-2</v>
      </c>
      <c r="FE137" s="365">
        <v>3.85941047618511E-2</v>
      </c>
      <c r="FF137" s="364">
        <v>0</v>
      </c>
      <c r="FG137" s="364">
        <v>0</v>
      </c>
      <c r="FH137" s="364">
        <v>0</v>
      </c>
      <c r="FI137" s="365">
        <v>0</v>
      </c>
      <c r="FJ137" s="365">
        <v>0</v>
      </c>
      <c r="FK137" s="365">
        <v>0</v>
      </c>
      <c r="FL137" s="365">
        <v>0</v>
      </c>
      <c r="FM137" s="365">
        <v>0</v>
      </c>
      <c r="FN137" s="365">
        <v>0</v>
      </c>
      <c r="FO137" s="365">
        <v>0</v>
      </c>
      <c r="FP137" s="365">
        <v>0</v>
      </c>
      <c r="FQ137" s="365">
        <v>0</v>
      </c>
      <c r="FR137" s="365">
        <v>0</v>
      </c>
      <c r="FS137" s="365">
        <v>0</v>
      </c>
      <c r="FT137" s="365">
        <v>0</v>
      </c>
      <c r="FU137" s="436">
        <v>0</v>
      </c>
      <c r="FV137" s="436">
        <v>0</v>
      </c>
      <c r="FW137" s="436">
        <v>0</v>
      </c>
      <c r="FX137" s="436">
        <v>0</v>
      </c>
      <c r="FY137" s="365">
        <v>0</v>
      </c>
      <c r="FZ137" s="436">
        <v>0</v>
      </c>
      <c r="GA137" s="436">
        <v>0</v>
      </c>
      <c r="GB137" s="436">
        <v>0</v>
      </c>
      <c r="GC137" s="436">
        <v>0</v>
      </c>
      <c r="GD137" s="365">
        <v>0</v>
      </c>
    </row>
    <row r="138" spans="1:186" ht="15" x14ac:dyDescent="0.25">
      <c r="A138" s="357">
        <v>96</v>
      </c>
      <c r="B138" s="357">
        <v>91</v>
      </c>
      <c r="C138" s="357" t="s">
        <v>1048</v>
      </c>
      <c r="D138" s="2">
        <v>99709</v>
      </c>
      <c r="E138" s="268" t="s">
        <v>19</v>
      </c>
      <c r="F138" s="358" t="s">
        <v>915</v>
      </c>
      <c r="G138" s="49">
        <v>14</v>
      </c>
      <c r="H138" s="49">
        <v>5</v>
      </c>
      <c r="I138" s="49">
        <v>5</v>
      </c>
      <c r="J138" s="49">
        <v>0</v>
      </c>
      <c r="K138" s="49">
        <v>0</v>
      </c>
      <c r="L138" s="49">
        <v>7</v>
      </c>
      <c r="M138" s="49">
        <v>7</v>
      </c>
      <c r="N138" s="49">
        <v>0</v>
      </c>
      <c r="O138" s="49">
        <v>0</v>
      </c>
      <c r="P138" s="49">
        <v>0</v>
      </c>
      <c r="Q138" s="49">
        <v>7</v>
      </c>
      <c r="R138" s="49">
        <v>0</v>
      </c>
      <c r="S138" s="49">
        <v>2868.7142857142858</v>
      </c>
      <c r="T138" s="49">
        <v>2868.7142857142858</v>
      </c>
      <c r="U138" s="49">
        <v>0</v>
      </c>
      <c r="V138" s="49">
        <v>0</v>
      </c>
      <c r="W138" s="49">
        <v>0</v>
      </c>
      <c r="X138" s="49">
        <v>2868.7142857142858</v>
      </c>
      <c r="Y138" s="434">
        <v>20081</v>
      </c>
      <c r="Z138" s="434">
        <v>0</v>
      </c>
      <c r="AA138" s="49">
        <v>0</v>
      </c>
      <c r="AB138" s="49">
        <v>5</v>
      </c>
      <c r="AC138" s="49">
        <v>0</v>
      </c>
      <c r="AD138" s="285">
        <v>0</v>
      </c>
      <c r="AE138" s="285">
        <v>0</v>
      </c>
      <c r="AF138" s="359">
        <v>5</v>
      </c>
      <c r="AG138" s="360">
        <v>0</v>
      </c>
      <c r="AH138" s="360">
        <v>5</v>
      </c>
      <c r="AI138" s="361">
        <v>5</v>
      </c>
      <c r="AJ138" s="360">
        <v>0</v>
      </c>
      <c r="AK138" s="360">
        <v>0</v>
      </c>
      <c r="AL138" s="360">
        <v>4.7607919750386971</v>
      </c>
      <c r="AM138" s="360">
        <v>4.7607919750386971</v>
      </c>
      <c r="AN138" s="360">
        <v>0</v>
      </c>
      <c r="AO138" s="360">
        <v>0</v>
      </c>
      <c r="AP138" s="360">
        <v>4.7697731444898812</v>
      </c>
      <c r="AQ138" s="360">
        <v>4.7697731444898812</v>
      </c>
      <c r="AR138" s="360">
        <v>0</v>
      </c>
      <c r="AS138" s="360">
        <v>0</v>
      </c>
      <c r="AT138" s="360">
        <v>0</v>
      </c>
      <c r="AU138" s="360">
        <v>4.533028045918571</v>
      </c>
      <c r="AV138" s="360">
        <v>4.6455143465104571</v>
      </c>
      <c r="AW138" s="360">
        <v>4.7607919750386971</v>
      </c>
      <c r="AX138" s="360">
        <v>4.8789301978193418</v>
      </c>
      <c r="AY138" s="360">
        <v>5</v>
      </c>
      <c r="AZ138" s="360">
        <v>4.5501471699793781</v>
      </c>
      <c r="BA138" s="360">
        <v>4.6586660939419424</v>
      </c>
      <c r="BB138" s="360">
        <v>4.7697731444898812</v>
      </c>
      <c r="BC138" s="360">
        <v>4.8835300472557153</v>
      </c>
      <c r="BD138" s="360">
        <v>5</v>
      </c>
      <c r="BE138" s="360">
        <v>0</v>
      </c>
      <c r="BF138" s="360">
        <v>0</v>
      </c>
      <c r="BG138" s="360">
        <v>0</v>
      </c>
      <c r="BH138" s="360">
        <v>0</v>
      </c>
      <c r="BI138" s="360">
        <v>0</v>
      </c>
      <c r="BJ138" s="362">
        <v>5.025613145055865</v>
      </c>
      <c r="BK138" s="362">
        <v>5.0513574967516606</v>
      </c>
      <c r="BL138" s="362">
        <v>5.0772337272103263</v>
      </c>
      <c r="BM138" s="363">
        <v>5.0438531430657498</v>
      </c>
      <c r="BN138" s="363">
        <v>5.0106920216163537</v>
      </c>
      <c r="BO138" s="363">
        <v>4.9946912601348483</v>
      </c>
      <c r="BP138" s="363">
        <v>4.9787415942638669</v>
      </c>
      <c r="BQ138" s="363">
        <v>4.9628428608385846</v>
      </c>
      <c r="BR138" s="363">
        <v>4.9469948972152178</v>
      </c>
      <c r="BS138" s="363">
        <v>4.9311975412693556</v>
      </c>
      <c r="BT138" s="363">
        <v>4.9676734508527423</v>
      </c>
      <c r="BU138" s="363">
        <v>5.0044191715659396</v>
      </c>
      <c r="BV138" s="363">
        <v>5.0414366991931976</v>
      </c>
      <c r="BW138" s="363">
        <v>5.0787280442815153</v>
      </c>
      <c r="BX138" s="363">
        <v>5.1162952322498416</v>
      </c>
      <c r="BY138" s="435">
        <v>5.1369180814644624</v>
      </c>
      <c r="BZ138" s="435">
        <v>5.1575409306790831</v>
      </c>
      <c r="CA138" s="435">
        <v>5.178163779893703</v>
      </c>
      <c r="CB138" s="435">
        <v>5.1987866291083238</v>
      </c>
      <c r="CC138" s="363">
        <v>5.2194094783229446</v>
      </c>
      <c r="CD138" s="435">
        <v>5.2363141192555203</v>
      </c>
      <c r="CE138" s="435">
        <v>5.253218760188096</v>
      </c>
      <c r="CF138" s="435">
        <v>5.2701234011206708</v>
      </c>
      <c r="CG138" s="435">
        <v>5.2870280420532465</v>
      </c>
      <c r="CH138" s="363">
        <v>5.3039326829858222</v>
      </c>
      <c r="CI138" s="362">
        <v>5.025613145055865</v>
      </c>
      <c r="CJ138" s="362">
        <v>5.0513574967516606</v>
      </c>
      <c r="CK138" s="362">
        <v>5.0772337272103263</v>
      </c>
      <c r="CL138" s="363">
        <v>5.0438531430657498</v>
      </c>
      <c r="CM138" s="363">
        <v>5.0106920216163537</v>
      </c>
      <c r="CN138" s="363">
        <v>4.9946912601348483</v>
      </c>
      <c r="CO138" s="363">
        <v>4.9787415942638669</v>
      </c>
      <c r="CP138" s="363">
        <v>4.9628428608385846</v>
      </c>
      <c r="CQ138" s="363">
        <v>4.9469948972152178</v>
      </c>
      <c r="CR138" s="363">
        <v>4.9311975412693556</v>
      </c>
      <c r="CS138" s="363">
        <v>4.9676734508527423</v>
      </c>
      <c r="CT138" s="363">
        <v>5.0044191715659396</v>
      </c>
      <c r="CU138" s="363">
        <v>5.0414366991931976</v>
      </c>
      <c r="CV138" s="363">
        <v>5.0787280442815153</v>
      </c>
      <c r="CW138" s="363">
        <v>5.1162952322498416</v>
      </c>
      <c r="CX138" s="435">
        <v>5.1369180814644624</v>
      </c>
      <c r="CY138" s="435">
        <v>5.1575409306790831</v>
      </c>
      <c r="CZ138" s="435">
        <v>5.178163779893703</v>
      </c>
      <c r="DA138" s="435">
        <v>5.1987866291083238</v>
      </c>
      <c r="DB138" s="363">
        <v>5.2194094783229446</v>
      </c>
      <c r="DC138" s="435">
        <v>5.2363141192555203</v>
      </c>
      <c r="DD138" s="435">
        <v>5.253218760188096</v>
      </c>
      <c r="DE138" s="435">
        <v>5.2701234011206708</v>
      </c>
      <c r="DF138" s="435">
        <v>5.2870280420532465</v>
      </c>
      <c r="DG138" s="363">
        <v>5.3039326829858222</v>
      </c>
      <c r="DH138" s="362">
        <v>0</v>
      </c>
      <c r="DI138" s="362">
        <v>0</v>
      </c>
      <c r="DJ138" s="362">
        <v>0</v>
      </c>
      <c r="DK138" s="363">
        <v>0</v>
      </c>
      <c r="DL138" s="363">
        <v>0</v>
      </c>
      <c r="DM138" s="363">
        <v>0</v>
      </c>
      <c r="DN138" s="363">
        <v>0</v>
      </c>
      <c r="DO138" s="363">
        <v>0</v>
      </c>
      <c r="DP138" s="363">
        <v>0</v>
      </c>
      <c r="DQ138" s="363">
        <v>0</v>
      </c>
      <c r="DR138" s="363">
        <v>0</v>
      </c>
      <c r="DS138" s="363">
        <v>0</v>
      </c>
      <c r="DT138" s="363">
        <v>0</v>
      </c>
      <c r="DU138" s="363">
        <v>0</v>
      </c>
      <c r="DV138" s="363">
        <v>0</v>
      </c>
      <c r="DW138" s="435">
        <v>0</v>
      </c>
      <c r="DX138" s="435">
        <v>0</v>
      </c>
      <c r="DY138" s="435">
        <v>0</v>
      </c>
      <c r="DZ138" s="435">
        <v>0</v>
      </c>
      <c r="EA138" s="363">
        <v>0</v>
      </c>
      <c r="EB138" s="435">
        <v>0</v>
      </c>
      <c r="EC138" s="435">
        <v>0</v>
      </c>
      <c r="ED138" s="435">
        <v>0</v>
      </c>
      <c r="EE138" s="435">
        <v>0</v>
      </c>
      <c r="EF138" s="363">
        <v>0</v>
      </c>
      <c r="EG138" s="364">
        <v>0</v>
      </c>
      <c r="EH138" s="364">
        <v>0</v>
      </c>
      <c r="EI138" s="364">
        <v>0</v>
      </c>
      <c r="EJ138" s="365">
        <v>0</v>
      </c>
      <c r="EK138" s="365">
        <v>0</v>
      </c>
      <c r="EL138" s="365">
        <v>0</v>
      </c>
      <c r="EM138" s="365">
        <v>0</v>
      </c>
      <c r="EN138" s="365">
        <v>0</v>
      </c>
      <c r="EO138" s="365">
        <v>0</v>
      </c>
      <c r="EP138" s="365">
        <v>0</v>
      </c>
      <c r="EQ138" s="365">
        <v>0</v>
      </c>
      <c r="ER138" s="365">
        <v>0</v>
      </c>
      <c r="ES138" s="365">
        <v>0</v>
      </c>
      <c r="ET138" s="365">
        <v>0</v>
      </c>
      <c r="EU138" s="365">
        <v>0</v>
      </c>
      <c r="EV138" s="436">
        <v>0</v>
      </c>
      <c r="EW138" s="436">
        <v>0</v>
      </c>
      <c r="EX138" s="436">
        <v>0</v>
      </c>
      <c r="EY138" s="436">
        <v>0</v>
      </c>
      <c r="EZ138" s="365">
        <v>0</v>
      </c>
      <c r="FA138" s="436">
        <v>0</v>
      </c>
      <c r="FB138" s="436">
        <v>0</v>
      </c>
      <c r="FC138" s="436">
        <v>0</v>
      </c>
      <c r="FD138" s="436">
        <v>0</v>
      </c>
      <c r="FE138" s="365">
        <v>0</v>
      </c>
      <c r="FF138" s="364">
        <v>0</v>
      </c>
      <c r="FG138" s="364">
        <v>0</v>
      </c>
      <c r="FH138" s="364">
        <v>0</v>
      </c>
      <c r="FI138" s="365">
        <v>0</v>
      </c>
      <c r="FJ138" s="365">
        <v>0</v>
      </c>
      <c r="FK138" s="365">
        <v>0</v>
      </c>
      <c r="FL138" s="365">
        <v>0</v>
      </c>
      <c r="FM138" s="365">
        <v>0</v>
      </c>
      <c r="FN138" s="365">
        <v>0</v>
      </c>
      <c r="FO138" s="365">
        <v>0</v>
      </c>
      <c r="FP138" s="365">
        <v>0</v>
      </c>
      <c r="FQ138" s="365">
        <v>0</v>
      </c>
      <c r="FR138" s="365">
        <v>0</v>
      </c>
      <c r="FS138" s="365">
        <v>0</v>
      </c>
      <c r="FT138" s="365">
        <v>0</v>
      </c>
      <c r="FU138" s="436">
        <v>0</v>
      </c>
      <c r="FV138" s="436">
        <v>0</v>
      </c>
      <c r="FW138" s="436">
        <v>0</v>
      </c>
      <c r="FX138" s="436">
        <v>0</v>
      </c>
      <c r="FY138" s="365">
        <v>0</v>
      </c>
      <c r="FZ138" s="436">
        <v>0</v>
      </c>
      <c r="GA138" s="436">
        <v>0</v>
      </c>
      <c r="GB138" s="436">
        <v>0</v>
      </c>
      <c r="GC138" s="436">
        <v>0</v>
      </c>
      <c r="GD138" s="365">
        <v>0</v>
      </c>
    </row>
    <row r="139" spans="1:186" ht="15" x14ac:dyDescent="0.25">
      <c r="A139" s="357">
        <v>97</v>
      </c>
      <c r="B139" s="357">
        <v>91</v>
      </c>
      <c r="C139" s="357" t="s">
        <v>1049</v>
      </c>
      <c r="D139" s="2">
        <v>99709</v>
      </c>
      <c r="E139" s="268" t="s">
        <v>19</v>
      </c>
      <c r="F139" s="358" t="s">
        <v>915</v>
      </c>
      <c r="G139" s="49">
        <v>83</v>
      </c>
      <c r="H139" s="49">
        <v>37</v>
      </c>
      <c r="I139" s="49">
        <v>34</v>
      </c>
      <c r="J139" s="49">
        <v>3</v>
      </c>
      <c r="K139" s="49">
        <v>0</v>
      </c>
      <c r="L139" s="49">
        <v>41</v>
      </c>
      <c r="M139" s="49">
        <v>41</v>
      </c>
      <c r="N139" s="49">
        <v>0</v>
      </c>
      <c r="O139" s="49">
        <v>0</v>
      </c>
      <c r="P139" s="49">
        <v>0</v>
      </c>
      <c r="Q139" s="49">
        <v>41</v>
      </c>
      <c r="R139" s="49">
        <v>0</v>
      </c>
      <c r="S139" s="49">
        <v>2164.6341463414633</v>
      </c>
      <c r="T139" s="49">
        <v>2164.6341463414633</v>
      </c>
      <c r="U139" s="49">
        <v>0</v>
      </c>
      <c r="V139" s="49">
        <v>0</v>
      </c>
      <c r="W139" s="49">
        <v>0</v>
      </c>
      <c r="X139" s="49">
        <v>2164.6341463414633</v>
      </c>
      <c r="Y139" s="434">
        <v>88750</v>
      </c>
      <c r="Z139" s="434">
        <v>0</v>
      </c>
      <c r="AA139" s="49">
        <v>0</v>
      </c>
      <c r="AB139" s="49">
        <v>37</v>
      </c>
      <c r="AC139" s="49">
        <v>0</v>
      </c>
      <c r="AD139" s="285">
        <v>0</v>
      </c>
      <c r="AE139" s="285">
        <v>0</v>
      </c>
      <c r="AF139" s="359">
        <v>37</v>
      </c>
      <c r="AG139" s="360">
        <v>0</v>
      </c>
      <c r="AH139" s="360">
        <v>34</v>
      </c>
      <c r="AI139" s="361">
        <v>34</v>
      </c>
      <c r="AJ139" s="360">
        <v>0</v>
      </c>
      <c r="AK139" s="360">
        <v>0</v>
      </c>
      <c r="AL139" s="360">
        <v>35.229860615286356</v>
      </c>
      <c r="AM139" s="360">
        <v>35.229860615286356</v>
      </c>
      <c r="AN139" s="360">
        <v>0</v>
      </c>
      <c r="AO139" s="360">
        <v>0</v>
      </c>
      <c r="AP139" s="360">
        <v>32.434457382531193</v>
      </c>
      <c r="AQ139" s="360">
        <v>32.434457382531193</v>
      </c>
      <c r="AR139" s="360">
        <v>0</v>
      </c>
      <c r="AS139" s="360">
        <v>0</v>
      </c>
      <c r="AT139" s="360">
        <v>0</v>
      </c>
      <c r="AU139" s="360">
        <v>33.544407539797426</v>
      </c>
      <c r="AV139" s="360">
        <v>34.376806164177381</v>
      </c>
      <c r="AW139" s="360">
        <v>35.229860615286356</v>
      </c>
      <c r="AX139" s="360">
        <v>36.104083463863127</v>
      </c>
      <c r="AY139" s="360">
        <v>37</v>
      </c>
      <c r="AZ139" s="360">
        <v>30.941000755859772</v>
      </c>
      <c r="BA139" s="360">
        <v>31.678929438805209</v>
      </c>
      <c r="BB139" s="360">
        <v>32.434457382531193</v>
      </c>
      <c r="BC139" s="360">
        <v>33.208004321338862</v>
      </c>
      <c r="BD139" s="360">
        <v>34</v>
      </c>
      <c r="BE139" s="360">
        <v>0</v>
      </c>
      <c r="BF139" s="360">
        <v>0</v>
      </c>
      <c r="BG139" s="360">
        <v>0</v>
      </c>
      <c r="BH139" s="360">
        <v>0</v>
      </c>
      <c r="BI139" s="360">
        <v>0</v>
      </c>
      <c r="BJ139" s="362">
        <v>37.345702995858282</v>
      </c>
      <c r="BK139" s="362">
        <v>37.694636006888061</v>
      </c>
      <c r="BL139" s="362">
        <v>38.046829212168291</v>
      </c>
      <c r="BM139" s="363">
        <v>37.796688002961261</v>
      </c>
      <c r="BN139" s="363">
        <v>37.548191362456514</v>
      </c>
      <c r="BO139" s="363">
        <v>37.428287833869902</v>
      </c>
      <c r="BP139" s="363">
        <v>37.308767196060344</v>
      </c>
      <c r="BQ139" s="363">
        <v>37.189628226333639</v>
      </c>
      <c r="BR139" s="363">
        <v>37.07086970590008</v>
      </c>
      <c r="BS139" s="363">
        <v>36.952490419861917</v>
      </c>
      <c r="BT139" s="363">
        <v>37.22582680279028</v>
      </c>
      <c r="BU139" s="363">
        <v>37.50118504615034</v>
      </c>
      <c r="BV139" s="363">
        <v>37.778580105578662</v>
      </c>
      <c r="BW139" s="363">
        <v>38.058027047338193</v>
      </c>
      <c r="BX139" s="363">
        <v>38.3395410491365</v>
      </c>
      <c r="BY139" s="435">
        <v>38.49408071858916</v>
      </c>
      <c r="BZ139" s="435">
        <v>38.648620388041813</v>
      </c>
      <c r="CA139" s="435">
        <v>38.803160057494473</v>
      </c>
      <c r="CB139" s="435">
        <v>38.957699726947126</v>
      </c>
      <c r="CC139" s="363">
        <v>39.112239396399787</v>
      </c>
      <c r="CD139" s="435">
        <v>39.23891624860137</v>
      </c>
      <c r="CE139" s="435">
        <v>39.365593100802961</v>
      </c>
      <c r="CF139" s="435">
        <v>39.492269953004545</v>
      </c>
      <c r="CG139" s="435">
        <v>39.618946805206136</v>
      </c>
      <c r="CH139" s="363">
        <v>39.74562365740772</v>
      </c>
      <c r="CI139" s="362">
        <v>34.317673023221118</v>
      </c>
      <c r="CJ139" s="362">
        <v>34.638314168491732</v>
      </c>
      <c r="CK139" s="362">
        <v>34.96195116793843</v>
      </c>
      <c r="CL139" s="363">
        <v>34.732091678396834</v>
      </c>
      <c r="CM139" s="363">
        <v>34.503743414149227</v>
      </c>
      <c r="CN139" s="363">
        <v>34.393561793285855</v>
      </c>
      <c r="CO139" s="363">
        <v>34.283732018001395</v>
      </c>
      <c r="CP139" s="363">
        <v>34.174252964739026</v>
      </c>
      <c r="CQ139" s="363">
        <v>34.065123513529805</v>
      </c>
      <c r="CR139" s="363">
        <v>33.956342547981222</v>
      </c>
      <c r="CS139" s="363">
        <v>34.207516521482965</v>
      </c>
      <c r="CT139" s="363">
        <v>34.4605484207868</v>
      </c>
      <c r="CU139" s="363">
        <v>34.715451988910118</v>
      </c>
      <c r="CV139" s="363">
        <v>34.972241070526991</v>
      </c>
      <c r="CW139" s="363">
        <v>35.230929612720033</v>
      </c>
      <c r="CX139" s="435">
        <v>35.372939038703556</v>
      </c>
      <c r="CY139" s="435">
        <v>35.51494846468708</v>
      </c>
      <c r="CZ139" s="435">
        <v>35.656957890670597</v>
      </c>
      <c r="DA139" s="435">
        <v>35.798967316654121</v>
      </c>
      <c r="DB139" s="363">
        <v>35.940976742637645</v>
      </c>
      <c r="DC139" s="435">
        <v>36.05738249871478</v>
      </c>
      <c r="DD139" s="435">
        <v>36.173788254791916</v>
      </c>
      <c r="DE139" s="435">
        <v>36.290194010869044</v>
      </c>
      <c r="DF139" s="435">
        <v>36.406599766946179</v>
      </c>
      <c r="DG139" s="363">
        <v>36.523005523023315</v>
      </c>
      <c r="DH139" s="362">
        <v>0</v>
      </c>
      <c r="DI139" s="362">
        <v>0</v>
      </c>
      <c r="DJ139" s="362">
        <v>0</v>
      </c>
      <c r="DK139" s="363">
        <v>0</v>
      </c>
      <c r="DL139" s="363">
        <v>0</v>
      </c>
      <c r="DM139" s="363">
        <v>0</v>
      </c>
      <c r="DN139" s="363">
        <v>0</v>
      </c>
      <c r="DO139" s="363">
        <v>0</v>
      </c>
      <c r="DP139" s="363">
        <v>0</v>
      </c>
      <c r="DQ139" s="363">
        <v>0</v>
      </c>
      <c r="DR139" s="363">
        <v>0</v>
      </c>
      <c r="DS139" s="363">
        <v>0</v>
      </c>
      <c r="DT139" s="363">
        <v>0</v>
      </c>
      <c r="DU139" s="363">
        <v>0</v>
      </c>
      <c r="DV139" s="363">
        <v>0</v>
      </c>
      <c r="DW139" s="435">
        <v>0</v>
      </c>
      <c r="DX139" s="435">
        <v>0</v>
      </c>
      <c r="DY139" s="435">
        <v>0</v>
      </c>
      <c r="DZ139" s="435">
        <v>0</v>
      </c>
      <c r="EA139" s="363">
        <v>0</v>
      </c>
      <c r="EB139" s="435">
        <v>0</v>
      </c>
      <c r="EC139" s="435">
        <v>0</v>
      </c>
      <c r="ED139" s="435">
        <v>0</v>
      </c>
      <c r="EE139" s="435">
        <v>0</v>
      </c>
      <c r="EF139" s="363">
        <v>0</v>
      </c>
      <c r="EG139" s="364">
        <v>0</v>
      </c>
      <c r="EH139" s="364">
        <v>0</v>
      </c>
      <c r="EI139" s="364">
        <v>0</v>
      </c>
      <c r="EJ139" s="365">
        <v>0</v>
      </c>
      <c r="EK139" s="365">
        <v>0</v>
      </c>
      <c r="EL139" s="365">
        <v>0</v>
      </c>
      <c r="EM139" s="365">
        <v>0</v>
      </c>
      <c r="EN139" s="365">
        <v>0</v>
      </c>
      <c r="EO139" s="365">
        <v>0</v>
      </c>
      <c r="EP139" s="365">
        <v>0</v>
      </c>
      <c r="EQ139" s="365">
        <v>0</v>
      </c>
      <c r="ER139" s="365">
        <v>0</v>
      </c>
      <c r="ES139" s="365">
        <v>0</v>
      </c>
      <c r="ET139" s="365">
        <v>0</v>
      </c>
      <c r="EU139" s="365">
        <v>0</v>
      </c>
      <c r="EV139" s="436">
        <v>0</v>
      </c>
      <c r="EW139" s="436">
        <v>0</v>
      </c>
      <c r="EX139" s="436">
        <v>0</v>
      </c>
      <c r="EY139" s="436">
        <v>0</v>
      </c>
      <c r="EZ139" s="365">
        <v>0</v>
      </c>
      <c r="FA139" s="436">
        <v>0</v>
      </c>
      <c r="FB139" s="436">
        <v>0</v>
      </c>
      <c r="FC139" s="436">
        <v>0</v>
      </c>
      <c r="FD139" s="436">
        <v>0</v>
      </c>
      <c r="FE139" s="365">
        <v>0</v>
      </c>
      <c r="FF139" s="364">
        <v>0</v>
      </c>
      <c r="FG139" s="364">
        <v>0</v>
      </c>
      <c r="FH139" s="364">
        <v>0</v>
      </c>
      <c r="FI139" s="365">
        <v>0</v>
      </c>
      <c r="FJ139" s="365">
        <v>0</v>
      </c>
      <c r="FK139" s="365">
        <v>0</v>
      </c>
      <c r="FL139" s="365">
        <v>0</v>
      </c>
      <c r="FM139" s="365">
        <v>0</v>
      </c>
      <c r="FN139" s="365">
        <v>0</v>
      </c>
      <c r="FO139" s="365">
        <v>0</v>
      </c>
      <c r="FP139" s="365">
        <v>0</v>
      </c>
      <c r="FQ139" s="365">
        <v>0</v>
      </c>
      <c r="FR139" s="365">
        <v>0</v>
      </c>
      <c r="FS139" s="365">
        <v>0</v>
      </c>
      <c r="FT139" s="365">
        <v>0</v>
      </c>
      <c r="FU139" s="436">
        <v>0</v>
      </c>
      <c r="FV139" s="436">
        <v>0</v>
      </c>
      <c r="FW139" s="436">
        <v>0</v>
      </c>
      <c r="FX139" s="436">
        <v>0</v>
      </c>
      <c r="FY139" s="365">
        <v>0</v>
      </c>
      <c r="FZ139" s="436">
        <v>0</v>
      </c>
      <c r="GA139" s="436">
        <v>0</v>
      </c>
      <c r="GB139" s="436">
        <v>0</v>
      </c>
      <c r="GC139" s="436">
        <v>0</v>
      </c>
      <c r="GD139" s="365">
        <v>0</v>
      </c>
    </row>
    <row r="140" spans="1:186" ht="15" x14ac:dyDescent="0.25">
      <c r="A140" s="357">
        <v>100</v>
      </c>
      <c r="B140" s="357">
        <v>91</v>
      </c>
      <c r="C140" s="357" t="s">
        <v>1050</v>
      </c>
      <c r="D140" s="2">
        <v>99709</v>
      </c>
      <c r="E140" s="268" t="s">
        <v>1527</v>
      </c>
      <c r="F140" s="358" t="s">
        <v>985</v>
      </c>
      <c r="G140" s="49">
        <v>571</v>
      </c>
      <c r="H140" s="49">
        <v>193</v>
      </c>
      <c r="I140" s="49">
        <v>185</v>
      </c>
      <c r="J140" s="49">
        <v>8</v>
      </c>
      <c r="K140" s="49">
        <v>0</v>
      </c>
      <c r="L140" s="49">
        <v>104</v>
      </c>
      <c r="M140" s="49">
        <v>104</v>
      </c>
      <c r="N140" s="49">
        <v>0</v>
      </c>
      <c r="O140" s="49">
        <v>0</v>
      </c>
      <c r="P140" s="49">
        <v>0</v>
      </c>
      <c r="Q140" s="49">
        <v>104</v>
      </c>
      <c r="R140" s="49">
        <v>0</v>
      </c>
      <c r="S140" s="49">
        <v>3187.9903846153848</v>
      </c>
      <c r="T140" s="49">
        <v>3187.9903846153848</v>
      </c>
      <c r="U140" s="49">
        <v>0</v>
      </c>
      <c r="V140" s="49">
        <v>0</v>
      </c>
      <c r="W140" s="49">
        <v>0</v>
      </c>
      <c r="X140" s="49">
        <v>3187.9903846153848</v>
      </c>
      <c r="Y140" s="434">
        <v>331551</v>
      </c>
      <c r="Z140" s="434">
        <v>0</v>
      </c>
      <c r="AA140" s="49">
        <v>0</v>
      </c>
      <c r="AB140" s="49">
        <v>193</v>
      </c>
      <c r="AC140" s="49">
        <v>0</v>
      </c>
      <c r="AD140" s="285">
        <v>0</v>
      </c>
      <c r="AE140" s="285">
        <v>0</v>
      </c>
      <c r="AF140" s="359">
        <v>193</v>
      </c>
      <c r="AG140" s="360">
        <v>0</v>
      </c>
      <c r="AH140" s="360">
        <v>185</v>
      </c>
      <c r="AI140" s="361">
        <v>185</v>
      </c>
      <c r="AJ140" s="360">
        <v>0</v>
      </c>
      <c r="AK140" s="360">
        <v>0</v>
      </c>
      <c r="AL140" s="360">
        <v>183.76657023649369</v>
      </c>
      <c r="AM140" s="360">
        <v>183.76657023649369</v>
      </c>
      <c r="AN140" s="360">
        <v>0</v>
      </c>
      <c r="AO140" s="360">
        <v>0</v>
      </c>
      <c r="AP140" s="360">
        <v>176.48160634612563</v>
      </c>
      <c r="AQ140" s="360">
        <v>176.48160634612563</v>
      </c>
      <c r="AR140" s="360">
        <v>0</v>
      </c>
      <c r="AS140" s="360">
        <v>0</v>
      </c>
      <c r="AT140" s="360">
        <v>0</v>
      </c>
      <c r="AU140" s="360">
        <v>174.97488257245683</v>
      </c>
      <c r="AV140" s="360">
        <v>179.31685377530363</v>
      </c>
      <c r="AW140" s="360">
        <v>183.76657023649369</v>
      </c>
      <c r="AX140" s="360">
        <v>188.32670563582658</v>
      </c>
      <c r="AY140" s="360">
        <v>193</v>
      </c>
      <c r="AZ140" s="360">
        <v>168.355445289237</v>
      </c>
      <c r="BA140" s="360">
        <v>172.37064547585189</v>
      </c>
      <c r="BB140" s="360">
        <v>176.48160634612563</v>
      </c>
      <c r="BC140" s="360">
        <v>180.69061174846146</v>
      </c>
      <c r="BD140" s="360">
        <v>185</v>
      </c>
      <c r="BE140" s="360">
        <v>0</v>
      </c>
      <c r="BF140" s="360">
        <v>0</v>
      </c>
      <c r="BG140" s="360">
        <v>0</v>
      </c>
      <c r="BH140" s="360">
        <v>0</v>
      </c>
      <c r="BI140" s="360">
        <v>0</v>
      </c>
      <c r="BJ140" s="362">
        <v>194.56000229965514</v>
      </c>
      <c r="BK140" s="362">
        <v>196.13261396291094</v>
      </c>
      <c r="BL140" s="362">
        <v>197.71793691016231</v>
      </c>
      <c r="BM140" s="363">
        <v>196.41802822277003</v>
      </c>
      <c r="BN140" s="363">
        <v>195.12666586466869</v>
      </c>
      <c r="BO140" s="363">
        <v>194.50356326213142</v>
      </c>
      <c r="BP140" s="363">
        <v>193.88245042788938</v>
      </c>
      <c r="BQ140" s="363">
        <v>193.2633210079683</v>
      </c>
      <c r="BR140" s="363">
        <v>192.64616866868434</v>
      </c>
      <c r="BS140" s="363">
        <v>192.03098709657903</v>
      </c>
      <c r="BT140" s="363">
        <v>193.45143413077759</v>
      </c>
      <c r="BU140" s="363">
        <v>194.88238816599437</v>
      </c>
      <c r="BV140" s="363">
        <v>196.323926922178</v>
      </c>
      <c r="BW140" s="363">
        <v>197.77612869416896</v>
      </c>
      <c r="BX140" s="363">
        <v>199.23907235595206</v>
      </c>
      <c r="BY140" s="435">
        <v>200.04216857310504</v>
      </c>
      <c r="BZ140" s="435">
        <v>200.84526479025803</v>
      </c>
      <c r="CA140" s="435">
        <v>201.64836100741098</v>
      </c>
      <c r="CB140" s="435">
        <v>202.45145722456397</v>
      </c>
      <c r="CC140" s="363">
        <v>203.25455344171695</v>
      </c>
      <c r="CD140" s="435">
        <v>203.91285497144236</v>
      </c>
      <c r="CE140" s="435">
        <v>204.57115650116774</v>
      </c>
      <c r="CF140" s="435">
        <v>205.22945803089314</v>
      </c>
      <c r="CG140" s="435">
        <v>205.88775956061852</v>
      </c>
      <c r="CH140" s="363">
        <v>206.54606109034393</v>
      </c>
      <c r="CI140" s="362">
        <v>186.49533899189743</v>
      </c>
      <c r="CJ140" s="362">
        <v>188.00276467947421</v>
      </c>
      <c r="CK140" s="362">
        <v>189.52237475844575</v>
      </c>
      <c r="CL140" s="363">
        <v>188.27634829643762</v>
      </c>
      <c r="CM140" s="363">
        <v>187.03851391172907</v>
      </c>
      <c r="CN140" s="363">
        <v>186.4412393963436</v>
      </c>
      <c r="CO140" s="363">
        <v>185.84587217181107</v>
      </c>
      <c r="CP140" s="363">
        <v>185.2524061475344</v>
      </c>
      <c r="CQ140" s="363">
        <v>184.66083525236581</v>
      </c>
      <c r="CR140" s="363">
        <v>184.07115343454467</v>
      </c>
      <c r="CS140" s="363">
        <v>185.43272183520131</v>
      </c>
      <c r="CT140" s="363">
        <v>186.80436171351795</v>
      </c>
      <c r="CU140" s="363">
        <v>188.18614756789083</v>
      </c>
      <c r="CV140" s="363">
        <v>189.57815444777856</v>
      </c>
      <c r="CW140" s="363">
        <v>190.9804579577779</v>
      </c>
      <c r="CX140" s="435">
        <v>191.75026521256186</v>
      </c>
      <c r="CY140" s="435">
        <v>192.52007246734578</v>
      </c>
      <c r="CZ140" s="435">
        <v>193.28987972212974</v>
      </c>
      <c r="DA140" s="435">
        <v>194.05968697691367</v>
      </c>
      <c r="DB140" s="363">
        <v>194.82949423169762</v>
      </c>
      <c r="DC140" s="435">
        <v>195.46050865138258</v>
      </c>
      <c r="DD140" s="435">
        <v>196.09152307106754</v>
      </c>
      <c r="DE140" s="435">
        <v>196.72253749075253</v>
      </c>
      <c r="DF140" s="435">
        <v>197.35355191043749</v>
      </c>
      <c r="DG140" s="363">
        <v>197.98456633012245</v>
      </c>
      <c r="DH140" s="362">
        <v>0</v>
      </c>
      <c r="DI140" s="362">
        <v>0</v>
      </c>
      <c r="DJ140" s="362">
        <v>0</v>
      </c>
      <c r="DK140" s="363">
        <v>0</v>
      </c>
      <c r="DL140" s="363">
        <v>0</v>
      </c>
      <c r="DM140" s="363">
        <v>0</v>
      </c>
      <c r="DN140" s="363">
        <v>0</v>
      </c>
      <c r="DO140" s="363">
        <v>0</v>
      </c>
      <c r="DP140" s="363">
        <v>0</v>
      </c>
      <c r="DQ140" s="363">
        <v>0</v>
      </c>
      <c r="DR140" s="363">
        <v>0</v>
      </c>
      <c r="DS140" s="363">
        <v>0</v>
      </c>
      <c r="DT140" s="363">
        <v>0</v>
      </c>
      <c r="DU140" s="363">
        <v>0</v>
      </c>
      <c r="DV140" s="363">
        <v>0</v>
      </c>
      <c r="DW140" s="435">
        <v>0</v>
      </c>
      <c r="DX140" s="435">
        <v>0</v>
      </c>
      <c r="DY140" s="435">
        <v>0</v>
      </c>
      <c r="DZ140" s="435">
        <v>0</v>
      </c>
      <c r="EA140" s="363">
        <v>0</v>
      </c>
      <c r="EB140" s="435">
        <v>0</v>
      </c>
      <c r="EC140" s="435">
        <v>0</v>
      </c>
      <c r="ED140" s="435">
        <v>0</v>
      </c>
      <c r="EE140" s="435">
        <v>0</v>
      </c>
      <c r="EF140" s="363">
        <v>0</v>
      </c>
      <c r="EG140" s="364">
        <v>0</v>
      </c>
      <c r="EH140" s="364">
        <v>0</v>
      </c>
      <c r="EI140" s="364">
        <v>0</v>
      </c>
      <c r="EJ140" s="365">
        <v>0</v>
      </c>
      <c r="EK140" s="365">
        <v>0</v>
      </c>
      <c r="EL140" s="365">
        <v>0</v>
      </c>
      <c r="EM140" s="365">
        <v>0</v>
      </c>
      <c r="EN140" s="365">
        <v>0</v>
      </c>
      <c r="EO140" s="365">
        <v>0</v>
      </c>
      <c r="EP140" s="365">
        <v>0</v>
      </c>
      <c r="EQ140" s="365">
        <v>0</v>
      </c>
      <c r="ER140" s="365">
        <v>0</v>
      </c>
      <c r="ES140" s="365">
        <v>0</v>
      </c>
      <c r="ET140" s="365">
        <v>0</v>
      </c>
      <c r="EU140" s="365">
        <v>0</v>
      </c>
      <c r="EV140" s="436">
        <v>0</v>
      </c>
      <c r="EW140" s="436">
        <v>0</v>
      </c>
      <c r="EX140" s="436">
        <v>0</v>
      </c>
      <c r="EY140" s="436">
        <v>0</v>
      </c>
      <c r="EZ140" s="365">
        <v>0</v>
      </c>
      <c r="FA140" s="436">
        <v>0</v>
      </c>
      <c r="FB140" s="436">
        <v>0</v>
      </c>
      <c r="FC140" s="436">
        <v>0</v>
      </c>
      <c r="FD140" s="436">
        <v>0</v>
      </c>
      <c r="FE140" s="365">
        <v>0</v>
      </c>
      <c r="FF140" s="364">
        <v>0</v>
      </c>
      <c r="FG140" s="364">
        <v>0</v>
      </c>
      <c r="FH140" s="364">
        <v>0</v>
      </c>
      <c r="FI140" s="365">
        <v>0</v>
      </c>
      <c r="FJ140" s="365">
        <v>0</v>
      </c>
      <c r="FK140" s="365">
        <v>0</v>
      </c>
      <c r="FL140" s="365">
        <v>0</v>
      </c>
      <c r="FM140" s="365">
        <v>0</v>
      </c>
      <c r="FN140" s="365">
        <v>0</v>
      </c>
      <c r="FO140" s="365">
        <v>0</v>
      </c>
      <c r="FP140" s="365">
        <v>0</v>
      </c>
      <c r="FQ140" s="365">
        <v>0</v>
      </c>
      <c r="FR140" s="365">
        <v>0</v>
      </c>
      <c r="FS140" s="365">
        <v>0</v>
      </c>
      <c r="FT140" s="365">
        <v>0</v>
      </c>
      <c r="FU140" s="436">
        <v>0</v>
      </c>
      <c r="FV140" s="436">
        <v>0</v>
      </c>
      <c r="FW140" s="436">
        <v>0</v>
      </c>
      <c r="FX140" s="436">
        <v>0</v>
      </c>
      <c r="FY140" s="365">
        <v>0</v>
      </c>
      <c r="FZ140" s="436">
        <v>0</v>
      </c>
      <c r="GA140" s="436">
        <v>0</v>
      </c>
      <c r="GB140" s="436">
        <v>0</v>
      </c>
      <c r="GC140" s="436">
        <v>0</v>
      </c>
      <c r="GD140" s="365">
        <v>0</v>
      </c>
    </row>
    <row r="141" spans="1:186" ht="15" x14ac:dyDescent="0.25">
      <c r="A141" s="357">
        <v>101</v>
      </c>
      <c r="B141" s="357">
        <v>91</v>
      </c>
      <c r="C141" s="357" t="s">
        <v>1051</v>
      </c>
      <c r="D141" s="2">
        <v>99709</v>
      </c>
      <c r="E141" s="268" t="s">
        <v>1527</v>
      </c>
      <c r="F141" s="358" t="s">
        <v>985</v>
      </c>
      <c r="G141" s="49">
        <v>107</v>
      </c>
      <c r="H141" s="49">
        <v>59</v>
      </c>
      <c r="I141" s="49">
        <v>49</v>
      </c>
      <c r="J141" s="49">
        <v>10</v>
      </c>
      <c r="K141" s="49">
        <v>0</v>
      </c>
      <c r="L141" s="49">
        <v>34</v>
      </c>
      <c r="M141" s="49">
        <v>34</v>
      </c>
      <c r="N141" s="49">
        <v>0</v>
      </c>
      <c r="O141" s="49">
        <v>0</v>
      </c>
      <c r="P141" s="49">
        <v>0</v>
      </c>
      <c r="Q141" s="49">
        <v>34</v>
      </c>
      <c r="R141" s="49">
        <v>0</v>
      </c>
      <c r="S141" s="49">
        <v>3441.1470588235293</v>
      </c>
      <c r="T141" s="49">
        <v>3441.1470588235293</v>
      </c>
      <c r="U141" s="49">
        <v>0</v>
      </c>
      <c r="V141" s="49">
        <v>0</v>
      </c>
      <c r="W141" s="49">
        <v>0</v>
      </c>
      <c r="X141" s="49">
        <v>3441.1470588235293</v>
      </c>
      <c r="Y141" s="434">
        <v>116999</v>
      </c>
      <c r="Z141" s="434">
        <v>0</v>
      </c>
      <c r="AA141" s="49">
        <v>0</v>
      </c>
      <c r="AB141" s="49">
        <v>59</v>
      </c>
      <c r="AC141" s="49">
        <v>0</v>
      </c>
      <c r="AD141" s="285">
        <v>0</v>
      </c>
      <c r="AE141" s="285">
        <v>0</v>
      </c>
      <c r="AF141" s="359">
        <v>59</v>
      </c>
      <c r="AG141" s="360">
        <v>0</v>
      </c>
      <c r="AH141" s="360">
        <v>49</v>
      </c>
      <c r="AI141" s="361">
        <v>49</v>
      </c>
      <c r="AJ141" s="360">
        <v>0</v>
      </c>
      <c r="AK141" s="360">
        <v>0</v>
      </c>
      <c r="AL141" s="360">
        <v>56.177345305456619</v>
      </c>
      <c r="AM141" s="360">
        <v>56.177345305456619</v>
      </c>
      <c r="AN141" s="360">
        <v>0</v>
      </c>
      <c r="AO141" s="360">
        <v>0</v>
      </c>
      <c r="AP141" s="360">
        <v>46.743776816000839</v>
      </c>
      <c r="AQ141" s="360">
        <v>46.743776816000839</v>
      </c>
      <c r="AR141" s="360">
        <v>0</v>
      </c>
      <c r="AS141" s="360">
        <v>0</v>
      </c>
      <c r="AT141" s="360">
        <v>0</v>
      </c>
      <c r="AU141" s="360">
        <v>53.489730941839134</v>
      </c>
      <c r="AV141" s="360">
        <v>54.81706928882339</v>
      </c>
      <c r="AW141" s="360">
        <v>56.177345305456619</v>
      </c>
      <c r="AX141" s="360">
        <v>57.571376334268237</v>
      </c>
      <c r="AY141" s="360">
        <v>59</v>
      </c>
      <c r="AZ141" s="360">
        <v>44.591442265797909</v>
      </c>
      <c r="BA141" s="360">
        <v>45.654927720631036</v>
      </c>
      <c r="BB141" s="360">
        <v>46.743776816000839</v>
      </c>
      <c r="BC141" s="360">
        <v>47.858594463106009</v>
      </c>
      <c r="BD141" s="360">
        <v>49</v>
      </c>
      <c r="BE141" s="360">
        <v>0</v>
      </c>
      <c r="BF141" s="360">
        <v>0</v>
      </c>
      <c r="BG141" s="360">
        <v>0</v>
      </c>
      <c r="BH141" s="360">
        <v>0</v>
      </c>
      <c r="BI141" s="360">
        <v>0</v>
      </c>
      <c r="BJ141" s="362">
        <v>59.476891894713233</v>
      </c>
      <c r="BK141" s="362">
        <v>59.957638465345831</v>
      </c>
      <c r="BL141" s="362">
        <v>60.442270868909723</v>
      </c>
      <c r="BM141" s="363">
        <v>60.044889456701725</v>
      </c>
      <c r="BN141" s="363">
        <v>59.650120652929814</v>
      </c>
      <c r="BO141" s="363">
        <v>59.459638510185258</v>
      </c>
      <c r="BP141" s="363">
        <v>59.269764638577584</v>
      </c>
      <c r="BQ141" s="363">
        <v>59.08049709570016</v>
      </c>
      <c r="BR141" s="363">
        <v>58.891833945349099</v>
      </c>
      <c r="BS141" s="363">
        <v>58.703773257503435</v>
      </c>
      <c r="BT141" s="363">
        <v>59.138003179875014</v>
      </c>
      <c r="BU141" s="363">
        <v>59.575445087013826</v>
      </c>
      <c r="BV141" s="363">
        <v>60.016122737867889</v>
      </c>
      <c r="BW141" s="363">
        <v>60.460060067129376</v>
      </c>
      <c r="BX141" s="363">
        <v>60.907281186534568</v>
      </c>
      <c r="BY141" s="435">
        <v>61.152787284006202</v>
      </c>
      <c r="BZ141" s="435">
        <v>61.398293381477842</v>
      </c>
      <c r="CA141" s="435">
        <v>61.643799478949475</v>
      </c>
      <c r="CB141" s="435">
        <v>61.889305576421116</v>
      </c>
      <c r="CC141" s="363">
        <v>62.134811673892749</v>
      </c>
      <c r="CD141" s="435">
        <v>62.336054110440926</v>
      </c>
      <c r="CE141" s="435">
        <v>62.537296546989104</v>
      </c>
      <c r="CF141" s="435">
        <v>62.738538983537289</v>
      </c>
      <c r="CG141" s="435">
        <v>62.939781420085467</v>
      </c>
      <c r="CH141" s="363">
        <v>63.141023856633645</v>
      </c>
      <c r="CI141" s="362">
        <v>49.396062760016072</v>
      </c>
      <c r="CJ141" s="362">
        <v>49.795326861049929</v>
      </c>
      <c r="CK141" s="362">
        <v>50.197818179264004</v>
      </c>
      <c r="CL141" s="363">
        <v>49.867789548786178</v>
      </c>
      <c r="CM141" s="363">
        <v>49.539930711755268</v>
      </c>
      <c r="CN141" s="363">
        <v>49.381733677950464</v>
      </c>
      <c r="CO141" s="363">
        <v>49.224041818479684</v>
      </c>
      <c r="CP141" s="363">
        <v>49.066853520157757</v>
      </c>
      <c r="CQ141" s="363">
        <v>48.910167174950942</v>
      </c>
      <c r="CR141" s="363">
        <v>48.753981179960476</v>
      </c>
      <c r="CS141" s="363">
        <v>49.114612810404665</v>
      </c>
      <c r="CT141" s="363">
        <v>49.477912021418263</v>
      </c>
      <c r="CU141" s="363">
        <v>49.843898545008919</v>
      </c>
      <c r="CV141" s="363">
        <v>50.212592259141346</v>
      </c>
      <c r="CW141" s="363">
        <v>50.584013188816847</v>
      </c>
      <c r="CX141" s="435">
        <v>50.787908083327189</v>
      </c>
      <c r="CY141" s="435">
        <v>50.99180297783753</v>
      </c>
      <c r="CZ141" s="435">
        <v>51.195697872347871</v>
      </c>
      <c r="DA141" s="435">
        <v>51.399592766858213</v>
      </c>
      <c r="DB141" s="363">
        <v>51.603487661368554</v>
      </c>
      <c r="DC141" s="435">
        <v>51.770621210366194</v>
      </c>
      <c r="DD141" s="435">
        <v>51.937754759363834</v>
      </c>
      <c r="DE141" s="435">
        <v>52.104888308361467</v>
      </c>
      <c r="DF141" s="435">
        <v>52.272021857359107</v>
      </c>
      <c r="DG141" s="363">
        <v>52.439155406356747</v>
      </c>
      <c r="DH141" s="362">
        <v>0</v>
      </c>
      <c r="DI141" s="362">
        <v>0</v>
      </c>
      <c r="DJ141" s="362">
        <v>0</v>
      </c>
      <c r="DK141" s="363">
        <v>0</v>
      </c>
      <c r="DL141" s="363">
        <v>0</v>
      </c>
      <c r="DM141" s="363">
        <v>0</v>
      </c>
      <c r="DN141" s="363">
        <v>0</v>
      </c>
      <c r="DO141" s="363">
        <v>0</v>
      </c>
      <c r="DP141" s="363">
        <v>0</v>
      </c>
      <c r="DQ141" s="363">
        <v>0</v>
      </c>
      <c r="DR141" s="363">
        <v>0</v>
      </c>
      <c r="DS141" s="363">
        <v>0</v>
      </c>
      <c r="DT141" s="363">
        <v>0</v>
      </c>
      <c r="DU141" s="363">
        <v>0</v>
      </c>
      <c r="DV141" s="363">
        <v>0</v>
      </c>
      <c r="DW141" s="435">
        <v>0</v>
      </c>
      <c r="DX141" s="435">
        <v>0</v>
      </c>
      <c r="DY141" s="435">
        <v>0</v>
      </c>
      <c r="DZ141" s="435">
        <v>0</v>
      </c>
      <c r="EA141" s="363">
        <v>0</v>
      </c>
      <c r="EB141" s="435">
        <v>0</v>
      </c>
      <c r="EC141" s="435">
        <v>0</v>
      </c>
      <c r="ED141" s="435">
        <v>0</v>
      </c>
      <c r="EE141" s="435">
        <v>0</v>
      </c>
      <c r="EF141" s="363">
        <v>0</v>
      </c>
      <c r="EG141" s="364">
        <v>0</v>
      </c>
      <c r="EH141" s="364">
        <v>0</v>
      </c>
      <c r="EI141" s="364">
        <v>0</v>
      </c>
      <c r="EJ141" s="365">
        <v>0</v>
      </c>
      <c r="EK141" s="365">
        <v>0</v>
      </c>
      <c r="EL141" s="365">
        <v>0</v>
      </c>
      <c r="EM141" s="365">
        <v>0</v>
      </c>
      <c r="EN141" s="365">
        <v>0</v>
      </c>
      <c r="EO141" s="365">
        <v>0</v>
      </c>
      <c r="EP141" s="365">
        <v>0</v>
      </c>
      <c r="EQ141" s="365">
        <v>0</v>
      </c>
      <c r="ER141" s="365">
        <v>0</v>
      </c>
      <c r="ES141" s="365">
        <v>0</v>
      </c>
      <c r="ET141" s="365">
        <v>0</v>
      </c>
      <c r="EU141" s="365">
        <v>0</v>
      </c>
      <c r="EV141" s="436">
        <v>0</v>
      </c>
      <c r="EW141" s="436">
        <v>0</v>
      </c>
      <c r="EX141" s="436">
        <v>0</v>
      </c>
      <c r="EY141" s="436">
        <v>0</v>
      </c>
      <c r="EZ141" s="365">
        <v>0</v>
      </c>
      <c r="FA141" s="436">
        <v>0</v>
      </c>
      <c r="FB141" s="436">
        <v>0</v>
      </c>
      <c r="FC141" s="436">
        <v>0</v>
      </c>
      <c r="FD141" s="436">
        <v>0</v>
      </c>
      <c r="FE141" s="365">
        <v>0</v>
      </c>
      <c r="FF141" s="364">
        <v>0</v>
      </c>
      <c r="FG141" s="364">
        <v>0</v>
      </c>
      <c r="FH141" s="364">
        <v>0</v>
      </c>
      <c r="FI141" s="365">
        <v>0</v>
      </c>
      <c r="FJ141" s="365">
        <v>0</v>
      </c>
      <c r="FK141" s="365">
        <v>0</v>
      </c>
      <c r="FL141" s="365">
        <v>0</v>
      </c>
      <c r="FM141" s="365">
        <v>0</v>
      </c>
      <c r="FN141" s="365">
        <v>0</v>
      </c>
      <c r="FO141" s="365">
        <v>0</v>
      </c>
      <c r="FP141" s="365">
        <v>0</v>
      </c>
      <c r="FQ141" s="365">
        <v>0</v>
      </c>
      <c r="FR141" s="365">
        <v>0</v>
      </c>
      <c r="FS141" s="365">
        <v>0</v>
      </c>
      <c r="FT141" s="365">
        <v>0</v>
      </c>
      <c r="FU141" s="436">
        <v>0</v>
      </c>
      <c r="FV141" s="436">
        <v>0</v>
      </c>
      <c r="FW141" s="436">
        <v>0</v>
      </c>
      <c r="FX141" s="436">
        <v>0</v>
      </c>
      <c r="FY141" s="365">
        <v>0</v>
      </c>
      <c r="FZ141" s="436">
        <v>0</v>
      </c>
      <c r="GA141" s="436">
        <v>0</v>
      </c>
      <c r="GB141" s="436">
        <v>0</v>
      </c>
      <c r="GC141" s="436">
        <v>0</v>
      </c>
      <c r="GD141" s="365">
        <v>0</v>
      </c>
    </row>
    <row r="142" spans="1:186" ht="15" x14ac:dyDescent="0.25">
      <c r="A142" s="357">
        <v>102</v>
      </c>
      <c r="B142" s="357">
        <v>91</v>
      </c>
      <c r="C142" s="357" t="s">
        <v>1052</v>
      </c>
      <c r="D142" s="2">
        <v>99709</v>
      </c>
      <c r="E142" s="268" t="s">
        <v>1527</v>
      </c>
      <c r="F142" s="358" t="s">
        <v>985</v>
      </c>
      <c r="G142" s="49">
        <v>131</v>
      </c>
      <c r="H142" s="49">
        <v>67</v>
      </c>
      <c r="I142" s="49">
        <v>57</v>
      </c>
      <c r="J142" s="49">
        <v>10</v>
      </c>
      <c r="K142" s="49">
        <v>2</v>
      </c>
      <c r="L142" s="49">
        <v>69</v>
      </c>
      <c r="M142" s="49">
        <v>71</v>
      </c>
      <c r="N142" s="49">
        <v>12</v>
      </c>
      <c r="O142" s="49">
        <v>0</v>
      </c>
      <c r="P142" s="49">
        <v>0</v>
      </c>
      <c r="Q142" s="49">
        <v>83</v>
      </c>
      <c r="R142" s="49">
        <v>3726</v>
      </c>
      <c r="S142" s="49">
        <v>2085.782608695652</v>
      </c>
      <c r="T142" s="49">
        <v>2131.9859154929577</v>
      </c>
      <c r="U142" s="49">
        <v>3642.75</v>
      </c>
      <c r="V142" s="49">
        <v>0</v>
      </c>
      <c r="W142" s="49">
        <v>0</v>
      </c>
      <c r="X142" s="49">
        <v>2350.4096385542171</v>
      </c>
      <c r="Y142" s="434">
        <v>151371</v>
      </c>
      <c r="Z142" s="434">
        <v>43713</v>
      </c>
      <c r="AA142" s="49">
        <v>1.8873239436619718</v>
      </c>
      <c r="AB142" s="49">
        <v>65.112676056338032</v>
      </c>
      <c r="AC142" s="49">
        <v>0</v>
      </c>
      <c r="AD142" s="285">
        <v>12</v>
      </c>
      <c r="AE142" s="285">
        <v>0</v>
      </c>
      <c r="AF142" s="359">
        <v>79</v>
      </c>
      <c r="AG142" s="360">
        <v>1.6056338028169013</v>
      </c>
      <c r="AH142" s="360">
        <v>55.394366197183096</v>
      </c>
      <c r="AI142" s="361">
        <v>57</v>
      </c>
      <c r="AJ142" s="360">
        <v>0</v>
      </c>
      <c r="AK142" s="360">
        <v>1.79703133705686</v>
      </c>
      <c r="AL142" s="360">
        <v>61.997581128461682</v>
      </c>
      <c r="AM142" s="360">
        <v>63.79461246551854</v>
      </c>
      <c r="AN142" s="360">
        <v>0</v>
      </c>
      <c r="AO142" s="360">
        <v>1.5317017985122434</v>
      </c>
      <c r="AP142" s="360">
        <v>52.843712048672401</v>
      </c>
      <c r="AQ142" s="360">
        <v>54.375413847184646</v>
      </c>
      <c r="AR142" s="360">
        <v>0</v>
      </c>
      <c r="AS142" s="360">
        <v>11.51598886201489</v>
      </c>
      <c r="AT142" s="360">
        <v>0</v>
      </c>
      <c r="AU142" s="360">
        <v>60.742575815308854</v>
      </c>
      <c r="AV142" s="360">
        <v>62.249892243240119</v>
      </c>
      <c r="AW142" s="360">
        <v>63.794612465518533</v>
      </c>
      <c r="AX142" s="360">
        <v>65.377664650779181</v>
      </c>
      <c r="AY142" s="360">
        <v>67</v>
      </c>
      <c r="AZ142" s="360">
        <v>51.871677737764912</v>
      </c>
      <c r="BA142" s="360">
        <v>53.108793470938146</v>
      </c>
      <c r="BB142" s="360">
        <v>54.375413847184653</v>
      </c>
      <c r="BC142" s="360">
        <v>55.672242538715153</v>
      </c>
      <c r="BD142" s="360">
        <v>57</v>
      </c>
      <c r="BE142" s="360">
        <v>11.051499955837585</v>
      </c>
      <c r="BF142" s="360">
        <v>11.281354103120055</v>
      </c>
      <c r="BG142" s="360">
        <v>11.51598886201489</v>
      </c>
      <c r="BH142" s="360">
        <v>11.755503661867436</v>
      </c>
      <c r="BI142" s="360">
        <v>12</v>
      </c>
      <c r="BJ142" s="362">
        <v>67.54155520247096</v>
      </c>
      <c r="BK142" s="362">
        <v>68.08748774878255</v>
      </c>
      <c r="BL142" s="362">
        <v>68.637833020626289</v>
      </c>
      <c r="BM142" s="363">
        <v>68.186569383034154</v>
      </c>
      <c r="BN142" s="363">
        <v>67.73827260586944</v>
      </c>
      <c r="BO142" s="363">
        <v>67.521962375973075</v>
      </c>
      <c r="BP142" s="363">
        <v>67.306342894655899</v>
      </c>
      <c r="BQ142" s="363">
        <v>67.091411956134067</v>
      </c>
      <c r="BR142" s="363">
        <v>66.877167361667617</v>
      </c>
      <c r="BS142" s="363">
        <v>66.663606919537798</v>
      </c>
      <c r="BT142" s="363">
        <v>67.156715475451279</v>
      </c>
      <c r="BU142" s="363">
        <v>67.653471539490269</v>
      </c>
      <c r="BV142" s="363">
        <v>68.15390209215505</v>
      </c>
      <c r="BW142" s="363">
        <v>68.658034313519792</v>
      </c>
      <c r="BX142" s="363">
        <v>69.16589558470875</v>
      </c>
      <c r="BY142" s="435">
        <v>69.444690644549425</v>
      </c>
      <c r="BZ142" s="435">
        <v>69.723485704390086</v>
      </c>
      <c r="CA142" s="435">
        <v>70.002280764230761</v>
      </c>
      <c r="CB142" s="435">
        <v>70.281075824071422</v>
      </c>
      <c r="CC142" s="363">
        <v>70.559870883912097</v>
      </c>
      <c r="CD142" s="435">
        <v>70.788400430500701</v>
      </c>
      <c r="CE142" s="435">
        <v>71.016929977089319</v>
      </c>
      <c r="CF142" s="435">
        <v>71.245459523677923</v>
      </c>
      <c r="CG142" s="435">
        <v>71.473989070266541</v>
      </c>
      <c r="CH142" s="363">
        <v>71.702518616855144</v>
      </c>
      <c r="CI142" s="362">
        <v>57.460726067773798</v>
      </c>
      <c r="CJ142" s="362">
        <v>57.925176144486649</v>
      </c>
      <c r="CK142" s="362">
        <v>58.393380330980577</v>
      </c>
      <c r="CL142" s="363">
        <v>58.009469475118614</v>
      </c>
      <c r="CM142" s="363">
        <v>57.628082664694901</v>
      </c>
      <c r="CN142" s="363">
        <v>57.444057543738296</v>
      </c>
      <c r="CO142" s="363">
        <v>57.260620074557998</v>
      </c>
      <c r="CP142" s="363">
        <v>57.077768380591678</v>
      </c>
      <c r="CQ142" s="363">
        <v>56.895500591269467</v>
      </c>
      <c r="CR142" s="363">
        <v>56.713814841994839</v>
      </c>
      <c r="CS142" s="363">
        <v>57.133325105980937</v>
      </c>
      <c r="CT142" s="363">
        <v>57.555938473894713</v>
      </c>
      <c r="CU142" s="363">
        <v>57.981677899296088</v>
      </c>
      <c r="CV142" s="363">
        <v>58.410566505531769</v>
      </c>
      <c r="CW142" s="363">
        <v>58.842627586991021</v>
      </c>
      <c r="CX142" s="435">
        <v>59.079811443870398</v>
      </c>
      <c r="CY142" s="435">
        <v>59.316995300749774</v>
      </c>
      <c r="CZ142" s="435">
        <v>59.554179157629157</v>
      </c>
      <c r="DA142" s="435">
        <v>59.791363014508534</v>
      </c>
      <c r="DB142" s="363">
        <v>60.02854687138791</v>
      </c>
      <c r="DC142" s="435">
        <v>60.222967530425983</v>
      </c>
      <c r="DD142" s="435">
        <v>60.417388189464049</v>
      </c>
      <c r="DE142" s="435">
        <v>60.611808848502122</v>
      </c>
      <c r="DF142" s="435">
        <v>60.806229507540188</v>
      </c>
      <c r="DG142" s="363">
        <v>61.000650166578261</v>
      </c>
      <c r="DH142" s="362">
        <v>12.096994961636589</v>
      </c>
      <c r="DI142" s="362">
        <v>12.194773925155085</v>
      </c>
      <c r="DJ142" s="362">
        <v>12.293343227574859</v>
      </c>
      <c r="DK142" s="363">
        <v>12.212519889498656</v>
      </c>
      <c r="DL142" s="363">
        <v>12.132227929409453</v>
      </c>
      <c r="DM142" s="363">
        <v>12.093485798681746</v>
      </c>
      <c r="DN142" s="363">
        <v>12.054867384117474</v>
      </c>
      <c r="DO142" s="363">
        <v>12.01637229065088</v>
      </c>
      <c r="DP142" s="363">
        <v>11.978000124477783</v>
      </c>
      <c r="DQ142" s="363">
        <v>11.939750493051546</v>
      </c>
      <c r="DR142" s="363">
        <v>12.028068443364409</v>
      </c>
      <c r="DS142" s="363">
        <v>12.117039678714676</v>
      </c>
      <c r="DT142" s="363">
        <v>12.206669031430756</v>
      </c>
      <c r="DU142" s="363">
        <v>12.296961369585636</v>
      </c>
      <c r="DV142" s="363">
        <v>12.387921597261268</v>
      </c>
      <c r="DW142" s="435">
        <v>12.437855040814821</v>
      </c>
      <c r="DX142" s="435">
        <v>12.487788484368375</v>
      </c>
      <c r="DY142" s="435">
        <v>12.537721927921927</v>
      </c>
      <c r="DZ142" s="435">
        <v>12.587655371475481</v>
      </c>
      <c r="EA142" s="363">
        <v>12.637588815029034</v>
      </c>
      <c r="EB142" s="435">
        <v>12.67851948008968</v>
      </c>
      <c r="EC142" s="435">
        <v>12.719450145150326</v>
      </c>
      <c r="ED142" s="435">
        <v>12.760380810210973</v>
      </c>
      <c r="EE142" s="435">
        <v>12.801311475271619</v>
      </c>
      <c r="EF142" s="363">
        <v>12.842242140332266</v>
      </c>
      <c r="EG142" s="364">
        <v>0</v>
      </c>
      <c r="EH142" s="364">
        <v>0</v>
      </c>
      <c r="EI142" s="364">
        <v>0</v>
      </c>
      <c r="EJ142" s="365">
        <v>0</v>
      </c>
      <c r="EK142" s="365">
        <v>0</v>
      </c>
      <c r="EL142" s="365">
        <v>0</v>
      </c>
      <c r="EM142" s="365">
        <v>0</v>
      </c>
      <c r="EN142" s="365">
        <v>0</v>
      </c>
      <c r="EO142" s="365">
        <v>0</v>
      </c>
      <c r="EP142" s="365">
        <v>0</v>
      </c>
      <c r="EQ142" s="365">
        <v>0</v>
      </c>
      <c r="ER142" s="365">
        <v>0</v>
      </c>
      <c r="ES142" s="365">
        <v>0</v>
      </c>
      <c r="ET142" s="365">
        <v>0</v>
      </c>
      <c r="EU142" s="365">
        <v>0</v>
      </c>
      <c r="EV142" s="436">
        <v>0</v>
      </c>
      <c r="EW142" s="436">
        <v>0</v>
      </c>
      <c r="EX142" s="436">
        <v>0</v>
      </c>
      <c r="EY142" s="436">
        <v>0</v>
      </c>
      <c r="EZ142" s="365">
        <v>0</v>
      </c>
      <c r="FA142" s="436">
        <v>0</v>
      </c>
      <c r="FB142" s="436">
        <v>0</v>
      </c>
      <c r="FC142" s="436">
        <v>0</v>
      </c>
      <c r="FD142" s="436">
        <v>0</v>
      </c>
      <c r="FE142" s="365">
        <v>0</v>
      </c>
      <c r="FF142" s="364">
        <v>0</v>
      </c>
      <c r="FG142" s="364">
        <v>0</v>
      </c>
      <c r="FH142" s="364">
        <v>0</v>
      </c>
      <c r="FI142" s="365">
        <v>0</v>
      </c>
      <c r="FJ142" s="365">
        <v>0</v>
      </c>
      <c r="FK142" s="365">
        <v>0</v>
      </c>
      <c r="FL142" s="365">
        <v>0</v>
      </c>
      <c r="FM142" s="365">
        <v>0</v>
      </c>
      <c r="FN142" s="365">
        <v>0</v>
      </c>
      <c r="FO142" s="365">
        <v>0</v>
      </c>
      <c r="FP142" s="365">
        <v>0</v>
      </c>
      <c r="FQ142" s="365">
        <v>0</v>
      </c>
      <c r="FR142" s="365">
        <v>0</v>
      </c>
      <c r="FS142" s="365">
        <v>0</v>
      </c>
      <c r="FT142" s="365">
        <v>0</v>
      </c>
      <c r="FU142" s="436">
        <v>0</v>
      </c>
      <c r="FV142" s="436">
        <v>0</v>
      </c>
      <c r="FW142" s="436">
        <v>0</v>
      </c>
      <c r="FX142" s="436">
        <v>0</v>
      </c>
      <c r="FY142" s="365">
        <v>0</v>
      </c>
      <c r="FZ142" s="436">
        <v>0</v>
      </c>
      <c r="GA142" s="436">
        <v>0</v>
      </c>
      <c r="GB142" s="436">
        <v>0</v>
      </c>
      <c r="GC142" s="436">
        <v>0</v>
      </c>
      <c r="GD142" s="365">
        <v>0</v>
      </c>
    </row>
    <row r="143" spans="1:186" ht="15" x14ac:dyDescent="0.25">
      <c r="A143" s="357">
        <v>103</v>
      </c>
      <c r="B143" s="357">
        <v>91</v>
      </c>
      <c r="C143" s="357" t="s">
        <v>1053</v>
      </c>
      <c r="D143" s="2">
        <v>99709</v>
      </c>
      <c r="E143" s="268" t="s">
        <v>1527</v>
      </c>
      <c r="F143" s="358" t="s">
        <v>985</v>
      </c>
      <c r="G143" s="49">
        <v>278</v>
      </c>
      <c r="H143" s="49">
        <v>142</v>
      </c>
      <c r="I143" s="49">
        <v>126</v>
      </c>
      <c r="J143" s="49">
        <v>16</v>
      </c>
      <c r="K143" s="49">
        <v>0</v>
      </c>
      <c r="L143" s="49">
        <v>29</v>
      </c>
      <c r="M143" s="49">
        <v>29</v>
      </c>
      <c r="N143" s="49">
        <v>15</v>
      </c>
      <c r="O143" s="49">
        <v>0</v>
      </c>
      <c r="P143" s="49">
        <v>0</v>
      </c>
      <c r="Q143" s="49">
        <v>44</v>
      </c>
      <c r="R143" s="49">
        <v>0</v>
      </c>
      <c r="S143" s="49">
        <v>2830.4482758620688</v>
      </c>
      <c r="T143" s="49">
        <v>2830.4482758620688</v>
      </c>
      <c r="U143" s="49">
        <v>6957.4</v>
      </c>
      <c r="V143" s="49">
        <v>0</v>
      </c>
      <c r="W143" s="49">
        <v>0</v>
      </c>
      <c r="X143" s="49">
        <v>4237.363636363636</v>
      </c>
      <c r="Y143" s="434">
        <v>82083</v>
      </c>
      <c r="Z143" s="434">
        <v>104361</v>
      </c>
      <c r="AA143" s="49">
        <v>0</v>
      </c>
      <c r="AB143" s="49">
        <v>142</v>
      </c>
      <c r="AC143" s="49">
        <v>0</v>
      </c>
      <c r="AD143" s="285">
        <v>15</v>
      </c>
      <c r="AE143" s="285">
        <v>0</v>
      </c>
      <c r="AF143" s="359">
        <v>157</v>
      </c>
      <c r="AG143" s="360">
        <v>0</v>
      </c>
      <c r="AH143" s="360">
        <v>126</v>
      </c>
      <c r="AI143" s="361">
        <v>126</v>
      </c>
      <c r="AJ143" s="360">
        <v>0</v>
      </c>
      <c r="AK143" s="360">
        <v>0</v>
      </c>
      <c r="AL143" s="360">
        <v>135.20649209109899</v>
      </c>
      <c r="AM143" s="360">
        <v>135.20649209109899</v>
      </c>
      <c r="AN143" s="360">
        <v>0</v>
      </c>
      <c r="AO143" s="360">
        <v>0</v>
      </c>
      <c r="AP143" s="360">
        <v>120.19828324114502</v>
      </c>
      <c r="AQ143" s="360">
        <v>120.19828324114502</v>
      </c>
      <c r="AR143" s="360">
        <v>0</v>
      </c>
      <c r="AS143" s="360">
        <v>14.394986077518613</v>
      </c>
      <c r="AT143" s="360">
        <v>0</v>
      </c>
      <c r="AU143" s="360">
        <v>128.73799650408742</v>
      </c>
      <c r="AV143" s="360">
        <v>131.93260744089696</v>
      </c>
      <c r="AW143" s="360">
        <v>135.20649209109899</v>
      </c>
      <c r="AX143" s="360">
        <v>138.56161761806931</v>
      </c>
      <c r="AY143" s="360">
        <v>142</v>
      </c>
      <c r="AZ143" s="360">
        <v>114.66370868348034</v>
      </c>
      <c r="BA143" s="360">
        <v>117.39838556733696</v>
      </c>
      <c r="BB143" s="360">
        <v>120.19828324114502</v>
      </c>
      <c r="BC143" s="360">
        <v>123.06495719084403</v>
      </c>
      <c r="BD143" s="360">
        <v>126</v>
      </c>
      <c r="BE143" s="360">
        <v>13.814374944796981</v>
      </c>
      <c r="BF143" s="360">
        <v>14.101692628900068</v>
      </c>
      <c r="BG143" s="360">
        <v>14.394986077518613</v>
      </c>
      <c r="BH143" s="360">
        <v>14.694379577334294</v>
      </c>
      <c r="BI143" s="360">
        <v>15</v>
      </c>
      <c r="BJ143" s="362">
        <v>145.33158690364144</v>
      </c>
      <c r="BK143" s="362">
        <v>148.7413390981034</v>
      </c>
      <c r="BL143" s="362">
        <v>152.23109048802829</v>
      </c>
      <c r="BM143" s="363">
        <v>151.23023785872687</v>
      </c>
      <c r="BN143" s="363">
        <v>150.23596539634386</v>
      </c>
      <c r="BO143" s="363">
        <v>149.75621333058524</v>
      </c>
      <c r="BP143" s="363">
        <v>149.27799326845837</v>
      </c>
      <c r="BQ143" s="363">
        <v>148.80130031777969</v>
      </c>
      <c r="BR143" s="363">
        <v>148.3261296019881</v>
      </c>
      <c r="BS143" s="363">
        <v>147.8524762600949</v>
      </c>
      <c r="BT143" s="363">
        <v>148.9461362707938</v>
      </c>
      <c r="BU143" s="363">
        <v>150.04788604941038</v>
      </c>
      <c r="BV143" s="363">
        <v>151.15778543569772</v>
      </c>
      <c r="BW143" s="363">
        <v>152.27589471204163</v>
      </c>
      <c r="BX143" s="363">
        <v>153.40227460673464</v>
      </c>
      <c r="BY143" s="435">
        <v>154.0206110855315</v>
      </c>
      <c r="BZ143" s="435">
        <v>154.63894756432836</v>
      </c>
      <c r="CA143" s="435">
        <v>155.2572840431252</v>
      </c>
      <c r="CB143" s="435">
        <v>155.87562052192206</v>
      </c>
      <c r="CC143" s="363">
        <v>156.49395700071892</v>
      </c>
      <c r="CD143" s="435">
        <v>157.00081015378197</v>
      </c>
      <c r="CE143" s="435">
        <v>157.50766330684499</v>
      </c>
      <c r="CF143" s="435">
        <v>158.01451645990804</v>
      </c>
      <c r="CG143" s="435">
        <v>158.52136961297106</v>
      </c>
      <c r="CH143" s="363">
        <v>159.02822276603411</v>
      </c>
      <c r="CI143" s="362">
        <v>128.95619682999171</v>
      </c>
      <c r="CJ143" s="362">
        <v>131.98175159409175</v>
      </c>
      <c r="CK143" s="362">
        <v>135.07829155979974</v>
      </c>
      <c r="CL143" s="363">
        <v>134.19021105774357</v>
      </c>
      <c r="CM143" s="363">
        <v>133.30796929534736</v>
      </c>
      <c r="CN143" s="363">
        <v>132.88227380037844</v>
      </c>
      <c r="CO143" s="363">
        <v>132.45793768891374</v>
      </c>
      <c r="CP143" s="363">
        <v>132.03495662000171</v>
      </c>
      <c r="CQ143" s="363">
        <v>131.61332626655283</v>
      </c>
      <c r="CR143" s="363">
        <v>131.19304231529546</v>
      </c>
      <c r="CS143" s="363">
        <v>132.1634730290142</v>
      </c>
      <c r="CT143" s="363">
        <v>133.14108198750498</v>
      </c>
      <c r="CU143" s="363">
        <v>134.12592228801344</v>
      </c>
      <c r="CV143" s="363">
        <v>135.11804742054397</v>
      </c>
      <c r="CW143" s="363">
        <v>136.11751127076454</v>
      </c>
      <c r="CX143" s="435">
        <v>136.66617603364062</v>
      </c>
      <c r="CY143" s="435">
        <v>137.21484079651671</v>
      </c>
      <c r="CZ143" s="435">
        <v>137.76350555939277</v>
      </c>
      <c r="DA143" s="435">
        <v>138.31217032226886</v>
      </c>
      <c r="DB143" s="363">
        <v>138.86083508514494</v>
      </c>
      <c r="DC143" s="435">
        <v>139.31057802377833</v>
      </c>
      <c r="DD143" s="435">
        <v>139.76032096241173</v>
      </c>
      <c r="DE143" s="435">
        <v>140.21006390104515</v>
      </c>
      <c r="DF143" s="435">
        <v>140.65980683967854</v>
      </c>
      <c r="DG143" s="363">
        <v>141.10954977831193</v>
      </c>
      <c r="DH143" s="362">
        <v>15.351928194046632</v>
      </c>
      <c r="DI143" s="362">
        <v>15.712113285010924</v>
      </c>
      <c r="DJ143" s="362">
        <v>16.080748995214254</v>
      </c>
      <c r="DK143" s="363">
        <v>15.975025125921851</v>
      </c>
      <c r="DL143" s="363">
        <v>15.869996344684209</v>
      </c>
      <c r="DM143" s="363">
        <v>15.819318309568864</v>
      </c>
      <c r="DN143" s="363">
        <v>15.768802105823065</v>
      </c>
      <c r="DO143" s="363">
        <v>15.718447216666869</v>
      </c>
      <c r="DP143" s="363">
        <v>15.668253126970574</v>
      </c>
      <c r="DQ143" s="363">
        <v>15.618219323249459</v>
      </c>
      <c r="DR143" s="363">
        <v>15.733746789168357</v>
      </c>
      <c r="DS143" s="363">
        <v>15.850128808036304</v>
      </c>
      <c r="DT143" s="363">
        <v>15.967371700953981</v>
      </c>
      <c r="DU143" s="363">
        <v>16.085481835779042</v>
      </c>
      <c r="DV143" s="363">
        <v>16.204465627471969</v>
      </c>
      <c r="DW143" s="435">
        <v>16.269782861147693</v>
      </c>
      <c r="DX143" s="435">
        <v>16.335100094823417</v>
      </c>
      <c r="DY143" s="435">
        <v>16.400417328499138</v>
      </c>
      <c r="DZ143" s="435">
        <v>16.465734562174863</v>
      </c>
      <c r="EA143" s="363">
        <v>16.531051795850587</v>
      </c>
      <c r="EB143" s="435">
        <v>16.584592621878372</v>
      </c>
      <c r="EC143" s="435">
        <v>16.638133447906156</v>
      </c>
      <c r="ED143" s="435">
        <v>16.691674273933945</v>
      </c>
      <c r="EE143" s="435">
        <v>16.74521509996173</v>
      </c>
      <c r="EF143" s="363">
        <v>16.798755925989514</v>
      </c>
      <c r="EG143" s="364">
        <v>0</v>
      </c>
      <c r="EH143" s="364">
        <v>0</v>
      </c>
      <c r="EI143" s="364">
        <v>0</v>
      </c>
      <c r="EJ143" s="365">
        <v>0</v>
      </c>
      <c r="EK143" s="365">
        <v>0</v>
      </c>
      <c r="EL143" s="365">
        <v>0</v>
      </c>
      <c r="EM143" s="365">
        <v>0</v>
      </c>
      <c r="EN143" s="365">
        <v>0</v>
      </c>
      <c r="EO143" s="365">
        <v>0</v>
      </c>
      <c r="EP143" s="365">
        <v>0</v>
      </c>
      <c r="EQ143" s="365">
        <v>0</v>
      </c>
      <c r="ER143" s="365">
        <v>0</v>
      </c>
      <c r="ES143" s="365">
        <v>0</v>
      </c>
      <c r="ET143" s="365">
        <v>0</v>
      </c>
      <c r="EU143" s="365">
        <v>0</v>
      </c>
      <c r="EV143" s="436">
        <v>0</v>
      </c>
      <c r="EW143" s="436">
        <v>0</v>
      </c>
      <c r="EX143" s="436">
        <v>0</v>
      </c>
      <c r="EY143" s="436">
        <v>0</v>
      </c>
      <c r="EZ143" s="365">
        <v>0</v>
      </c>
      <c r="FA143" s="436">
        <v>0</v>
      </c>
      <c r="FB143" s="436">
        <v>0</v>
      </c>
      <c r="FC143" s="436">
        <v>0</v>
      </c>
      <c r="FD143" s="436">
        <v>0</v>
      </c>
      <c r="FE143" s="365">
        <v>0</v>
      </c>
      <c r="FF143" s="364">
        <v>0</v>
      </c>
      <c r="FG143" s="364">
        <v>0</v>
      </c>
      <c r="FH143" s="364">
        <v>0</v>
      </c>
      <c r="FI143" s="365">
        <v>0</v>
      </c>
      <c r="FJ143" s="365">
        <v>0</v>
      </c>
      <c r="FK143" s="365">
        <v>0</v>
      </c>
      <c r="FL143" s="365">
        <v>0</v>
      </c>
      <c r="FM143" s="365">
        <v>0</v>
      </c>
      <c r="FN143" s="365">
        <v>0</v>
      </c>
      <c r="FO143" s="365">
        <v>0</v>
      </c>
      <c r="FP143" s="365">
        <v>0</v>
      </c>
      <c r="FQ143" s="365">
        <v>0</v>
      </c>
      <c r="FR143" s="365">
        <v>0</v>
      </c>
      <c r="FS143" s="365">
        <v>0</v>
      </c>
      <c r="FT143" s="365">
        <v>0</v>
      </c>
      <c r="FU143" s="436">
        <v>0</v>
      </c>
      <c r="FV143" s="436">
        <v>0</v>
      </c>
      <c r="FW143" s="436">
        <v>0</v>
      </c>
      <c r="FX143" s="436">
        <v>0</v>
      </c>
      <c r="FY143" s="365">
        <v>0</v>
      </c>
      <c r="FZ143" s="436">
        <v>0</v>
      </c>
      <c r="GA143" s="436">
        <v>0</v>
      </c>
      <c r="GB143" s="436">
        <v>0</v>
      </c>
      <c r="GC143" s="436">
        <v>0</v>
      </c>
      <c r="GD143" s="365">
        <v>0</v>
      </c>
    </row>
    <row r="144" spans="1:186" ht="15" x14ac:dyDescent="0.25">
      <c r="A144" s="357">
        <v>104</v>
      </c>
      <c r="B144" s="357">
        <v>91</v>
      </c>
      <c r="C144" s="357" t="s">
        <v>1054</v>
      </c>
      <c r="D144" s="2">
        <v>99709</v>
      </c>
      <c r="E144" s="268" t="s">
        <v>1527</v>
      </c>
      <c r="F144" s="358" t="s">
        <v>985</v>
      </c>
      <c r="G144" s="49">
        <v>14</v>
      </c>
      <c r="H144" s="49">
        <v>0</v>
      </c>
      <c r="I144" s="49">
        <v>0</v>
      </c>
      <c r="J144" s="49">
        <v>0</v>
      </c>
      <c r="K144" s="49">
        <v>0</v>
      </c>
      <c r="L144" s="49">
        <v>0</v>
      </c>
      <c r="M144" s="49">
        <v>0</v>
      </c>
      <c r="N144" s="49">
        <v>11</v>
      </c>
      <c r="O144" s="49">
        <v>0</v>
      </c>
      <c r="P144" s="49">
        <v>0</v>
      </c>
      <c r="Q144" s="49">
        <v>11</v>
      </c>
      <c r="R144" s="49">
        <v>0</v>
      </c>
      <c r="S144" s="49">
        <v>0</v>
      </c>
      <c r="T144" s="49">
        <v>0</v>
      </c>
      <c r="U144" s="49">
        <v>15636.636363636364</v>
      </c>
      <c r="V144" s="49">
        <v>0</v>
      </c>
      <c r="W144" s="49">
        <v>0</v>
      </c>
      <c r="X144" s="49">
        <v>15636.636363636364</v>
      </c>
      <c r="Y144" s="434">
        <v>0</v>
      </c>
      <c r="Z144" s="434">
        <v>172003</v>
      </c>
      <c r="AA144" s="49">
        <v>0</v>
      </c>
      <c r="AB144" s="49">
        <v>0</v>
      </c>
      <c r="AC144" s="49">
        <v>0</v>
      </c>
      <c r="AD144" s="285">
        <v>11</v>
      </c>
      <c r="AE144" s="285">
        <v>0</v>
      </c>
      <c r="AF144" s="359">
        <v>11</v>
      </c>
      <c r="AG144" s="360">
        <v>0</v>
      </c>
      <c r="AH144" s="360">
        <v>0</v>
      </c>
      <c r="AI144" s="361">
        <v>0</v>
      </c>
      <c r="AJ144" s="360">
        <v>0</v>
      </c>
      <c r="AK144" s="360">
        <v>0</v>
      </c>
      <c r="AL144" s="360">
        <v>0</v>
      </c>
      <c r="AM144" s="360">
        <v>0</v>
      </c>
      <c r="AN144" s="360">
        <v>0</v>
      </c>
      <c r="AO144" s="360">
        <v>0</v>
      </c>
      <c r="AP144" s="360">
        <v>0</v>
      </c>
      <c r="AQ144" s="360">
        <v>0</v>
      </c>
      <c r="AR144" s="360">
        <v>0</v>
      </c>
      <c r="AS144" s="360">
        <v>10.55632312351365</v>
      </c>
      <c r="AT144" s="360">
        <v>0</v>
      </c>
      <c r="AU144" s="360">
        <v>0</v>
      </c>
      <c r="AV144" s="360">
        <v>0</v>
      </c>
      <c r="AW144" s="360">
        <v>0</v>
      </c>
      <c r="AX144" s="360">
        <v>0</v>
      </c>
      <c r="AY144" s="360">
        <v>0</v>
      </c>
      <c r="AZ144" s="360">
        <v>0</v>
      </c>
      <c r="BA144" s="360">
        <v>0</v>
      </c>
      <c r="BB144" s="360">
        <v>0</v>
      </c>
      <c r="BC144" s="360">
        <v>0</v>
      </c>
      <c r="BD144" s="360">
        <v>0</v>
      </c>
      <c r="BE144" s="360">
        <v>10.130541626184453</v>
      </c>
      <c r="BF144" s="360">
        <v>10.341241261193383</v>
      </c>
      <c r="BG144" s="360">
        <v>10.55632312351365</v>
      </c>
      <c r="BH144" s="360">
        <v>10.775878356711816</v>
      </c>
      <c r="BI144" s="360">
        <v>11</v>
      </c>
      <c r="BJ144" s="362">
        <v>0</v>
      </c>
      <c r="BK144" s="362">
        <v>0</v>
      </c>
      <c r="BL144" s="362">
        <v>0</v>
      </c>
      <c r="BM144" s="363">
        <v>0</v>
      </c>
      <c r="BN144" s="363">
        <v>0</v>
      </c>
      <c r="BO144" s="363">
        <v>0</v>
      </c>
      <c r="BP144" s="363">
        <v>0</v>
      </c>
      <c r="BQ144" s="363">
        <v>0</v>
      </c>
      <c r="BR144" s="363">
        <v>0</v>
      </c>
      <c r="BS144" s="363">
        <v>0</v>
      </c>
      <c r="BT144" s="363">
        <v>0</v>
      </c>
      <c r="BU144" s="363">
        <v>0</v>
      </c>
      <c r="BV144" s="363">
        <v>0</v>
      </c>
      <c r="BW144" s="363">
        <v>0</v>
      </c>
      <c r="BX144" s="363">
        <v>0</v>
      </c>
      <c r="BY144" s="435">
        <v>0</v>
      </c>
      <c r="BZ144" s="435">
        <v>0</v>
      </c>
      <c r="CA144" s="435">
        <v>0</v>
      </c>
      <c r="CB144" s="435">
        <v>0</v>
      </c>
      <c r="CC144" s="363">
        <v>0</v>
      </c>
      <c r="CD144" s="435">
        <v>0</v>
      </c>
      <c r="CE144" s="435">
        <v>0</v>
      </c>
      <c r="CF144" s="435">
        <v>0</v>
      </c>
      <c r="CG144" s="435">
        <v>0</v>
      </c>
      <c r="CH144" s="363">
        <v>0</v>
      </c>
      <c r="CI144" s="362">
        <v>0</v>
      </c>
      <c r="CJ144" s="362">
        <v>0</v>
      </c>
      <c r="CK144" s="362">
        <v>0</v>
      </c>
      <c r="CL144" s="363">
        <v>0</v>
      </c>
      <c r="CM144" s="363">
        <v>0</v>
      </c>
      <c r="CN144" s="363">
        <v>0</v>
      </c>
      <c r="CO144" s="363">
        <v>0</v>
      </c>
      <c r="CP144" s="363">
        <v>0</v>
      </c>
      <c r="CQ144" s="363">
        <v>0</v>
      </c>
      <c r="CR144" s="363">
        <v>0</v>
      </c>
      <c r="CS144" s="363">
        <v>0</v>
      </c>
      <c r="CT144" s="363">
        <v>0</v>
      </c>
      <c r="CU144" s="363">
        <v>0</v>
      </c>
      <c r="CV144" s="363">
        <v>0</v>
      </c>
      <c r="CW144" s="363">
        <v>0</v>
      </c>
      <c r="CX144" s="435">
        <v>0</v>
      </c>
      <c r="CY144" s="435">
        <v>0</v>
      </c>
      <c r="CZ144" s="435">
        <v>0</v>
      </c>
      <c r="DA144" s="435">
        <v>0</v>
      </c>
      <c r="DB144" s="363">
        <v>0</v>
      </c>
      <c r="DC144" s="435">
        <v>0</v>
      </c>
      <c r="DD144" s="435">
        <v>0</v>
      </c>
      <c r="DE144" s="435">
        <v>0</v>
      </c>
      <c r="DF144" s="435">
        <v>0</v>
      </c>
      <c r="DG144" s="363">
        <v>0</v>
      </c>
      <c r="DH144" s="362">
        <v>11.258080675634197</v>
      </c>
      <c r="DI144" s="362">
        <v>11.52221640900801</v>
      </c>
      <c r="DJ144" s="362">
        <v>11.79254926315712</v>
      </c>
      <c r="DK144" s="363">
        <v>11.715018425676025</v>
      </c>
      <c r="DL144" s="363">
        <v>11.637997319435087</v>
      </c>
      <c r="DM144" s="363">
        <v>11.600833427017166</v>
      </c>
      <c r="DN144" s="363">
        <v>11.563788210936915</v>
      </c>
      <c r="DO144" s="363">
        <v>11.526861292222371</v>
      </c>
      <c r="DP144" s="363">
        <v>11.490052293111756</v>
      </c>
      <c r="DQ144" s="363">
        <v>11.453360837049605</v>
      </c>
      <c r="DR144" s="363">
        <v>11.538080978723462</v>
      </c>
      <c r="DS144" s="363">
        <v>11.623427792559959</v>
      </c>
      <c r="DT144" s="363">
        <v>11.709405914032921</v>
      </c>
      <c r="DU144" s="363">
        <v>11.796020012904632</v>
      </c>
      <c r="DV144" s="363">
        <v>11.883274793479444</v>
      </c>
      <c r="DW144" s="435">
        <v>11.931174098174974</v>
      </c>
      <c r="DX144" s="435">
        <v>11.979073402870506</v>
      </c>
      <c r="DY144" s="435">
        <v>12.026972707566037</v>
      </c>
      <c r="DZ144" s="435">
        <v>12.074872012261569</v>
      </c>
      <c r="EA144" s="363">
        <v>12.122771316957099</v>
      </c>
      <c r="EB144" s="435">
        <v>12.162034589377475</v>
      </c>
      <c r="EC144" s="435">
        <v>12.201297861797851</v>
      </c>
      <c r="ED144" s="435">
        <v>12.240561134218227</v>
      </c>
      <c r="EE144" s="435">
        <v>12.279824406638603</v>
      </c>
      <c r="EF144" s="363">
        <v>12.319087679058979</v>
      </c>
      <c r="EG144" s="364">
        <v>0</v>
      </c>
      <c r="EH144" s="364">
        <v>0</v>
      </c>
      <c r="EI144" s="364">
        <v>0</v>
      </c>
      <c r="EJ144" s="365">
        <v>0</v>
      </c>
      <c r="EK144" s="365">
        <v>0</v>
      </c>
      <c r="EL144" s="365">
        <v>0</v>
      </c>
      <c r="EM144" s="365">
        <v>0</v>
      </c>
      <c r="EN144" s="365">
        <v>0</v>
      </c>
      <c r="EO144" s="365">
        <v>0</v>
      </c>
      <c r="EP144" s="365">
        <v>0</v>
      </c>
      <c r="EQ144" s="365">
        <v>0</v>
      </c>
      <c r="ER144" s="365">
        <v>0</v>
      </c>
      <c r="ES144" s="365">
        <v>0</v>
      </c>
      <c r="ET144" s="365">
        <v>0</v>
      </c>
      <c r="EU144" s="365">
        <v>0</v>
      </c>
      <c r="EV144" s="436">
        <v>0</v>
      </c>
      <c r="EW144" s="436">
        <v>0</v>
      </c>
      <c r="EX144" s="436">
        <v>0</v>
      </c>
      <c r="EY144" s="436">
        <v>0</v>
      </c>
      <c r="EZ144" s="365">
        <v>0</v>
      </c>
      <c r="FA144" s="436">
        <v>0</v>
      </c>
      <c r="FB144" s="436">
        <v>0</v>
      </c>
      <c r="FC144" s="436">
        <v>0</v>
      </c>
      <c r="FD144" s="436">
        <v>0</v>
      </c>
      <c r="FE144" s="365">
        <v>0</v>
      </c>
      <c r="FF144" s="364">
        <v>0</v>
      </c>
      <c r="FG144" s="364">
        <v>0</v>
      </c>
      <c r="FH144" s="364">
        <v>0</v>
      </c>
      <c r="FI144" s="365">
        <v>0</v>
      </c>
      <c r="FJ144" s="365">
        <v>0</v>
      </c>
      <c r="FK144" s="365">
        <v>0</v>
      </c>
      <c r="FL144" s="365">
        <v>0</v>
      </c>
      <c r="FM144" s="365">
        <v>0</v>
      </c>
      <c r="FN144" s="365">
        <v>0</v>
      </c>
      <c r="FO144" s="365">
        <v>0</v>
      </c>
      <c r="FP144" s="365">
        <v>0</v>
      </c>
      <c r="FQ144" s="365">
        <v>0</v>
      </c>
      <c r="FR144" s="365">
        <v>0</v>
      </c>
      <c r="FS144" s="365">
        <v>0</v>
      </c>
      <c r="FT144" s="365">
        <v>0</v>
      </c>
      <c r="FU144" s="436">
        <v>0</v>
      </c>
      <c r="FV144" s="436">
        <v>0</v>
      </c>
      <c r="FW144" s="436">
        <v>0</v>
      </c>
      <c r="FX144" s="436">
        <v>0</v>
      </c>
      <c r="FY144" s="365">
        <v>0</v>
      </c>
      <c r="FZ144" s="436">
        <v>0</v>
      </c>
      <c r="GA144" s="436">
        <v>0</v>
      </c>
      <c r="GB144" s="436">
        <v>0</v>
      </c>
      <c r="GC144" s="436">
        <v>0</v>
      </c>
      <c r="GD144" s="365">
        <v>0</v>
      </c>
    </row>
    <row r="145" spans="1:186" ht="15" x14ac:dyDescent="0.25">
      <c r="A145" s="357">
        <v>106</v>
      </c>
      <c r="B145" s="357">
        <v>91</v>
      </c>
      <c r="C145" s="357" t="s">
        <v>1055</v>
      </c>
      <c r="D145" s="2">
        <v>99709</v>
      </c>
      <c r="E145" s="268" t="s">
        <v>1527</v>
      </c>
      <c r="F145" s="358" t="s">
        <v>985</v>
      </c>
      <c r="G145" s="49">
        <v>2</v>
      </c>
      <c r="H145" s="49">
        <v>2</v>
      </c>
      <c r="I145" s="49">
        <v>1</v>
      </c>
      <c r="J145" s="49">
        <v>1</v>
      </c>
      <c r="K145" s="49">
        <v>0</v>
      </c>
      <c r="L145" s="49">
        <v>0</v>
      </c>
      <c r="M145" s="49">
        <v>0</v>
      </c>
      <c r="N145" s="49">
        <v>1</v>
      </c>
      <c r="O145" s="49">
        <v>0</v>
      </c>
      <c r="P145" s="49">
        <v>0</v>
      </c>
      <c r="Q145" s="49">
        <v>1</v>
      </c>
      <c r="R145" s="49">
        <v>0</v>
      </c>
      <c r="S145" s="49">
        <v>0</v>
      </c>
      <c r="T145" s="49">
        <v>0</v>
      </c>
      <c r="U145" s="49">
        <v>4800</v>
      </c>
      <c r="V145" s="49">
        <v>0</v>
      </c>
      <c r="W145" s="49">
        <v>0</v>
      </c>
      <c r="X145" s="49">
        <v>4800</v>
      </c>
      <c r="Y145" s="434">
        <v>0</v>
      </c>
      <c r="Z145" s="434">
        <v>4800</v>
      </c>
      <c r="AA145" s="49">
        <v>4.5824670824670823E-2</v>
      </c>
      <c r="AB145" s="49">
        <v>1.9515765765765767</v>
      </c>
      <c r="AC145" s="49">
        <v>2.5987525987525989E-3</v>
      </c>
      <c r="AD145" s="285">
        <v>1</v>
      </c>
      <c r="AE145" s="285">
        <v>0</v>
      </c>
      <c r="AF145" s="359">
        <v>3</v>
      </c>
      <c r="AG145" s="360">
        <v>2.2912335412335411E-2</v>
      </c>
      <c r="AH145" s="360">
        <v>0.97578828828828834</v>
      </c>
      <c r="AI145" s="361">
        <v>0.99870062370062374</v>
      </c>
      <c r="AJ145" s="360">
        <v>1.2993762993762994E-3</v>
      </c>
      <c r="AK145" s="360">
        <v>4.3632345024176553E-2</v>
      </c>
      <c r="AL145" s="360">
        <v>1.8582100208878518</v>
      </c>
      <c r="AM145" s="360">
        <v>1.9018423659120283</v>
      </c>
      <c r="AN145" s="360">
        <v>2.4744241034504663E-3</v>
      </c>
      <c r="AO145" s="360">
        <v>2.1857328425460388E-2</v>
      </c>
      <c r="AP145" s="360">
        <v>0.93085775443704566</v>
      </c>
      <c r="AQ145" s="360">
        <v>0.95271508286250606</v>
      </c>
      <c r="AR145" s="360">
        <v>1.2395460354703435E-3</v>
      </c>
      <c r="AS145" s="360">
        <v>0.95966573850124082</v>
      </c>
      <c r="AT145" s="360">
        <v>0</v>
      </c>
      <c r="AU145" s="360">
        <v>1.8108551746845185</v>
      </c>
      <c r="AV145" s="360">
        <v>1.8557912301080755</v>
      </c>
      <c r="AW145" s="360">
        <v>1.9018423659120283</v>
      </c>
      <c r="AX145" s="360">
        <v>1.9490362526215936</v>
      </c>
      <c r="AY145" s="360">
        <v>1.9974012474012475</v>
      </c>
      <c r="AZ145" s="360">
        <v>0.90884696331760662</v>
      </c>
      <c r="BA145" s="360">
        <v>0.93052254672655332</v>
      </c>
      <c r="BB145" s="360">
        <v>0.95271508286250606</v>
      </c>
      <c r="BC145" s="360">
        <v>0.97543690081100387</v>
      </c>
      <c r="BD145" s="360">
        <v>0.99870062370062374</v>
      </c>
      <c r="BE145" s="360">
        <v>0.92095832965313207</v>
      </c>
      <c r="BF145" s="360">
        <v>0.94011284192667122</v>
      </c>
      <c r="BG145" s="360">
        <v>0.95966573850124082</v>
      </c>
      <c r="BH145" s="360">
        <v>0.97962530515561963</v>
      </c>
      <c r="BI145" s="360">
        <v>1</v>
      </c>
      <c r="BJ145" s="362">
        <v>2.0338193463045848</v>
      </c>
      <c r="BK145" s="362">
        <v>2.0709014469599283</v>
      </c>
      <c r="BL145" s="362">
        <v>2.1086596559390078</v>
      </c>
      <c r="BM145" s="363">
        <v>2.0947961438654716</v>
      </c>
      <c r="BN145" s="363">
        <v>2.0810237783012697</v>
      </c>
      <c r="BO145" s="363">
        <v>2.074378395793167</v>
      </c>
      <c r="BP145" s="363">
        <v>2.0677542341423845</v>
      </c>
      <c r="BQ145" s="363">
        <v>2.0611512255838558</v>
      </c>
      <c r="BR145" s="363">
        <v>2.0545693025689102</v>
      </c>
      <c r="BS145" s="363">
        <v>2.0480083977645829</v>
      </c>
      <c r="BT145" s="363">
        <v>2.0631574500014249</v>
      </c>
      <c r="BU145" s="363">
        <v>2.0784185592903399</v>
      </c>
      <c r="BV145" s="363">
        <v>2.0937925545137377</v>
      </c>
      <c r="BW145" s="363">
        <v>2.1092802706852445</v>
      </c>
      <c r="BX145" s="363">
        <v>2.1248825489950542</v>
      </c>
      <c r="BY145" s="435">
        <v>2.1334475614537731</v>
      </c>
      <c r="BZ145" s="435">
        <v>2.142012573912492</v>
      </c>
      <c r="CA145" s="435">
        <v>2.1505775863712104</v>
      </c>
      <c r="CB145" s="435">
        <v>2.1591425988299293</v>
      </c>
      <c r="CC145" s="363">
        <v>2.1677076112886482</v>
      </c>
      <c r="CD145" s="435">
        <v>2.1747283899740215</v>
      </c>
      <c r="CE145" s="435">
        <v>2.1817491686593948</v>
      </c>
      <c r="CF145" s="435">
        <v>2.1887699473447686</v>
      </c>
      <c r="CG145" s="435">
        <v>2.1957907260301419</v>
      </c>
      <c r="CH145" s="363">
        <v>2.2028115047155152</v>
      </c>
      <c r="CI145" s="362">
        <v>1.0169096731522924</v>
      </c>
      <c r="CJ145" s="362">
        <v>1.0354507234799641</v>
      </c>
      <c r="CK145" s="362">
        <v>1.0543298279695039</v>
      </c>
      <c r="CL145" s="363">
        <v>1.0473980719327358</v>
      </c>
      <c r="CM145" s="363">
        <v>1.0405118891506349</v>
      </c>
      <c r="CN145" s="363">
        <v>1.0371891978965835</v>
      </c>
      <c r="CO145" s="363">
        <v>1.0338771170711922</v>
      </c>
      <c r="CP145" s="363">
        <v>1.0305756127919279</v>
      </c>
      <c r="CQ145" s="363">
        <v>1.0272846512844551</v>
      </c>
      <c r="CR145" s="363">
        <v>1.0240041988822914</v>
      </c>
      <c r="CS145" s="363">
        <v>1.0315787250007125</v>
      </c>
      <c r="CT145" s="363">
        <v>1.03920927964517</v>
      </c>
      <c r="CU145" s="363">
        <v>1.0468962772568688</v>
      </c>
      <c r="CV145" s="363">
        <v>1.0546401353426222</v>
      </c>
      <c r="CW145" s="363">
        <v>1.0624412744975271</v>
      </c>
      <c r="CX145" s="435">
        <v>1.0667237807268866</v>
      </c>
      <c r="CY145" s="435">
        <v>1.071006286956246</v>
      </c>
      <c r="CZ145" s="435">
        <v>1.0752887931856052</v>
      </c>
      <c r="DA145" s="435">
        <v>1.0795712994149647</v>
      </c>
      <c r="DB145" s="363">
        <v>1.0838538056443241</v>
      </c>
      <c r="DC145" s="435">
        <v>1.0873641949870108</v>
      </c>
      <c r="DD145" s="435">
        <v>1.0908745843296974</v>
      </c>
      <c r="DE145" s="435">
        <v>1.0943849736723843</v>
      </c>
      <c r="DF145" s="435">
        <v>1.097895363015071</v>
      </c>
      <c r="DG145" s="363">
        <v>1.1014057523577576</v>
      </c>
      <c r="DH145" s="362">
        <v>1.0182327406427325</v>
      </c>
      <c r="DI145" s="362">
        <v>1.0367979141168102</v>
      </c>
      <c r="DJ145" s="362">
        <v>1.055701581583828</v>
      </c>
      <c r="DK145" s="363">
        <v>1.0487608068688961</v>
      </c>
      <c r="DL145" s="363">
        <v>1.0418656647024831</v>
      </c>
      <c r="DM145" s="363">
        <v>1.0385386504049059</v>
      </c>
      <c r="DN145" s="363">
        <v>1.0352222603408658</v>
      </c>
      <c r="DO145" s="363">
        <v>1.0319164605837465</v>
      </c>
      <c r="DP145" s="363">
        <v>1.0286212173152702</v>
      </c>
      <c r="DQ145" s="363">
        <v>1.0253364968251515</v>
      </c>
      <c r="DR145" s="363">
        <v>1.0329208779085979</v>
      </c>
      <c r="DS145" s="363">
        <v>1.04056136041494</v>
      </c>
      <c r="DT145" s="363">
        <v>1.0482583593245982</v>
      </c>
      <c r="DU145" s="363">
        <v>1.0560122926875906</v>
      </c>
      <c r="DV145" s="363">
        <v>1.0638235816462358</v>
      </c>
      <c r="DW145" s="435">
        <v>1.0681116597025915</v>
      </c>
      <c r="DX145" s="435">
        <v>1.0723997377589471</v>
      </c>
      <c r="DY145" s="435">
        <v>1.0766878158153028</v>
      </c>
      <c r="DZ145" s="435">
        <v>1.0809758938716585</v>
      </c>
      <c r="EA145" s="363">
        <v>1.0852639719280142</v>
      </c>
      <c r="EB145" s="435">
        <v>1.0887789285219924</v>
      </c>
      <c r="EC145" s="435">
        <v>1.0922938851159707</v>
      </c>
      <c r="ED145" s="435">
        <v>1.095808841709949</v>
      </c>
      <c r="EE145" s="435">
        <v>1.0993237983039272</v>
      </c>
      <c r="EF145" s="363">
        <v>1.1028387548979055</v>
      </c>
      <c r="EG145" s="364">
        <v>2.646134980880282E-3</v>
      </c>
      <c r="EH145" s="364">
        <v>2.6943812736923345E-3</v>
      </c>
      <c r="EI145" s="364">
        <v>2.7435072286482016E-3</v>
      </c>
      <c r="EJ145" s="365">
        <v>2.7254698723204159E-3</v>
      </c>
      <c r="EK145" s="365">
        <v>2.7075511036966818E-3</v>
      </c>
      <c r="EL145" s="365">
        <v>2.6989050166447656E-3</v>
      </c>
      <c r="EM145" s="365">
        <v>2.6902865393473646E-3</v>
      </c>
      <c r="EN145" s="365">
        <v>2.6816955836375948E-3</v>
      </c>
      <c r="EO145" s="365">
        <v>2.6731320616301198E-3</v>
      </c>
      <c r="EP145" s="365">
        <v>2.6645958857202481E-3</v>
      </c>
      <c r="EQ145" s="365">
        <v>2.6843058157707844E-3</v>
      </c>
      <c r="ER145" s="365">
        <v>2.7041615395398647E-3</v>
      </c>
      <c r="ES145" s="365">
        <v>2.7241641354589351E-3</v>
      </c>
      <c r="ET145" s="365">
        <v>2.7443146899365661E-3</v>
      </c>
      <c r="EU145" s="365">
        <v>2.7646142974174525E-3</v>
      </c>
      <c r="EV145" s="436">
        <v>2.7757579514100608E-3</v>
      </c>
      <c r="EW145" s="436">
        <v>2.786901605402669E-3</v>
      </c>
      <c r="EX145" s="436">
        <v>2.7980452593952777E-3</v>
      </c>
      <c r="EY145" s="436">
        <v>2.8091889133878859E-3</v>
      </c>
      <c r="EZ145" s="365">
        <v>2.8203325673804942E-3</v>
      </c>
      <c r="FA145" s="436">
        <v>2.8294670699635979E-3</v>
      </c>
      <c r="FB145" s="436">
        <v>2.8386015725467015E-3</v>
      </c>
      <c r="FC145" s="436">
        <v>2.8477360751298052E-3</v>
      </c>
      <c r="FD145" s="436">
        <v>2.8568705777129088E-3</v>
      </c>
      <c r="FE145" s="365">
        <v>2.8660050802960125E-3</v>
      </c>
      <c r="FF145" s="364">
        <v>0</v>
      </c>
      <c r="FG145" s="364">
        <v>0</v>
      </c>
      <c r="FH145" s="364">
        <v>0</v>
      </c>
      <c r="FI145" s="365">
        <v>0</v>
      </c>
      <c r="FJ145" s="365">
        <v>0</v>
      </c>
      <c r="FK145" s="365">
        <v>0</v>
      </c>
      <c r="FL145" s="365">
        <v>0</v>
      </c>
      <c r="FM145" s="365">
        <v>0</v>
      </c>
      <c r="FN145" s="365">
        <v>0</v>
      </c>
      <c r="FO145" s="365">
        <v>0</v>
      </c>
      <c r="FP145" s="365">
        <v>0</v>
      </c>
      <c r="FQ145" s="365">
        <v>0</v>
      </c>
      <c r="FR145" s="365">
        <v>0</v>
      </c>
      <c r="FS145" s="365">
        <v>0</v>
      </c>
      <c r="FT145" s="365">
        <v>0</v>
      </c>
      <c r="FU145" s="436">
        <v>0</v>
      </c>
      <c r="FV145" s="436">
        <v>0</v>
      </c>
      <c r="FW145" s="436">
        <v>0</v>
      </c>
      <c r="FX145" s="436">
        <v>0</v>
      </c>
      <c r="FY145" s="365">
        <v>0</v>
      </c>
      <c r="FZ145" s="436">
        <v>0</v>
      </c>
      <c r="GA145" s="436">
        <v>0</v>
      </c>
      <c r="GB145" s="436">
        <v>0</v>
      </c>
      <c r="GC145" s="436">
        <v>0</v>
      </c>
      <c r="GD145" s="365">
        <v>0</v>
      </c>
    </row>
    <row r="146" spans="1:186" ht="15" x14ac:dyDescent="0.25">
      <c r="A146" s="357">
        <v>107</v>
      </c>
      <c r="B146" s="357">
        <v>91</v>
      </c>
      <c r="C146" s="357" t="s">
        <v>1056</v>
      </c>
      <c r="D146" s="2">
        <v>99709</v>
      </c>
      <c r="E146" s="268" t="s">
        <v>1527</v>
      </c>
      <c r="F146" s="358" t="s">
        <v>985</v>
      </c>
      <c r="G146" s="49">
        <v>52</v>
      </c>
      <c r="H146" s="49">
        <v>28</v>
      </c>
      <c r="I146" s="49">
        <v>23</v>
      </c>
      <c r="J146" s="49">
        <v>5</v>
      </c>
      <c r="K146" s="49">
        <v>1</v>
      </c>
      <c r="L146" s="49">
        <v>9</v>
      </c>
      <c r="M146" s="49">
        <v>10</v>
      </c>
      <c r="N146" s="49">
        <v>30</v>
      </c>
      <c r="O146" s="49">
        <v>0</v>
      </c>
      <c r="P146" s="49">
        <v>0</v>
      </c>
      <c r="Q146" s="49">
        <v>40</v>
      </c>
      <c r="R146" s="49">
        <v>5197</v>
      </c>
      <c r="S146" s="49">
        <v>2878.5555555555557</v>
      </c>
      <c r="T146" s="49">
        <v>3110.4</v>
      </c>
      <c r="U146" s="49">
        <v>5389.3666666666668</v>
      </c>
      <c r="V146" s="49">
        <v>0</v>
      </c>
      <c r="W146" s="49">
        <v>0</v>
      </c>
      <c r="X146" s="49">
        <v>4819.625</v>
      </c>
      <c r="Y146" s="434">
        <v>31104</v>
      </c>
      <c r="Z146" s="434">
        <v>161681</v>
      </c>
      <c r="AA146" s="49">
        <v>2.8</v>
      </c>
      <c r="AB146" s="49">
        <v>25.2</v>
      </c>
      <c r="AC146" s="49">
        <v>0</v>
      </c>
      <c r="AD146" s="285">
        <v>30</v>
      </c>
      <c r="AE146" s="285">
        <v>0</v>
      </c>
      <c r="AF146" s="359">
        <v>58</v>
      </c>
      <c r="AG146" s="360">
        <v>2.2999999999999998</v>
      </c>
      <c r="AH146" s="360">
        <v>20.7</v>
      </c>
      <c r="AI146" s="361">
        <v>23</v>
      </c>
      <c r="AJ146" s="360">
        <v>0</v>
      </c>
      <c r="AK146" s="360">
        <v>2.6660435060216701</v>
      </c>
      <c r="AL146" s="360">
        <v>23.99439155419503</v>
      </c>
      <c r="AM146" s="360">
        <v>26.660435060216699</v>
      </c>
      <c r="AN146" s="360">
        <v>0</v>
      </c>
      <c r="AO146" s="360">
        <v>2.1940956464653452</v>
      </c>
      <c r="AP146" s="360">
        <v>19.746860818188107</v>
      </c>
      <c r="AQ146" s="360">
        <v>21.940956464653453</v>
      </c>
      <c r="AR146" s="360">
        <v>0</v>
      </c>
      <c r="AS146" s="360">
        <v>28.789972155037226</v>
      </c>
      <c r="AT146" s="360">
        <v>0</v>
      </c>
      <c r="AU146" s="360">
        <v>25.384957057143996</v>
      </c>
      <c r="AV146" s="360">
        <v>26.014880340458557</v>
      </c>
      <c r="AW146" s="360">
        <v>26.660435060216702</v>
      </c>
      <c r="AX146" s="360">
        <v>27.322009107788315</v>
      </c>
      <c r="AY146" s="360">
        <v>28</v>
      </c>
      <c r="AZ146" s="360">
        <v>20.93067698190514</v>
      </c>
      <c r="BA146" s="360">
        <v>21.429864032132937</v>
      </c>
      <c r="BB146" s="360">
        <v>21.940956464653457</v>
      </c>
      <c r="BC146" s="360">
        <v>22.464238217376288</v>
      </c>
      <c r="BD146" s="360">
        <v>23</v>
      </c>
      <c r="BE146" s="360">
        <v>27.628749889593962</v>
      </c>
      <c r="BF146" s="360">
        <v>28.203385257800136</v>
      </c>
      <c r="BG146" s="360">
        <v>28.789972155037226</v>
      </c>
      <c r="BH146" s="360">
        <v>29.388759154668588</v>
      </c>
      <c r="BI146" s="360">
        <v>30</v>
      </c>
      <c r="BJ146" s="362">
        <v>28.510516737996511</v>
      </c>
      <c r="BK146" s="362">
        <v>29.030341595270684</v>
      </c>
      <c r="BL146" s="362">
        <v>29.559644284347183</v>
      </c>
      <c r="BM146" s="363">
        <v>29.365302592329087</v>
      </c>
      <c r="BN146" s="363">
        <v>29.172238611669528</v>
      </c>
      <c r="BO146" s="363">
        <v>29.079082211337361</v>
      </c>
      <c r="BP146" s="363">
        <v>28.986223289544245</v>
      </c>
      <c r="BQ146" s="363">
        <v>28.893660896344905</v>
      </c>
      <c r="BR146" s="363">
        <v>28.801394084827564</v>
      </c>
      <c r="BS146" s="363">
        <v>28.709421911104243</v>
      </c>
      <c r="BT146" s="363">
        <v>28.921784581440736</v>
      </c>
      <c r="BU146" s="363">
        <v>29.135718091618315</v>
      </c>
      <c r="BV146" s="363">
        <v>29.35123406108875</v>
      </c>
      <c r="BW146" s="363">
        <v>29.568344195252536</v>
      </c>
      <c r="BX146" s="363">
        <v>29.787060286094601</v>
      </c>
      <c r="BY146" s="435">
        <v>29.907126471672559</v>
      </c>
      <c r="BZ146" s="435">
        <v>30.02719265725052</v>
      </c>
      <c r="CA146" s="435">
        <v>30.147258842828478</v>
      </c>
      <c r="CB146" s="435">
        <v>30.267325028406439</v>
      </c>
      <c r="CC146" s="363">
        <v>30.387391213984397</v>
      </c>
      <c r="CD146" s="435">
        <v>30.485809998615789</v>
      </c>
      <c r="CE146" s="435">
        <v>30.58422878324718</v>
      </c>
      <c r="CF146" s="435">
        <v>30.682647567878572</v>
      </c>
      <c r="CG146" s="435">
        <v>30.781066352509963</v>
      </c>
      <c r="CH146" s="363">
        <v>30.879485137141355</v>
      </c>
      <c r="CI146" s="362">
        <v>23.419353034782848</v>
      </c>
      <c r="CJ146" s="362">
        <v>23.846352024686635</v>
      </c>
      <c r="CK146" s="362">
        <v>24.281136376428044</v>
      </c>
      <c r="CL146" s="363">
        <v>24.121498557984609</v>
      </c>
      <c r="CM146" s="363">
        <v>23.962910288157115</v>
      </c>
      <c r="CN146" s="363">
        <v>23.886388959312836</v>
      </c>
      <c r="CO146" s="363">
        <v>23.810111987839917</v>
      </c>
      <c r="CP146" s="363">
        <v>23.734078593426172</v>
      </c>
      <c r="CQ146" s="363">
        <v>23.658287998251215</v>
      </c>
      <c r="CR146" s="363">
        <v>23.582739426978485</v>
      </c>
      <c r="CS146" s="363">
        <v>23.757180191897749</v>
      </c>
      <c r="CT146" s="363">
        <v>23.932911289543618</v>
      </c>
      <c r="CU146" s="363">
        <v>24.109942264465761</v>
      </c>
      <c r="CV146" s="363">
        <v>24.288282731814583</v>
      </c>
      <c r="CW146" s="363">
        <v>24.467942377863423</v>
      </c>
      <c r="CX146" s="435">
        <v>24.566568173159606</v>
      </c>
      <c r="CY146" s="435">
        <v>24.665193968455785</v>
      </c>
      <c r="CZ146" s="435">
        <v>24.763819763751968</v>
      </c>
      <c r="DA146" s="435">
        <v>24.862445559048147</v>
      </c>
      <c r="DB146" s="363">
        <v>24.96107135434433</v>
      </c>
      <c r="DC146" s="435">
        <v>25.041915356005831</v>
      </c>
      <c r="DD146" s="435">
        <v>25.122759357667331</v>
      </c>
      <c r="DE146" s="435">
        <v>25.203603359328827</v>
      </c>
      <c r="DF146" s="435">
        <v>25.284447360990328</v>
      </c>
      <c r="DG146" s="363">
        <v>25.365291362651828</v>
      </c>
      <c r="DH146" s="362">
        <v>30.546982219281976</v>
      </c>
      <c r="DI146" s="362">
        <v>31.103937423504306</v>
      </c>
      <c r="DJ146" s="362">
        <v>31.671047447514841</v>
      </c>
      <c r="DK146" s="363">
        <v>31.46282420606688</v>
      </c>
      <c r="DL146" s="363">
        <v>31.255969941074497</v>
      </c>
      <c r="DM146" s="363">
        <v>31.156159512147177</v>
      </c>
      <c r="DN146" s="363">
        <v>31.056667810225978</v>
      </c>
      <c r="DO146" s="363">
        <v>30.957493817512397</v>
      </c>
      <c r="DP146" s="363">
        <v>30.858636519458106</v>
      </c>
      <c r="DQ146" s="363">
        <v>30.760094904754546</v>
      </c>
      <c r="DR146" s="363">
        <v>30.987626337257936</v>
      </c>
      <c r="DS146" s="363">
        <v>31.216840812448197</v>
      </c>
      <c r="DT146" s="363">
        <v>31.447750779737948</v>
      </c>
      <c r="DU146" s="363">
        <v>31.680368780627717</v>
      </c>
      <c r="DV146" s="363">
        <v>31.914707449387073</v>
      </c>
      <c r="DW146" s="435">
        <v>32.043349791077745</v>
      </c>
      <c r="DX146" s="435">
        <v>32.171992132768416</v>
      </c>
      <c r="DY146" s="435">
        <v>32.300634474459088</v>
      </c>
      <c r="DZ146" s="435">
        <v>32.429276816149759</v>
      </c>
      <c r="EA146" s="363">
        <v>32.557919157840431</v>
      </c>
      <c r="EB146" s="435">
        <v>32.663367855659779</v>
      </c>
      <c r="EC146" s="435">
        <v>32.768816553479127</v>
      </c>
      <c r="ED146" s="435">
        <v>32.874265251298475</v>
      </c>
      <c r="EE146" s="435">
        <v>32.979713949117823</v>
      </c>
      <c r="EF146" s="363">
        <v>33.085162646937171</v>
      </c>
      <c r="EG146" s="364">
        <v>0</v>
      </c>
      <c r="EH146" s="364">
        <v>0</v>
      </c>
      <c r="EI146" s="364">
        <v>0</v>
      </c>
      <c r="EJ146" s="365">
        <v>0</v>
      </c>
      <c r="EK146" s="365">
        <v>0</v>
      </c>
      <c r="EL146" s="365">
        <v>0</v>
      </c>
      <c r="EM146" s="365">
        <v>0</v>
      </c>
      <c r="EN146" s="365">
        <v>0</v>
      </c>
      <c r="EO146" s="365">
        <v>0</v>
      </c>
      <c r="EP146" s="365">
        <v>0</v>
      </c>
      <c r="EQ146" s="365">
        <v>0</v>
      </c>
      <c r="ER146" s="365">
        <v>0</v>
      </c>
      <c r="ES146" s="365">
        <v>0</v>
      </c>
      <c r="ET146" s="365">
        <v>0</v>
      </c>
      <c r="EU146" s="365">
        <v>0</v>
      </c>
      <c r="EV146" s="436">
        <v>0</v>
      </c>
      <c r="EW146" s="436">
        <v>0</v>
      </c>
      <c r="EX146" s="436">
        <v>0</v>
      </c>
      <c r="EY146" s="436">
        <v>0</v>
      </c>
      <c r="EZ146" s="365">
        <v>0</v>
      </c>
      <c r="FA146" s="436">
        <v>0</v>
      </c>
      <c r="FB146" s="436">
        <v>0</v>
      </c>
      <c r="FC146" s="436">
        <v>0</v>
      </c>
      <c r="FD146" s="436">
        <v>0</v>
      </c>
      <c r="FE146" s="365">
        <v>0</v>
      </c>
      <c r="FF146" s="364">
        <v>0</v>
      </c>
      <c r="FG146" s="364">
        <v>0</v>
      </c>
      <c r="FH146" s="364">
        <v>0</v>
      </c>
      <c r="FI146" s="365">
        <v>0</v>
      </c>
      <c r="FJ146" s="365">
        <v>0</v>
      </c>
      <c r="FK146" s="365">
        <v>0</v>
      </c>
      <c r="FL146" s="365">
        <v>0</v>
      </c>
      <c r="FM146" s="365">
        <v>0</v>
      </c>
      <c r="FN146" s="365">
        <v>0</v>
      </c>
      <c r="FO146" s="365">
        <v>0</v>
      </c>
      <c r="FP146" s="365">
        <v>0</v>
      </c>
      <c r="FQ146" s="365">
        <v>0</v>
      </c>
      <c r="FR146" s="365">
        <v>0</v>
      </c>
      <c r="FS146" s="365">
        <v>0</v>
      </c>
      <c r="FT146" s="365">
        <v>0</v>
      </c>
      <c r="FU146" s="436">
        <v>0</v>
      </c>
      <c r="FV146" s="436">
        <v>0</v>
      </c>
      <c r="FW146" s="436">
        <v>0</v>
      </c>
      <c r="FX146" s="436">
        <v>0</v>
      </c>
      <c r="FY146" s="365">
        <v>0</v>
      </c>
      <c r="FZ146" s="436">
        <v>0</v>
      </c>
      <c r="GA146" s="436">
        <v>0</v>
      </c>
      <c r="GB146" s="436">
        <v>0</v>
      </c>
      <c r="GC146" s="436">
        <v>0</v>
      </c>
      <c r="GD146" s="365">
        <v>0</v>
      </c>
    </row>
    <row r="147" spans="1:186" ht="15" x14ac:dyDescent="0.25">
      <c r="A147" s="357">
        <v>108</v>
      </c>
      <c r="B147" s="357">
        <v>91</v>
      </c>
      <c r="C147" s="357" t="s">
        <v>1057</v>
      </c>
      <c r="D147" s="2">
        <v>99701</v>
      </c>
      <c r="E147" s="268" t="s">
        <v>1527</v>
      </c>
      <c r="F147" s="358" t="s">
        <v>985</v>
      </c>
      <c r="G147" s="49">
        <v>69</v>
      </c>
      <c r="H147" s="49">
        <v>27</v>
      </c>
      <c r="I147" s="49">
        <v>25</v>
      </c>
      <c r="J147" s="49">
        <v>2</v>
      </c>
      <c r="K147" s="49">
        <v>0</v>
      </c>
      <c r="L147" s="49">
        <v>6</v>
      </c>
      <c r="M147" s="49">
        <v>6</v>
      </c>
      <c r="N147" s="49">
        <v>37</v>
      </c>
      <c r="O147" s="49">
        <v>0</v>
      </c>
      <c r="P147" s="49">
        <v>0</v>
      </c>
      <c r="Q147" s="49">
        <v>43</v>
      </c>
      <c r="R147" s="49">
        <v>0</v>
      </c>
      <c r="S147" s="49">
        <v>3048.6666666666665</v>
      </c>
      <c r="T147" s="49">
        <v>3048.6666666666665</v>
      </c>
      <c r="U147" s="49">
        <v>6037.405405405405</v>
      </c>
      <c r="V147" s="49">
        <v>0</v>
      </c>
      <c r="W147" s="49">
        <v>0</v>
      </c>
      <c r="X147" s="49">
        <v>5620.3720930232557</v>
      </c>
      <c r="Y147" s="434">
        <v>18292</v>
      </c>
      <c r="Z147" s="434">
        <v>223383.99999999997</v>
      </c>
      <c r="AA147" s="49">
        <v>0</v>
      </c>
      <c r="AB147" s="49">
        <v>27</v>
      </c>
      <c r="AC147" s="49">
        <v>0</v>
      </c>
      <c r="AD147" s="285">
        <v>37</v>
      </c>
      <c r="AE147" s="285">
        <v>0</v>
      </c>
      <c r="AF147" s="359">
        <v>64</v>
      </c>
      <c r="AG147" s="360">
        <v>0</v>
      </c>
      <c r="AH147" s="360">
        <v>25</v>
      </c>
      <c r="AI147" s="361">
        <v>25</v>
      </c>
      <c r="AJ147" s="360">
        <v>0</v>
      </c>
      <c r="AK147" s="360">
        <v>0</v>
      </c>
      <c r="AL147" s="360">
        <v>26.700300441586236</v>
      </c>
      <c r="AM147" s="360">
        <v>26.700300441586236</v>
      </c>
      <c r="AN147" s="360">
        <v>0</v>
      </c>
      <c r="AO147" s="360">
        <v>0</v>
      </c>
      <c r="AP147" s="360">
        <v>24.768031405669859</v>
      </c>
      <c r="AQ147" s="360">
        <v>24.768031405669859</v>
      </c>
      <c r="AR147" s="360">
        <v>0</v>
      </c>
      <c r="AS147" s="360">
        <v>36.808895435964963</v>
      </c>
      <c r="AT147" s="360">
        <v>0</v>
      </c>
      <c r="AU147" s="360">
        <v>26.403927543369264</v>
      </c>
      <c r="AV147" s="360">
        <v>26.551700477480406</v>
      </c>
      <c r="AW147" s="360">
        <v>26.700300441586236</v>
      </c>
      <c r="AX147" s="360">
        <v>26.849732064265154</v>
      </c>
      <c r="AY147" s="360">
        <v>27</v>
      </c>
      <c r="AZ147" s="360">
        <v>24.538215188489936</v>
      </c>
      <c r="BA147" s="360">
        <v>24.652855502509318</v>
      </c>
      <c r="BB147" s="360">
        <v>24.768031405669859</v>
      </c>
      <c r="BC147" s="360">
        <v>24.883745400195416</v>
      </c>
      <c r="BD147" s="360">
        <v>25</v>
      </c>
      <c r="BE147" s="360">
        <v>36.618777924751406</v>
      </c>
      <c r="BF147" s="360">
        <v>36.713713618006516</v>
      </c>
      <c r="BG147" s="360">
        <v>36.808895435964963</v>
      </c>
      <c r="BH147" s="360">
        <v>36.904324016715215</v>
      </c>
      <c r="BI147" s="360">
        <v>37</v>
      </c>
      <c r="BJ147" s="362">
        <v>27.492283997353777</v>
      </c>
      <c r="BK147" s="362">
        <v>27.993543681153877</v>
      </c>
      <c r="BL147" s="362">
        <v>28.503942702763357</v>
      </c>
      <c r="BM147" s="363">
        <v>28.316541785460196</v>
      </c>
      <c r="BN147" s="363">
        <v>28.130372946967046</v>
      </c>
      <c r="BO147" s="363">
        <v>28.040543560932459</v>
      </c>
      <c r="BP147" s="363">
        <v>27.951001029203379</v>
      </c>
      <c r="BQ147" s="363">
        <v>27.86174443576116</v>
      </c>
      <c r="BR147" s="363">
        <v>27.772772867512295</v>
      </c>
      <c r="BS147" s="363">
        <v>27.684085414279092</v>
      </c>
      <c r="BT147" s="363">
        <v>27.888863703532142</v>
      </c>
      <c r="BU147" s="363">
        <v>28.095156731203378</v>
      </c>
      <c r="BV147" s="363">
        <v>28.302975701764154</v>
      </c>
      <c r="BW147" s="363">
        <v>28.512331902564949</v>
      </c>
      <c r="BX147" s="363">
        <v>28.723236704448368</v>
      </c>
      <c r="BY147" s="435">
        <v>28.839014811969971</v>
      </c>
      <c r="BZ147" s="435">
        <v>28.954792919491574</v>
      </c>
      <c r="CA147" s="435">
        <v>29.07057102701318</v>
      </c>
      <c r="CB147" s="435">
        <v>29.186349134534783</v>
      </c>
      <c r="CC147" s="363">
        <v>29.302127242056386</v>
      </c>
      <c r="CD147" s="435">
        <v>29.397031070093799</v>
      </c>
      <c r="CE147" s="435">
        <v>29.491934898131213</v>
      </c>
      <c r="CF147" s="435">
        <v>29.586838726168626</v>
      </c>
      <c r="CG147" s="435">
        <v>29.681742554206039</v>
      </c>
      <c r="CH147" s="363">
        <v>29.776646382243452</v>
      </c>
      <c r="CI147" s="362">
        <v>25.455818516068312</v>
      </c>
      <c r="CJ147" s="362">
        <v>25.919947852920256</v>
      </c>
      <c r="CK147" s="362">
        <v>26.392539539595699</v>
      </c>
      <c r="CL147" s="363">
        <v>26.219020171722399</v>
      </c>
      <c r="CM147" s="363">
        <v>26.046641617562081</v>
      </c>
      <c r="CN147" s="363">
        <v>25.963466260122644</v>
      </c>
      <c r="CO147" s="363">
        <v>25.880556508521646</v>
      </c>
      <c r="CP147" s="363">
        <v>25.797911514593665</v>
      </c>
      <c r="CQ147" s="363">
        <v>25.715530432881753</v>
      </c>
      <c r="CR147" s="363">
        <v>25.633412420628787</v>
      </c>
      <c r="CS147" s="363">
        <v>25.823021947714945</v>
      </c>
      <c r="CT147" s="363">
        <v>26.014034010373496</v>
      </c>
      <c r="CU147" s="363">
        <v>26.206458983114956</v>
      </c>
      <c r="CV147" s="363">
        <v>26.400307317189764</v>
      </c>
      <c r="CW147" s="363">
        <v>26.595589541155892</v>
      </c>
      <c r="CX147" s="435">
        <v>26.702791492564785</v>
      </c>
      <c r="CY147" s="435">
        <v>26.809993443973678</v>
      </c>
      <c r="CZ147" s="435">
        <v>26.917195395382571</v>
      </c>
      <c r="DA147" s="435">
        <v>27.024397346791464</v>
      </c>
      <c r="DB147" s="363">
        <v>27.131599298200356</v>
      </c>
      <c r="DC147" s="435">
        <v>27.219473213049813</v>
      </c>
      <c r="DD147" s="435">
        <v>27.30734712789927</v>
      </c>
      <c r="DE147" s="435">
        <v>27.395221042748727</v>
      </c>
      <c r="DF147" s="435">
        <v>27.483094957598183</v>
      </c>
      <c r="DG147" s="363">
        <v>27.57096887244764</v>
      </c>
      <c r="DH147" s="362">
        <v>37.6746114037811</v>
      </c>
      <c r="DI147" s="362">
        <v>38.36152282232198</v>
      </c>
      <c r="DJ147" s="362">
        <v>39.060958518601637</v>
      </c>
      <c r="DK147" s="363">
        <v>38.804149854149152</v>
      </c>
      <c r="DL147" s="363">
        <v>38.549029593991882</v>
      </c>
      <c r="DM147" s="363">
        <v>38.425930064981522</v>
      </c>
      <c r="DN147" s="363">
        <v>38.303223632612038</v>
      </c>
      <c r="DO147" s="363">
        <v>38.180909041598625</v>
      </c>
      <c r="DP147" s="363">
        <v>38.058985040665</v>
      </c>
      <c r="DQ147" s="363">
        <v>37.937450382530606</v>
      </c>
      <c r="DR147" s="363">
        <v>38.218072482618119</v>
      </c>
      <c r="DS147" s="363">
        <v>38.500770335352776</v>
      </c>
      <c r="DT147" s="363">
        <v>38.785559295010138</v>
      </c>
      <c r="DU147" s="363">
        <v>39.072454829440851</v>
      </c>
      <c r="DV147" s="363">
        <v>39.361472520910723</v>
      </c>
      <c r="DW147" s="435">
        <v>39.520131408995887</v>
      </c>
      <c r="DX147" s="435">
        <v>39.678790297081044</v>
      </c>
      <c r="DY147" s="435">
        <v>39.837449185166207</v>
      </c>
      <c r="DZ147" s="435">
        <v>39.996108073251364</v>
      </c>
      <c r="EA147" s="363">
        <v>40.154766961336527</v>
      </c>
      <c r="EB147" s="435">
        <v>40.284820355313727</v>
      </c>
      <c r="EC147" s="435">
        <v>40.414873749290919</v>
      </c>
      <c r="ED147" s="435">
        <v>40.544927143268119</v>
      </c>
      <c r="EE147" s="435">
        <v>40.674980537245311</v>
      </c>
      <c r="EF147" s="363">
        <v>40.805033931222511</v>
      </c>
      <c r="EG147" s="364">
        <v>0</v>
      </c>
      <c r="EH147" s="364">
        <v>0</v>
      </c>
      <c r="EI147" s="364">
        <v>0</v>
      </c>
      <c r="EJ147" s="365">
        <v>0</v>
      </c>
      <c r="EK147" s="365">
        <v>0</v>
      </c>
      <c r="EL147" s="365">
        <v>0</v>
      </c>
      <c r="EM147" s="365">
        <v>0</v>
      </c>
      <c r="EN147" s="365">
        <v>0</v>
      </c>
      <c r="EO147" s="365">
        <v>0</v>
      </c>
      <c r="EP147" s="365">
        <v>0</v>
      </c>
      <c r="EQ147" s="365">
        <v>0</v>
      </c>
      <c r="ER147" s="365">
        <v>0</v>
      </c>
      <c r="ES147" s="365">
        <v>0</v>
      </c>
      <c r="ET147" s="365">
        <v>0</v>
      </c>
      <c r="EU147" s="365">
        <v>0</v>
      </c>
      <c r="EV147" s="436">
        <v>0</v>
      </c>
      <c r="EW147" s="436">
        <v>0</v>
      </c>
      <c r="EX147" s="436">
        <v>0</v>
      </c>
      <c r="EY147" s="436">
        <v>0</v>
      </c>
      <c r="EZ147" s="365">
        <v>0</v>
      </c>
      <c r="FA147" s="436">
        <v>0</v>
      </c>
      <c r="FB147" s="436">
        <v>0</v>
      </c>
      <c r="FC147" s="436">
        <v>0</v>
      </c>
      <c r="FD147" s="436">
        <v>0</v>
      </c>
      <c r="FE147" s="365">
        <v>0</v>
      </c>
      <c r="FF147" s="364">
        <v>0</v>
      </c>
      <c r="FG147" s="364">
        <v>0</v>
      </c>
      <c r="FH147" s="364">
        <v>0</v>
      </c>
      <c r="FI147" s="365">
        <v>0</v>
      </c>
      <c r="FJ147" s="365">
        <v>0</v>
      </c>
      <c r="FK147" s="365">
        <v>0</v>
      </c>
      <c r="FL147" s="365">
        <v>0</v>
      </c>
      <c r="FM147" s="365">
        <v>0</v>
      </c>
      <c r="FN147" s="365">
        <v>0</v>
      </c>
      <c r="FO147" s="365">
        <v>0</v>
      </c>
      <c r="FP147" s="365">
        <v>0</v>
      </c>
      <c r="FQ147" s="365">
        <v>0</v>
      </c>
      <c r="FR147" s="365">
        <v>0</v>
      </c>
      <c r="FS147" s="365">
        <v>0</v>
      </c>
      <c r="FT147" s="365">
        <v>0</v>
      </c>
      <c r="FU147" s="436">
        <v>0</v>
      </c>
      <c r="FV147" s="436">
        <v>0</v>
      </c>
      <c r="FW147" s="436">
        <v>0</v>
      </c>
      <c r="FX147" s="436">
        <v>0</v>
      </c>
      <c r="FY147" s="365">
        <v>0</v>
      </c>
      <c r="FZ147" s="436">
        <v>0</v>
      </c>
      <c r="GA147" s="436">
        <v>0</v>
      </c>
      <c r="GB147" s="436">
        <v>0</v>
      </c>
      <c r="GC147" s="436">
        <v>0</v>
      </c>
      <c r="GD147" s="365">
        <v>0</v>
      </c>
    </row>
    <row r="148" spans="1:186" ht="15" x14ac:dyDescent="0.25">
      <c r="A148" s="357">
        <v>109</v>
      </c>
      <c r="B148" s="357">
        <v>91</v>
      </c>
      <c r="C148" s="357" t="s">
        <v>1058</v>
      </c>
      <c r="D148" s="2">
        <v>99701</v>
      </c>
      <c r="E148" s="268" t="s">
        <v>1527</v>
      </c>
      <c r="F148" s="358" t="s">
        <v>985</v>
      </c>
      <c r="G148" s="49">
        <v>3</v>
      </c>
      <c r="H148" s="49">
        <v>2</v>
      </c>
      <c r="I148" s="49">
        <v>2</v>
      </c>
      <c r="J148" s="49">
        <v>0</v>
      </c>
      <c r="K148" s="49">
        <v>0</v>
      </c>
      <c r="L148" s="49">
        <v>1</v>
      </c>
      <c r="M148" s="49">
        <v>1</v>
      </c>
      <c r="N148" s="49">
        <v>30</v>
      </c>
      <c r="O148" s="49">
        <v>0</v>
      </c>
      <c r="P148" s="49">
        <v>0</v>
      </c>
      <c r="Q148" s="49">
        <v>31</v>
      </c>
      <c r="R148" s="49">
        <v>0</v>
      </c>
      <c r="S148" s="49">
        <v>1152</v>
      </c>
      <c r="T148" s="49">
        <v>1152</v>
      </c>
      <c r="U148" s="49">
        <v>7752.3666666666668</v>
      </c>
      <c r="V148" s="49">
        <v>0</v>
      </c>
      <c r="W148" s="49">
        <v>0</v>
      </c>
      <c r="X148" s="49">
        <v>7539.4516129032254</v>
      </c>
      <c r="Y148" s="434">
        <v>1152</v>
      </c>
      <c r="Z148" s="434">
        <v>232571</v>
      </c>
      <c r="AA148" s="49">
        <v>0</v>
      </c>
      <c r="AB148" s="49">
        <v>2</v>
      </c>
      <c r="AC148" s="49">
        <v>0</v>
      </c>
      <c r="AD148" s="285">
        <v>30</v>
      </c>
      <c r="AE148" s="285">
        <v>0</v>
      </c>
      <c r="AF148" s="359">
        <v>32</v>
      </c>
      <c r="AG148" s="360">
        <v>0</v>
      </c>
      <c r="AH148" s="360">
        <v>2</v>
      </c>
      <c r="AI148" s="361">
        <v>2</v>
      </c>
      <c r="AJ148" s="360">
        <v>0</v>
      </c>
      <c r="AK148" s="360">
        <v>0</v>
      </c>
      <c r="AL148" s="360">
        <v>1.9778000327100915</v>
      </c>
      <c r="AM148" s="360">
        <v>1.9778000327100915</v>
      </c>
      <c r="AN148" s="360">
        <v>0</v>
      </c>
      <c r="AO148" s="360">
        <v>0</v>
      </c>
      <c r="AP148" s="360">
        <v>1.9814425124535886</v>
      </c>
      <c r="AQ148" s="360">
        <v>1.9814425124535886</v>
      </c>
      <c r="AR148" s="360">
        <v>0</v>
      </c>
      <c r="AS148" s="360">
        <v>29.845050353485103</v>
      </c>
      <c r="AT148" s="360">
        <v>0</v>
      </c>
      <c r="AU148" s="360">
        <v>1.9558464846940193</v>
      </c>
      <c r="AV148" s="360">
        <v>1.9667926279615116</v>
      </c>
      <c r="AW148" s="360">
        <v>1.9778000327100915</v>
      </c>
      <c r="AX148" s="360">
        <v>1.9888690417974189</v>
      </c>
      <c r="AY148" s="360">
        <v>2</v>
      </c>
      <c r="AZ148" s="360">
        <v>1.9630572150791947</v>
      </c>
      <c r="BA148" s="360">
        <v>1.9722284402007455</v>
      </c>
      <c r="BB148" s="360">
        <v>1.9814425124535886</v>
      </c>
      <c r="BC148" s="360">
        <v>1.9906996320156332</v>
      </c>
      <c r="BD148" s="360">
        <v>2</v>
      </c>
      <c r="BE148" s="360">
        <v>29.690901020068708</v>
      </c>
      <c r="BF148" s="360">
        <v>29.767875906491767</v>
      </c>
      <c r="BG148" s="360">
        <v>29.845050353485103</v>
      </c>
      <c r="BH148" s="360">
        <v>29.922424878417743</v>
      </c>
      <c r="BI148" s="360">
        <v>30</v>
      </c>
      <c r="BJ148" s="362">
        <v>2.036465481285465</v>
      </c>
      <c r="BK148" s="362">
        <v>2.0735958282336204</v>
      </c>
      <c r="BL148" s="362">
        <v>2.111403163167656</v>
      </c>
      <c r="BM148" s="363">
        <v>2.0975216137377921</v>
      </c>
      <c r="BN148" s="363">
        <v>2.0837313294049662</v>
      </c>
      <c r="BO148" s="363">
        <v>2.0770773008098118</v>
      </c>
      <c r="BP148" s="363">
        <v>2.0704445206817317</v>
      </c>
      <c r="BQ148" s="363">
        <v>2.0638329211674931</v>
      </c>
      <c r="BR148" s="363">
        <v>2.0572424346305405</v>
      </c>
      <c r="BS148" s="363">
        <v>2.050672993650303</v>
      </c>
      <c r="BT148" s="363">
        <v>2.0658417558171958</v>
      </c>
      <c r="BU148" s="363">
        <v>2.0811227208298799</v>
      </c>
      <c r="BV148" s="363">
        <v>2.0965167186491964</v>
      </c>
      <c r="BW148" s="363">
        <v>2.1120245853751811</v>
      </c>
      <c r="BX148" s="363">
        <v>2.1276471632924716</v>
      </c>
      <c r="BY148" s="435">
        <v>2.136223319405183</v>
      </c>
      <c r="BZ148" s="435">
        <v>2.1447994755178943</v>
      </c>
      <c r="CA148" s="435">
        <v>2.1533756316306056</v>
      </c>
      <c r="CB148" s="435">
        <v>2.161951787743317</v>
      </c>
      <c r="CC148" s="363">
        <v>2.1705279438560283</v>
      </c>
      <c r="CD148" s="435">
        <v>2.1775578570439849</v>
      </c>
      <c r="CE148" s="435">
        <v>2.1845877702319414</v>
      </c>
      <c r="CF148" s="435">
        <v>2.1916176834198979</v>
      </c>
      <c r="CG148" s="435">
        <v>2.1986475966078545</v>
      </c>
      <c r="CH148" s="363">
        <v>2.205677509795811</v>
      </c>
      <c r="CI148" s="362">
        <v>2.036465481285465</v>
      </c>
      <c r="CJ148" s="362">
        <v>2.0735958282336204</v>
      </c>
      <c r="CK148" s="362">
        <v>2.111403163167656</v>
      </c>
      <c r="CL148" s="363">
        <v>2.0975216137377921</v>
      </c>
      <c r="CM148" s="363">
        <v>2.0837313294049662</v>
      </c>
      <c r="CN148" s="363">
        <v>2.0770773008098118</v>
      </c>
      <c r="CO148" s="363">
        <v>2.0704445206817317</v>
      </c>
      <c r="CP148" s="363">
        <v>2.0638329211674931</v>
      </c>
      <c r="CQ148" s="363">
        <v>2.0572424346305405</v>
      </c>
      <c r="CR148" s="363">
        <v>2.050672993650303</v>
      </c>
      <c r="CS148" s="363">
        <v>2.0658417558171958</v>
      </c>
      <c r="CT148" s="363">
        <v>2.0811227208298799</v>
      </c>
      <c r="CU148" s="363">
        <v>2.0965167186491964</v>
      </c>
      <c r="CV148" s="363">
        <v>2.1120245853751811</v>
      </c>
      <c r="CW148" s="363">
        <v>2.1276471632924716</v>
      </c>
      <c r="CX148" s="435">
        <v>2.136223319405183</v>
      </c>
      <c r="CY148" s="435">
        <v>2.1447994755178943</v>
      </c>
      <c r="CZ148" s="435">
        <v>2.1533756316306056</v>
      </c>
      <c r="DA148" s="435">
        <v>2.161951787743317</v>
      </c>
      <c r="DB148" s="363">
        <v>2.1705279438560283</v>
      </c>
      <c r="DC148" s="435">
        <v>2.1775578570439849</v>
      </c>
      <c r="DD148" s="435">
        <v>2.1845877702319414</v>
      </c>
      <c r="DE148" s="435">
        <v>2.1916176834198979</v>
      </c>
      <c r="DF148" s="435">
        <v>2.1986475966078545</v>
      </c>
      <c r="DG148" s="363">
        <v>2.205677509795811</v>
      </c>
      <c r="DH148" s="362">
        <v>30.546982219281976</v>
      </c>
      <c r="DI148" s="362">
        <v>31.103937423504306</v>
      </c>
      <c r="DJ148" s="362">
        <v>31.671047447514841</v>
      </c>
      <c r="DK148" s="363">
        <v>31.46282420606688</v>
      </c>
      <c r="DL148" s="363">
        <v>31.255969941074497</v>
      </c>
      <c r="DM148" s="363">
        <v>31.156159512147177</v>
      </c>
      <c r="DN148" s="363">
        <v>31.056667810225978</v>
      </c>
      <c r="DO148" s="363">
        <v>30.957493817512397</v>
      </c>
      <c r="DP148" s="363">
        <v>30.858636519458106</v>
      </c>
      <c r="DQ148" s="363">
        <v>30.760094904754546</v>
      </c>
      <c r="DR148" s="363">
        <v>30.987626337257936</v>
      </c>
      <c r="DS148" s="363">
        <v>31.216840812448197</v>
      </c>
      <c r="DT148" s="363">
        <v>31.447750779737948</v>
      </c>
      <c r="DU148" s="363">
        <v>31.680368780627717</v>
      </c>
      <c r="DV148" s="363">
        <v>31.914707449387073</v>
      </c>
      <c r="DW148" s="435">
        <v>32.043349791077745</v>
      </c>
      <c r="DX148" s="435">
        <v>32.171992132768416</v>
      </c>
      <c r="DY148" s="435">
        <v>32.300634474459088</v>
      </c>
      <c r="DZ148" s="435">
        <v>32.429276816149759</v>
      </c>
      <c r="EA148" s="363">
        <v>32.557919157840431</v>
      </c>
      <c r="EB148" s="435">
        <v>32.663367855659779</v>
      </c>
      <c r="EC148" s="435">
        <v>32.768816553479127</v>
      </c>
      <c r="ED148" s="435">
        <v>32.874265251298475</v>
      </c>
      <c r="EE148" s="435">
        <v>32.979713949117823</v>
      </c>
      <c r="EF148" s="363">
        <v>33.085162646937171</v>
      </c>
      <c r="EG148" s="364">
        <v>0</v>
      </c>
      <c r="EH148" s="364">
        <v>0</v>
      </c>
      <c r="EI148" s="364">
        <v>0</v>
      </c>
      <c r="EJ148" s="365">
        <v>0</v>
      </c>
      <c r="EK148" s="365">
        <v>0</v>
      </c>
      <c r="EL148" s="365">
        <v>0</v>
      </c>
      <c r="EM148" s="365">
        <v>0</v>
      </c>
      <c r="EN148" s="365">
        <v>0</v>
      </c>
      <c r="EO148" s="365">
        <v>0</v>
      </c>
      <c r="EP148" s="365">
        <v>0</v>
      </c>
      <c r="EQ148" s="365">
        <v>0</v>
      </c>
      <c r="ER148" s="365">
        <v>0</v>
      </c>
      <c r="ES148" s="365">
        <v>0</v>
      </c>
      <c r="ET148" s="365">
        <v>0</v>
      </c>
      <c r="EU148" s="365">
        <v>0</v>
      </c>
      <c r="EV148" s="436">
        <v>0</v>
      </c>
      <c r="EW148" s="436">
        <v>0</v>
      </c>
      <c r="EX148" s="436">
        <v>0</v>
      </c>
      <c r="EY148" s="436">
        <v>0</v>
      </c>
      <c r="EZ148" s="365">
        <v>0</v>
      </c>
      <c r="FA148" s="436">
        <v>0</v>
      </c>
      <c r="FB148" s="436">
        <v>0</v>
      </c>
      <c r="FC148" s="436">
        <v>0</v>
      </c>
      <c r="FD148" s="436">
        <v>0</v>
      </c>
      <c r="FE148" s="365">
        <v>0</v>
      </c>
      <c r="FF148" s="364">
        <v>0</v>
      </c>
      <c r="FG148" s="364">
        <v>0</v>
      </c>
      <c r="FH148" s="364">
        <v>0</v>
      </c>
      <c r="FI148" s="365">
        <v>0</v>
      </c>
      <c r="FJ148" s="365">
        <v>0</v>
      </c>
      <c r="FK148" s="365">
        <v>0</v>
      </c>
      <c r="FL148" s="365">
        <v>0</v>
      </c>
      <c r="FM148" s="365">
        <v>0</v>
      </c>
      <c r="FN148" s="365">
        <v>0</v>
      </c>
      <c r="FO148" s="365">
        <v>0</v>
      </c>
      <c r="FP148" s="365">
        <v>0</v>
      </c>
      <c r="FQ148" s="365">
        <v>0</v>
      </c>
      <c r="FR148" s="365">
        <v>0</v>
      </c>
      <c r="FS148" s="365">
        <v>0</v>
      </c>
      <c r="FT148" s="365">
        <v>0</v>
      </c>
      <c r="FU148" s="436">
        <v>0</v>
      </c>
      <c r="FV148" s="436">
        <v>0</v>
      </c>
      <c r="FW148" s="436">
        <v>0</v>
      </c>
      <c r="FX148" s="436">
        <v>0</v>
      </c>
      <c r="FY148" s="365">
        <v>0</v>
      </c>
      <c r="FZ148" s="436">
        <v>0</v>
      </c>
      <c r="GA148" s="436">
        <v>0</v>
      </c>
      <c r="GB148" s="436">
        <v>0</v>
      </c>
      <c r="GC148" s="436">
        <v>0</v>
      </c>
      <c r="GD148" s="365">
        <v>0</v>
      </c>
    </row>
    <row r="149" spans="1:186" ht="15" x14ac:dyDescent="0.25">
      <c r="A149" s="357">
        <v>110</v>
      </c>
      <c r="B149" s="357">
        <v>91</v>
      </c>
      <c r="C149" s="357" t="s">
        <v>1059</v>
      </c>
      <c r="D149" s="2">
        <v>99701</v>
      </c>
      <c r="E149" s="268" t="s">
        <v>1527</v>
      </c>
      <c r="F149" s="358" t="s">
        <v>985</v>
      </c>
      <c r="G149" s="49">
        <v>78</v>
      </c>
      <c r="H149" s="49">
        <v>24</v>
      </c>
      <c r="I149" s="49">
        <v>24</v>
      </c>
      <c r="J149" s="49">
        <v>0</v>
      </c>
      <c r="K149" s="49">
        <v>0</v>
      </c>
      <c r="L149" s="49">
        <v>51</v>
      </c>
      <c r="M149" s="49">
        <v>51</v>
      </c>
      <c r="N149" s="49">
        <v>30</v>
      </c>
      <c r="O149" s="49">
        <v>0</v>
      </c>
      <c r="P149" s="49">
        <v>0</v>
      </c>
      <c r="Q149" s="49">
        <v>81</v>
      </c>
      <c r="R149" s="49">
        <v>0</v>
      </c>
      <c r="S149" s="49">
        <v>1142.9803921568628</v>
      </c>
      <c r="T149" s="49">
        <v>1142.9803921568628</v>
      </c>
      <c r="U149" s="49">
        <v>10373.533333333333</v>
      </c>
      <c r="V149" s="49">
        <v>0</v>
      </c>
      <c r="W149" s="49">
        <v>0</v>
      </c>
      <c r="X149" s="49">
        <v>4561.7037037037035</v>
      </c>
      <c r="Y149" s="434">
        <v>58292</v>
      </c>
      <c r="Z149" s="434">
        <v>311206</v>
      </c>
      <c r="AA149" s="49">
        <v>0</v>
      </c>
      <c r="AB149" s="49">
        <v>24</v>
      </c>
      <c r="AC149" s="49">
        <v>0</v>
      </c>
      <c r="AD149" s="285">
        <v>30</v>
      </c>
      <c r="AE149" s="285">
        <v>0</v>
      </c>
      <c r="AF149" s="359">
        <v>54</v>
      </c>
      <c r="AG149" s="360">
        <v>0</v>
      </c>
      <c r="AH149" s="360">
        <v>24</v>
      </c>
      <c r="AI149" s="361">
        <v>24</v>
      </c>
      <c r="AJ149" s="360">
        <v>0</v>
      </c>
      <c r="AK149" s="360">
        <v>0</v>
      </c>
      <c r="AL149" s="360">
        <v>23.733600392521097</v>
      </c>
      <c r="AM149" s="360">
        <v>23.733600392521097</v>
      </c>
      <c r="AN149" s="360">
        <v>0</v>
      </c>
      <c r="AO149" s="360">
        <v>0</v>
      </c>
      <c r="AP149" s="360">
        <v>23.777310149443064</v>
      </c>
      <c r="AQ149" s="360">
        <v>23.777310149443064</v>
      </c>
      <c r="AR149" s="360">
        <v>0</v>
      </c>
      <c r="AS149" s="360">
        <v>29.845050353485103</v>
      </c>
      <c r="AT149" s="360">
        <v>0</v>
      </c>
      <c r="AU149" s="360">
        <v>23.470157816328232</v>
      </c>
      <c r="AV149" s="360">
        <v>23.601511535538137</v>
      </c>
      <c r="AW149" s="360">
        <v>23.733600392521097</v>
      </c>
      <c r="AX149" s="360">
        <v>23.866428501569025</v>
      </c>
      <c r="AY149" s="360">
        <v>24</v>
      </c>
      <c r="AZ149" s="360">
        <v>23.556686580950338</v>
      </c>
      <c r="BA149" s="360">
        <v>23.666741282408946</v>
      </c>
      <c r="BB149" s="360">
        <v>23.777310149443064</v>
      </c>
      <c r="BC149" s="360">
        <v>23.888395584187599</v>
      </c>
      <c r="BD149" s="360">
        <v>24</v>
      </c>
      <c r="BE149" s="360">
        <v>29.690901020068708</v>
      </c>
      <c r="BF149" s="360">
        <v>29.767875906491767</v>
      </c>
      <c r="BG149" s="360">
        <v>29.845050353485103</v>
      </c>
      <c r="BH149" s="360">
        <v>29.922424878417743</v>
      </c>
      <c r="BI149" s="360">
        <v>30</v>
      </c>
      <c r="BJ149" s="362">
        <v>24.437585775425582</v>
      </c>
      <c r="BK149" s="362">
        <v>24.883149938803445</v>
      </c>
      <c r="BL149" s="362">
        <v>25.33683795801187</v>
      </c>
      <c r="BM149" s="363">
        <v>25.170259364853504</v>
      </c>
      <c r="BN149" s="363">
        <v>25.004775952859596</v>
      </c>
      <c r="BO149" s="363">
        <v>24.924927609717738</v>
      </c>
      <c r="BP149" s="363">
        <v>24.84533424818078</v>
      </c>
      <c r="BQ149" s="363">
        <v>24.765995054009917</v>
      </c>
      <c r="BR149" s="363">
        <v>24.68690921556648</v>
      </c>
      <c r="BS149" s="363">
        <v>24.608075923803636</v>
      </c>
      <c r="BT149" s="363">
        <v>24.790101069806347</v>
      </c>
      <c r="BU149" s="363">
        <v>24.973472649958556</v>
      </c>
      <c r="BV149" s="363">
        <v>25.158200623790357</v>
      </c>
      <c r="BW149" s="363">
        <v>25.344295024502173</v>
      </c>
      <c r="BX149" s="363">
        <v>25.531765959509656</v>
      </c>
      <c r="BY149" s="435">
        <v>25.634679832862194</v>
      </c>
      <c r="BZ149" s="435">
        <v>25.737593706214732</v>
      </c>
      <c r="CA149" s="435">
        <v>25.840507579567266</v>
      </c>
      <c r="CB149" s="435">
        <v>25.943421452919804</v>
      </c>
      <c r="CC149" s="363">
        <v>26.046335326272342</v>
      </c>
      <c r="CD149" s="435">
        <v>26.13069428452782</v>
      </c>
      <c r="CE149" s="435">
        <v>26.215053242783299</v>
      </c>
      <c r="CF149" s="435">
        <v>26.299412201038777</v>
      </c>
      <c r="CG149" s="435">
        <v>26.383771159294255</v>
      </c>
      <c r="CH149" s="363">
        <v>26.468130117549734</v>
      </c>
      <c r="CI149" s="362">
        <v>24.437585775425582</v>
      </c>
      <c r="CJ149" s="362">
        <v>24.883149938803445</v>
      </c>
      <c r="CK149" s="362">
        <v>25.33683795801187</v>
      </c>
      <c r="CL149" s="363">
        <v>25.170259364853504</v>
      </c>
      <c r="CM149" s="363">
        <v>25.004775952859596</v>
      </c>
      <c r="CN149" s="363">
        <v>24.924927609717738</v>
      </c>
      <c r="CO149" s="363">
        <v>24.84533424818078</v>
      </c>
      <c r="CP149" s="363">
        <v>24.765995054009917</v>
      </c>
      <c r="CQ149" s="363">
        <v>24.68690921556648</v>
      </c>
      <c r="CR149" s="363">
        <v>24.608075923803636</v>
      </c>
      <c r="CS149" s="363">
        <v>24.790101069806347</v>
      </c>
      <c r="CT149" s="363">
        <v>24.973472649958556</v>
      </c>
      <c r="CU149" s="363">
        <v>25.158200623790357</v>
      </c>
      <c r="CV149" s="363">
        <v>25.344295024502173</v>
      </c>
      <c r="CW149" s="363">
        <v>25.531765959509656</v>
      </c>
      <c r="CX149" s="435">
        <v>25.634679832862194</v>
      </c>
      <c r="CY149" s="435">
        <v>25.737593706214732</v>
      </c>
      <c r="CZ149" s="435">
        <v>25.840507579567266</v>
      </c>
      <c r="DA149" s="435">
        <v>25.943421452919804</v>
      </c>
      <c r="DB149" s="363">
        <v>26.046335326272342</v>
      </c>
      <c r="DC149" s="435">
        <v>26.13069428452782</v>
      </c>
      <c r="DD149" s="435">
        <v>26.215053242783299</v>
      </c>
      <c r="DE149" s="435">
        <v>26.299412201038777</v>
      </c>
      <c r="DF149" s="435">
        <v>26.383771159294255</v>
      </c>
      <c r="DG149" s="363">
        <v>26.468130117549734</v>
      </c>
      <c r="DH149" s="362">
        <v>30.546982219281976</v>
      </c>
      <c r="DI149" s="362">
        <v>31.103937423504306</v>
      </c>
      <c r="DJ149" s="362">
        <v>31.671047447514841</v>
      </c>
      <c r="DK149" s="363">
        <v>31.46282420606688</v>
      </c>
      <c r="DL149" s="363">
        <v>31.255969941074497</v>
      </c>
      <c r="DM149" s="363">
        <v>31.156159512147177</v>
      </c>
      <c r="DN149" s="363">
        <v>31.056667810225978</v>
      </c>
      <c r="DO149" s="363">
        <v>30.957493817512397</v>
      </c>
      <c r="DP149" s="363">
        <v>30.858636519458106</v>
      </c>
      <c r="DQ149" s="363">
        <v>30.760094904754546</v>
      </c>
      <c r="DR149" s="363">
        <v>30.987626337257936</v>
      </c>
      <c r="DS149" s="363">
        <v>31.216840812448197</v>
      </c>
      <c r="DT149" s="363">
        <v>31.447750779737948</v>
      </c>
      <c r="DU149" s="363">
        <v>31.680368780627717</v>
      </c>
      <c r="DV149" s="363">
        <v>31.914707449387073</v>
      </c>
      <c r="DW149" s="435">
        <v>32.043349791077745</v>
      </c>
      <c r="DX149" s="435">
        <v>32.171992132768416</v>
      </c>
      <c r="DY149" s="435">
        <v>32.300634474459088</v>
      </c>
      <c r="DZ149" s="435">
        <v>32.429276816149759</v>
      </c>
      <c r="EA149" s="363">
        <v>32.557919157840431</v>
      </c>
      <c r="EB149" s="435">
        <v>32.663367855659779</v>
      </c>
      <c r="EC149" s="435">
        <v>32.768816553479127</v>
      </c>
      <c r="ED149" s="435">
        <v>32.874265251298475</v>
      </c>
      <c r="EE149" s="435">
        <v>32.979713949117823</v>
      </c>
      <c r="EF149" s="363">
        <v>33.085162646937171</v>
      </c>
      <c r="EG149" s="364">
        <v>0</v>
      </c>
      <c r="EH149" s="364">
        <v>0</v>
      </c>
      <c r="EI149" s="364">
        <v>0</v>
      </c>
      <c r="EJ149" s="365">
        <v>0</v>
      </c>
      <c r="EK149" s="365">
        <v>0</v>
      </c>
      <c r="EL149" s="365">
        <v>0</v>
      </c>
      <c r="EM149" s="365">
        <v>0</v>
      </c>
      <c r="EN149" s="365">
        <v>0</v>
      </c>
      <c r="EO149" s="365">
        <v>0</v>
      </c>
      <c r="EP149" s="365">
        <v>0</v>
      </c>
      <c r="EQ149" s="365">
        <v>0</v>
      </c>
      <c r="ER149" s="365">
        <v>0</v>
      </c>
      <c r="ES149" s="365">
        <v>0</v>
      </c>
      <c r="ET149" s="365">
        <v>0</v>
      </c>
      <c r="EU149" s="365">
        <v>0</v>
      </c>
      <c r="EV149" s="436">
        <v>0</v>
      </c>
      <c r="EW149" s="436">
        <v>0</v>
      </c>
      <c r="EX149" s="436">
        <v>0</v>
      </c>
      <c r="EY149" s="436">
        <v>0</v>
      </c>
      <c r="EZ149" s="365">
        <v>0</v>
      </c>
      <c r="FA149" s="436">
        <v>0</v>
      </c>
      <c r="FB149" s="436">
        <v>0</v>
      </c>
      <c r="FC149" s="436">
        <v>0</v>
      </c>
      <c r="FD149" s="436">
        <v>0</v>
      </c>
      <c r="FE149" s="365">
        <v>0</v>
      </c>
      <c r="FF149" s="364">
        <v>0</v>
      </c>
      <c r="FG149" s="364">
        <v>0</v>
      </c>
      <c r="FH149" s="364">
        <v>0</v>
      </c>
      <c r="FI149" s="365">
        <v>0</v>
      </c>
      <c r="FJ149" s="365">
        <v>0</v>
      </c>
      <c r="FK149" s="365">
        <v>0</v>
      </c>
      <c r="FL149" s="365">
        <v>0</v>
      </c>
      <c r="FM149" s="365">
        <v>0</v>
      </c>
      <c r="FN149" s="365">
        <v>0</v>
      </c>
      <c r="FO149" s="365">
        <v>0</v>
      </c>
      <c r="FP149" s="365">
        <v>0</v>
      </c>
      <c r="FQ149" s="365">
        <v>0</v>
      </c>
      <c r="FR149" s="365">
        <v>0</v>
      </c>
      <c r="FS149" s="365">
        <v>0</v>
      </c>
      <c r="FT149" s="365">
        <v>0</v>
      </c>
      <c r="FU149" s="436">
        <v>0</v>
      </c>
      <c r="FV149" s="436">
        <v>0</v>
      </c>
      <c r="FW149" s="436">
        <v>0</v>
      </c>
      <c r="FX149" s="436">
        <v>0</v>
      </c>
      <c r="FY149" s="365">
        <v>0</v>
      </c>
      <c r="FZ149" s="436">
        <v>0</v>
      </c>
      <c r="GA149" s="436">
        <v>0</v>
      </c>
      <c r="GB149" s="436">
        <v>0</v>
      </c>
      <c r="GC149" s="436">
        <v>0</v>
      </c>
      <c r="GD149" s="365">
        <v>0</v>
      </c>
    </row>
    <row r="150" spans="1:186" ht="15" x14ac:dyDescent="0.25">
      <c r="A150" s="357">
        <v>111</v>
      </c>
      <c r="B150" s="357">
        <v>91</v>
      </c>
      <c r="C150" s="357" t="s">
        <v>1060</v>
      </c>
      <c r="D150" s="2">
        <v>99701</v>
      </c>
      <c r="E150" s="268" t="s">
        <v>1527</v>
      </c>
      <c r="F150" s="358" t="s">
        <v>985</v>
      </c>
      <c r="G150" s="49">
        <v>93</v>
      </c>
      <c r="H150" s="49">
        <v>49</v>
      </c>
      <c r="I150" s="49">
        <v>45</v>
      </c>
      <c r="J150" s="49">
        <v>4</v>
      </c>
      <c r="K150" s="49">
        <v>0</v>
      </c>
      <c r="L150" s="49">
        <v>16</v>
      </c>
      <c r="M150" s="49">
        <v>16</v>
      </c>
      <c r="N150" s="49">
        <v>1</v>
      </c>
      <c r="O150" s="49">
        <v>0</v>
      </c>
      <c r="P150" s="49">
        <v>0</v>
      </c>
      <c r="Q150" s="49">
        <v>17</v>
      </c>
      <c r="R150" s="49">
        <v>0</v>
      </c>
      <c r="S150" s="49">
        <v>1735.4375</v>
      </c>
      <c r="T150" s="49">
        <v>1735.4375</v>
      </c>
      <c r="U150" s="49">
        <v>2704</v>
      </c>
      <c r="V150" s="49">
        <v>0</v>
      </c>
      <c r="W150" s="49">
        <v>0</v>
      </c>
      <c r="X150" s="49">
        <v>1792.4117647058824</v>
      </c>
      <c r="Y150" s="434">
        <v>27767</v>
      </c>
      <c r="Z150" s="434">
        <v>2704</v>
      </c>
      <c r="AA150" s="49">
        <v>0</v>
      </c>
      <c r="AB150" s="49">
        <v>49</v>
      </c>
      <c r="AC150" s="49">
        <v>0</v>
      </c>
      <c r="AD150" s="285">
        <v>1</v>
      </c>
      <c r="AE150" s="285">
        <v>0</v>
      </c>
      <c r="AF150" s="359">
        <v>50</v>
      </c>
      <c r="AG150" s="360">
        <v>0</v>
      </c>
      <c r="AH150" s="360">
        <v>45</v>
      </c>
      <c r="AI150" s="361">
        <v>45</v>
      </c>
      <c r="AJ150" s="360">
        <v>0</v>
      </c>
      <c r="AK150" s="360">
        <v>0</v>
      </c>
      <c r="AL150" s="360">
        <v>48.456100801397241</v>
      </c>
      <c r="AM150" s="360">
        <v>48.456100801397241</v>
      </c>
      <c r="AN150" s="360">
        <v>0</v>
      </c>
      <c r="AO150" s="360">
        <v>0</v>
      </c>
      <c r="AP150" s="360">
        <v>44.582456530205747</v>
      </c>
      <c r="AQ150" s="360">
        <v>44.582456530205747</v>
      </c>
      <c r="AR150" s="360">
        <v>0</v>
      </c>
      <c r="AS150" s="360">
        <v>0.99483501178283684</v>
      </c>
      <c r="AT150" s="360">
        <v>0</v>
      </c>
      <c r="AU150" s="360">
        <v>47.918238875003475</v>
      </c>
      <c r="AV150" s="360">
        <v>48.186419385057029</v>
      </c>
      <c r="AW150" s="360">
        <v>48.456100801397241</v>
      </c>
      <c r="AX150" s="360">
        <v>48.727291524036758</v>
      </c>
      <c r="AY150" s="360">
        <v>49</v>
      </c>
      <c r="AZ150" s="360">
        <v>44.168787339281884</v>
      </c>
      <c r="BA150" s="360">
        <v>44.375139904516772</v>
      </c>
      <c r="BB150" s="360">
        <v>44.582456530205747</v>
      </c>
      <c r="BC150" s="360">
        <v>44.790741720351747</v>
      </c>
      <c r="BD150" s="360">
        <v>45</v>
      </c>
      <c r="BE150" s="360">
        <v>0.98969670066895699</v>
      </c>
      <c r="BF150" s="360">
        <v>0.99226253021639232</v>
      </c>
      <c r="BG150" s="360">
        <v>0.99483501178283684</v>
      </c>
      <c r="BH150" s="360">
        <v>0.99741416261392479</v>
      </c>
      <c r="BI150" s="360">
        <v>1</v>
      </c>
      <c r="BJ150" s="362">
        <v>49.893404291493894</v>
      </c>
      <c r="BK150" s="362">
        <v>50.803097791723701</v>
      </c>
      <c r="BL150" s="362">
        <v>51.729377497607572</v>
      </c>
      <c r="BM150" s="363">
        <v>51.389279536575906</v>
      </c>
      <c r="BN150" s="363">
        <v>51.051417570421677</v>
      </c>
      <c r="BO150" s="363">
        <v>50.888393869840385</v>
      </c>
      <c r="BP150" s="363">
        <v>50.725890756702427</v>
      </c>
      <c r="BQ150" s="363">
        <v>50.563906568603585</v>
      </c>
      <c r="BR150" s="363">
        <v>50.402439648448237</v>
      </c>
      <c r="BS150" s="363">
        <v>50.241488344432426</v>
      </c>
      <c r="BT150" s="363">
        <v>50.613123017521296</v>
      </c>
      <c r="BU150" s="363">
        <v>50.987506660332052</v>
      </c>
      <c r="BV150" s="363">
        <v>51.364659606905313</v>
      </c>
      <c r="BW150" s="363">
        <v>51.744602341691937</v>
      </c>
      <c r="BX150" s="363">
        <v>52.127355500665551</v>
      </c>
      <c r="BY150" s="435">
        <v>52.337471325426982</v>
      </c>
      <c r="BZ150" s="435">
        <v>52.547587150188413</v>
      </c>
      <c r="CA150" s="435">
        <v>52.757702974949837</v>
      </c>
      <c r="CB150" s="435">
        <v>52.967818799711267</v>
      </c>
      <c r="CC150" s="363">
        <v>53.177934624472698</v>
      </c>
      <c r="CD150" s="435">
        <v>53.350167497577637</v>
      </c>
      <c r="CE150" s="435">
        <v>53.522400370682568</v>
      </c>
      <c r="CF150" s="435">
        <v>53.694633243787507</v>
      </c>
      <c r="CG150" s="435">
        <v>53.866866116892439</v>
      </c>
      <c r="CH150" s="363">
        <v>54.039098989997377</v>
      </c>
      <c r="CI150" s="362">
        <v>45.820473328922965</v>
      </c>
      <c r="CJ150" s="362">
        <v>46.655906135256458</v>
      </c>
      <c r="CK150" s="362">
        <v>47.506571171272256</v>
      </c>
      <c r="CL150" s="363">
        <v>47.194236309100319</v>
      </c>
      <c r="CM150" s="363">
        <v>46.883954911611738</v>
      </c>
      <c r="CN150" s="363">
        <v>46.734239268220762</v>
      </c>
      <c r="CO150" s="363">
        <v>46.585001715338962</v>
      </c>
      <c r="CP150" s="363">
        <v>46.436240726268593</v>
      </c>
      <c r="CQ150" s="363">
        <v>46.287954779187153</v>
      </c>
      <c r="CR150" s="363">
        <v>46.140142357131815</v>
      </c>
      <c r="CS150" s="363">
        <v>46.481439505886897</v>
      </c>
      <c r="CT150" s="363">
        <v>46.825261218672289</v>
      </c>
      <c r="CU150" s="363">
        <v>47.171626169606917</v>
      </c>
      <c r="CV150" s="363">
        <v>47.520553170941575</v>
      </c>
      <c r="CW150" s="363">
        <v>47.872061174080606</v>
      </c>
      <c r="CX150" s="435">
        <v>48.06502468661661</v>
      </c>
      <c r="CY150" s="435">
        <v>48.257988199152621</v>
      </c>
      <c r="CZ150" s="435">
        <v>48.450951711688624</v>
      </c>
      <c r="DA150" s="435">
        <v>48.643915224224635</v>
      </c>
      <c r="DB150" s="363">
        <v>48.836878736760639</v>
      </c>
      <c r="DC150" s="435">
        <v>48.995051783489657</v>
      </c>
      <c r="DD150" s="435">
        <v>49.153224830218683</v>
      </c>
      <c r="DE150" s="435">
        <v>49.311397876947701</v>
      </c>
      <c r="DF150" s="435">
        <v>49.469570923676727</v>
      </c>
      <c r="DG150" s="363">
        <v>49.627743970405746</v>
      </c>
      <c r="DH150" s="362">
        <v>1.0182327406427325</v>
      </c>
      <c r="DI150" s="362">
        <v>1.0367979141168102</v>
      </c>
      <c r="DJ150" s="362">
        <v>1.055701581583828</v>
      </c>
      <c r="DK150" s="363">
        <v>1.0487608068688961</v>
      </c>
      <c r="DL150" s="363">
        <v>1.0418656647024831</v>
      </c>
      <c r="DM150" s="363">
        <v>1.0385386504049059</v>
      </c>
      <c r="DN150" s="363">
        <v>1.0352222603408658</v>
      </c>
      <c r="DO150" s="363">
        <v>1.0319164605837465</v>
      </c>
      <c r="DP150" s="363">
        <v>1.0286212173152702</v>
      </c>
      <c r="DQ150" s="363">
        <v>1.0253364968251515</v>
      </c>
      <c r="DR150" s="363">
        <v>1.0329208779085979</v>
      </c>
      <c r="DS150" s="363">
        <v>1.04056136041494</v>
      </c>
      <c r="DT150" s="363">
        <v>1.0482583593245982</v>
      </c>
      <c r="DU150" s="363">
        <v>1.0560122926875906</v>
      </c>
      <c r="DV150" s="363">
        <v>1.0638235816462358</v>
      </c>
      <c r="DW150" s="435">
        <v>1.0681116597025915</v>
      </c>
      <c r="DX150" s="435">
        <v>1.0723997377589471</v>
      </c>
      <c r="DY150" s="435">
        <v>1.0766878158153028</v>
      </c>
      <c r="DZ150" s="435">
        <v>1.0809758938716585</v>
      </c>
      <c r="EA150" s="363">
        <v>1.0852639719280142</v>
      </c>
      <c r="EB150" s="435">
        <v>1.0887789285219924</v>
      </c>
      <c r="EC150" s="435">
        <v>1.0922938851159707</v>
      </c>
      <c r="ED150" s="435">
        <v>1.095808841709949</v>
      </c>
      <c r="EE150" s="435">
        <v>1.0993237983039272</v>
      </c>
      <c r="EF150" s="363">
        <v>1.1028387548979055</v>
      </c>
      <c r="EG150" s="364">
        <v>0</v>
      </c>
      <c r="EH150" s="364">
        <v>0</v>
      </c>
      <c r="EI150" s="364">
        <v>0</v>
      </c>
      <c r="EJ150" s="365">
        <v>0</v>
      </c>
      <c r="EK150" s="365">
        <v>0</v>
      </c>
      <c r="EL150" s="365">
        <v>0</v>
      </c>
      <c r="EM150" s="365">
        <v>0</v>
      </c>
      <c r="EN150" s="365">
        <v>0</v>
      </c>
      <c r="EO150" s="365">
        <v>0</v>
      </c>
      <c r="EP150" s="365">
        <v>0</v>
      </c>
      <c r="EQ150" s="365">
        <v>0</v>
      </c>
      <c r="ER150" s="365">
        <v>0</v>
      </c>
      <c r="ES150" s="365">
        <v>0</v>
      </c>
      <c r="ET150" s="365">
        <v>0</v>
      </c>
      <c r="EU150" s="365">
        <v>0</v>
      </c>
      <c r="EV150" s="436">
        <v>0</v>
      </c>
      <c r="EW150" s="436">
        <v>0</v>
      </c>
      <c r="EX150" s="436">
        <v>0</v>
      </c>
      <c r="EY150" s="436">
        <v>0</v>
      </c>
      <c r="EZ150" s="365">
        <v>0</v>
      </c>
      <c r="FA150" s="436">
        <v>0</v>
      </c>
      <c r="FB150" s="436">
        <v>0</v>
      </c>
      <c r="FC150" s="436">
        <v>0</v>
      </c>
      <c r="FD150" s="436">
        <v>0</v>
      </c>
      <c r="FE150" s="365">
        <v>0</v>
      </c>
      <c r="FF150" s="364">
        <v>0</v>
      </c>
      <c r="FG150" s="364">
        <v>0</v>
      </c>
      <c r="FH150" s="364">
        <v>0</v>
      </c>
      <c r="FI150" s="365">
        <v>0</v>
      </c>
      <c r="FJ150" s="365">
        <v>0</v>
      </c>
      <c r="FK150" s="365">
        <v>0</v>
      </c>
      <c r="FL150" s="365">
        <v>0</v>
      </c>
      <c r="FM150" s="365">
        <v>0</v>
      </c>
      <c r="FN150" s="365">
        <v>0</v>
      </c>
      <c r="FO150" s="365">
        <v>0</v>
      </c>
      <c r="FP150" s="365">
        <v>0</v>
      </c>
      <c r="FQ150" s="365">
        <v>0</v>
      </c>
      <c r="FR150" s="365">
        <v>0</v>
      </c>
      <c r="FS150" s="365">
        <v>0</v>
      </c>
      <c r="FT150" s="365">
        <v>0</v>
      </c>
      <c r="FU150" s="436">
        <v>0</v>
      </c>
      <c r="FV150" s="436">
        <v>0</v>
      </c>
      <c r="FW150" s="436">
        <v>0</v>
      </c>
      <c r="FX150" s="436">
        <v>0</v>
      </c>
      <c r="FY150" s="365">
        <v>0</v>
      </c>
      <c r="FZ150" s="436">
        <v>0</v>
      </c>
      <c r="GA150" s="436">
        <v>0</v>
      </c>
      <c r="GB150" s="436">
        <v>0</v>
      </c>
      <c r="GC150" s="436">
        <v>0</v>
      </c>
      <c r="GD150" s="365">
        <v>0</v>
      </c>
    </row>
    <row r="151" spans="1:186" ht="15" x14ac:dyDescent="0.25">
      <c r="A151" s="357">
        <v>115</v>
      </c>
      <c r="B151" s="357">
        <v>91</v>
      </c>
      <c r="C151" s="357" t="s">
        <v>1061</v>
      </c>
      <c r="D151" s="2">
        <v>99705</v>
      </c>
      <c r="E151" s="268" t="s">
        <v>218</v>
      </c>
      <c r="F151" s="358" t="s">
        <v>985</v>
      </c>
      <c r="G151" s="49">
        <v>330</v>
      </c>
      <c r="H151" s="49">
        <v>166</v>
      </c>
      <c r="I151" s="49">
        <v>135</v>
      </c>
      <c r="J151" s="49">
        <v>31</v>
      </c>
      <c r="K151" s="49">
        <v>3</v>
      </c>
      <c r="L151" s="49">
        <v>85</v>
      </c>
      <c r="M151" s="49">
        <v>88</v>
      </c>
      <c r="N151" s="49">
        <v>14</v>
      </c>
      <c r="O151" s="49">
        <v>0</v>
      </c>
      <c r="P151" s="49">
        <v>0</v>
      </c>
      <c r="Q151" s="49">
        <v>102</v>
      </c>
      <c r="R151" s="49">
        <v>2805</v>
      </c>
      <c r="S151" s="49">
        <v>1947.964705882353</v>
      </c>
      <c r="T151" s="49">
        <v>1977.1818181818182</v>
      </c>
      <c r="U151" s="49">
        <v>7261.6428571428569</v>
      </c>
      <c r="V151" s="49">
        <v>0</v>
      </c>
      <c r="W151" s="49">
        <v>0</v>
      </c>
      <c r="X151" s="49">
        <v>2702.5</v>
      </c>
      <c r="Y151" s="434">
        <v>173992</v>
      </c>
      <c r="Z151" s="434">
        <v>101663</v>
      </c>
      <c r="AA151" s="49">
        <v>5.6590909090909092</v>
      </c>
      <c r="AB151" s="49">
        <v>160.34090909090909</v>
      </c>
      <c r="AC151" s="49">
        <v>0</v>
      </c>
      <c r="AD151" s="285">
        <v>14</v>
      </c>
      <c r="AE151" s="285">
        <v>0</v>
      </c>
      <c r="AF151" s="359">
        <v>180</v>
      </c>
      <c r="AG151" s="360">
        <v>4.6022727272727275</v>
      </c>
      <c r="AH151" s="360">
        <v>130.39772727272728</v>
      </c>
      <c r="AI151" s="361">
        <v>135</v>
      </c>
      <c r="AJ151" s="360">
        <v>0</v>
      </c>
      <c r="AK151" s="360">
        <v>5.2524948489771424</v>
      </c>
      <c r="AL151" s="360">
        <v>148.82068738768569</v>
      </c>
      <c r="AM151" s="360">
        <v>154.07318223666283</v>
      </c>
      <c r="AN151" s="360">
        <v>0</v>
      </c>
      <c r="AO151" s="360">
        <v>4.2935167550029369</v>
      </c>
      <c r="AP151" s="360">
        <v>121.64964139174988</v>
      </c>
      <c r="AQ151" s="360">
        <v>125.94315814675282</v>
      </c>
      <c r="AR151" s="360">
        <v>0</v>
      </c>
      <c r="AS151" s="360">
        <v>13.161507342688731</v>
      </c>
      <c r="AT151" s="360">
        <v>0</v>
      </c>
      <c r="AU151" s="360">
        <v>143.00328605139711</v>
      </c>
      <c r="AV151" s="360">
        <v>148.43507453509272</v>
      </c>
      <c r="AW151" s="360">
        <v>154.07318223666286</v>
      </c>
      <c r="AX151" s="360">
        <v>159.9254459155454</v>
      </c>
      <c r="AY151" s="360">
        <v>166</v>
      </c>
      <c r="AZ151" s="360">
        <v>117.49391914057767</v>
      </c>
      <c r="BA151" s="360">
        <v>121.64520228765112</v>
      </c>
      <c r="BB151" s="360">
        <v>125.94315814675281</v>
      </c>
      <c r="BC151" s="360">
        <v>130.39296894315899</v>
      </c>
      <c r="BD151" s="360">
        <v>135</v>
      </c>
      <c r="BE151" s="360">
        <v>12.373233966546383</v>
      </c>
      <c r="BF151" s="360">
        <v>12.761285581927309</v>
      </c>
      <c r="BG151" s="360">
        <v>13.161507342688731</v>
      </c>
      <c r="BH151" s="360">
        <v>13.574280931144832</v>
      </c>
      <c r="BI151" s="360">
        <v>14</v>
      </c>
      <c r="BJ151" s="362">
        <v>169.99720985732193</v>
      </c>
      <c r="BK151" s="362">
        <v>174.09067083900212</v>
      </c>
      <c r="BL151" s="362">
        <v>178.28270063144456</v>
      </c>
      <c r="BM151" s="363">
        <v>177.1105700954686</v>
      </c>
      <c r="BN151" s="363">
        <v>175.94614580350006</v>
      </c>
      <c r="BO151" s="363">
        <v>175.38429280985233</v>
      </c>
      <c r="BP151" s="363">
        <v>174.82423399467342</v>
      </c>
      <c r="BQ151" s="363">
        <v>174.26596362857072</v>
      </c>
      <c r="BR151" s="363">
        <v>173.70947600044744</v>
      </c>
      <c r="BS151" s="363">
        <v>173.15476541744422</v>
      </c>
      <c r="BT151" s="363">
        <v>174.43558564710253</v>
      </c>
      <c r="BU151" s="363">
        <v>175.72588006279753</v>
      </c>
      <c r="BV151" s="363">
        <v>177.02571874477852</v>
      </c>
      <c r="BW151" s="363">
        <v>178.33517229167629</v>
      </c>
      <c r="BX151" s="363">
        <v>179.65431182433716</v>
      </c>
      <c r="BY151" s="435">
        <v>180.37846545803598</v>
      </c>
      <c r="BZ151" s="435">
        <v>181.10261909173482</v>
      </c>
      <c r="CA151" s="435">
        <v>181.82677272543364</v>
      </c>
      <c r="CB151" s="435">
        <v>182.55092635913249</v>
      </c>
      <c r="CC151" s="363">
        <v>183.27507999283131</v>
      </c>
      <c r="CD151" s="435">
        <v>183.86867193690759</v>
      </c>
      <c r="CE151" s="435">
        <v>184.46226388098387</v>
      </c>
      <c r="CF151" s="435">
        <v>185.05585582506018</v>
      </c>
      <c r="CG151" s="435">
        <v>185.64944776913646</v>
      </c>
      <c r="CH151" s="363">
        <v>186.24303971321274</v>
      </c>
      <c r="CI151" s="362">
        <v>138.25074295625578</v>
      </c>
      <c r="CJ151" s="362">
        <v>141.57976242930894</v>
      </c>
      <c r="CK151" s="362">
        <v>144.98894328460852</v>
      </c>
      <c r="CL151" s="363">
        <v>144.03570459571242</v>
      </c>
      <c r="CM151" s="363">
        <v>143.0887330329669</v>
      </c>
      <c r="CN151" s="363">
        <v>142.6318043935546</v>
      </c>
      <c r="CO151" s="363">
        <v>142.1763348751862</v>
      </c>
      <c r="CP151" s="363">
        <v>141.72231981841594</v>
      </c>
      <c r="CQ151" s="363">
        <v>141.26975457867715</v>
      </c>
      <c r="CR151" s="363">
        <v>140.81863452623477</v>
      </c>
      <c r="CS151" s="363">
        <v>141.86026543589665</v>
      </c>
      <c r="CT151" s="363">
        <v>142.90960125588956</v>
      </c>
      <c r="CU151" s="363">
        <v>143.96669897918736</v>
      </c>
      <c r="CV151" s="363">
        <v>145.03161602033916</v>
      </c>
      <c r="CW151" s="363">
        <v>146.10441021858745</v>
      </c>
      <c r="CX151" s="435">
        <v>146.69333034237866</v>
      </c>
      <c r="CY151" s="435">
        <v>147.28225046616987</v>
      </c>
      <c r="CZ151" s="435">
        <v>147.87117058996111</v>
      </c>
      <c r="DA151" s="435">
        <v>148.46009071375232</v>
      </c>
      <c r="DB151" s="363">
        <v>149.04901083754353</v>
      </c>
      <c r="DC151" s="435">
        <v>149.53175127399112</v>
      </c>
      <c r="DD151" s="435">
        <v>150.0144917104387</v>
      </c>
      <c r="DE151" s="435">
        <v>150.49723214688626</v>
      </c>
      <c r="DF151" s="435">
        <v>150.97997258333385</v>
      </c>
      <c r="DG151" s="363">
        <v>151.46271301978143</v>
      </c>
      <c r="DH151" s="362">
        <v>14.337114084352452</v>
      </c>
      <c r="DI151" s="362">
        <v>14.682345733409816</v>
      </c>
      <c r="DJ151" s="362">
        <v>15.035890414700145</v>
      </c>
      <c r="DK151" s="363">
        <v>14.937036032147956</v>
      </c>
      <c r="DL151" s="363">
        <v>14.838831573789163</v>
      </c>
      <c r="DM151" s="363">
        <v>14.791446381553811</v>
      </c>
      <c r="DN151" s="363">
        <v>14.744212505574868</v>
      </c>
      <c r="DO151" s="363">
        <v>14.697129462650544</v>
      </c>
      <c r="DP151" s="363">
        <v>14.650196771122076</v>
      </c>
      <c r="DQ151" s="363">
        <v>14.603413950868791</v>
      </c>
      <c r="DR151" s="363">
        <v>14.711434934092987</v>
      </c>
      <c r="DS151" s="363">
        <v>14.820254945055213</v>
      </c>
      <c r="DT151" s="363">
        <v>14.929879894137949</v>
      </c>
      <c r="DU151" s="363">
        <v>15.040315735442579</v>
      </c>
      <c r="DV151" s="363">
        <v>15.151568467112774</v>
      </c>
      <c r="DW151" s="435">
        <v>15.212641665135568</v>
      </c>
      <c r="DX151" s="435">
        <v>15.273714863158361</v>
      </c>
      <c r="DY151" s="435">
        <v>15.334788061181152</v>
      </c>
      <c r="DZ151" s="435">
        <v>15.395861259203945</v>
      </c>
      <c r="EA151" s="363">
        <v>15.456934457226739</v>
      </c>
      <c r="EB151" s="435">
        <v>15.506996428413895</v>
      </c>
      <c r="EC151" s="435">
        <v>15.557058399601052</v>
      </c>
      <c r="ED151" s="435">
        <v>15.607120370788207</v>
      </c>
      <c r="EE151" s="435">
        <v>15.657182341975364</v>
      </c>
      <c r="EF151" s="363">
        <v>15.707244313162521</v>
      </c>
      <c r="EG151" s="364">
        <v>0</v>
      </c>
      <c r="EH151" s="364">
        <v>0</v>
      </c>
      <c r="EI151" s="364">
        <v>0</v>
      </c>
      <c r="EJ151" s="365">
        <v>0</v>
      </c>
      <c r="EK151" s="365">
        <v>0</v>
      </c>
      <c r="EL151" s="365">
        <v>0</v>
      </c>
      <c r="EM151" s="365">
        <v>0</v>
      </c>
      <c r="EN151" s="365">
        <v>0</v>
      </c>
      <c r="EO151" s="365">
        <v>0</v>
      </c>
      <c r="EP151" s="365">
        <v>0</v>
      </c>
      <c r="EQ151" s="365">
        <v>0</v>
      </c>
      <c r="ER151" s="365">
        <v>0</v>
      </c>
      <c r="ES151" s="365">
        <v>0</v>
      </c>
      <c r="ET151" s="365">
        <v>0</v>
      </c>
      <c r="EU151" s="365">
        <v>0</v>
      </c>
      <c r="EV151" s="436">
        <v>0</v>
      </c>
      <c r="EW151" s="436">
        <v>0</v>
      </c>
      <c r="EX151" s="436">
        <v>0</v>
      </c>
      <c r="EY151" s="436">
        <v>0</v>
      </c>
      <c r="EZ151" s="365">
        <v>0</v>
      </c>
      <c r="FA151" s="436">
        <v>0</v>
      </c>
      <c r="FB151" s="436">
        <v>0</v>
      </c>
      <c r="FC151" s="436">
        <v>0</v>
      </c>
      <c r="FD151" s="436">
        <v>0</v>
      </c>
      <c r="FE151" s="365">
        <v>0</v>
      </c>
      <c r="FF151" s="364">
        <v>0</v>
      </c>
      <c r="FG151" s="364">
        <v>0</v>
      </c>
      <c r="FH151" s="364">
        <v>0</v>
      </c>
      <c r="FI151" s="365">
        <v>0</v>
      </c>
      <c r="FJ151" s="365">
        <v>0</v>
      </c>
      <c r="FK151" s="365">
        <v>0</v>
      </c>
      <c r="FL151" s="365">
        <v>0</v>
      </c>
      <c r="FM151" s="365">
        <v>0</v>
      </c>
      <c r="FN151" s="365">
        <v>0</v>
      </c>
      <c r="FO151" s="365">
        <v>0</v>
      </c>
      <c r="FP151" s="365">
        <v>0</v>
      </c>
      <c r="FQ151" s="365">
        <v>0</v>
      </c>
      <c r="FR151" s="365">
        <v>0</v>
      </c>
      <c r="FS151" s="365">
        <v>0</v>
      </c>
      <c r="FT151" s="365">
        <v>0</v>
      </c>
      <c r="FU151" s="436">
        <v>0</v>
      </c>
      <c r="FV151" s="436">
        <v>0</v>
      </c>
      <c r="FW151" s="436">
        <v>0</v>
      </c>
      <c r="FX151" s="436">
        <v>0</v>
      </c>
      <c r="FY151" s="365">
        <v>0</v>
      </c>
      <c r="FZ151" s="436">
        <v>0</v>
      </c>
      <c r="GA151" s="436">
        <v>0</v>
      </c>
      <c r="GB151" s="436">
        <v>0</v>
      </c>
      <c r="GC151" s="436">
        <v>0</v>
      </c>
      <c r="GD151" s="365">
        <v>0</v>
      </c>
    </row>
    <row r="152" spans="1:186" ht="15" x14ac:dyDescent="0.25">
      <c r="A152" s="357">
        <v>116</v>
      </c>
      <c r="B152" s="357">
        <v>91</v>
      </c>
      <c r="C152" s="357" t="s">
        <v>1062</v>
      </c>
      <c r="D152" s="2">
        <v>99705</v>
      </c>
      <c r="E152" s="268" t="s">
        <v>218</v>
      </c>
      <c r="F152" s="358" t="s">
        <v>985</v>
      </c>
      <c r="G152" s="49">
        <v>218</v>
      </c>
      <c r="H152" s="49">
        <v>90</v>
      </c>
      <c r="I152" s="49">
        <v>80</v>
      </c>
      <c r="J152" s="49">
        <v>10</v>
      </c>
      <c r="K152" s="49">
        <v>3</v>
      </c>
      <c r="L152" s="49">
        <v>124</v>
      </c>
      <c r="M152" s="49">
        <v>127</v>
      </c>
      <c r="N152" s="49">
        <v>2</v>
      </c>
      <c r="O152" s="49">
        <v>0</v>
      </c>
      <c r="P152" s="49">
        <v>0</v>
      </c>
      <c r="Q152" s="49">
        <v>129</v>
      </c>
      <c r="R152" s="49">
        <v>3752</v>
      </c>
      <c r="S152" s="49">
        <v>1826.4193548387098</v>
      </c>
      <c r="T152" s="49">
        <v>1871.9055118110236</v>
      </c>
      <c r="U152" s="49">
        <v>5420</v>
      </c>
      <c r="V152" s="49">
        <v>0</v>
      </c>
      <c r="W152" s="49">
        <v>0</v>
      </c>
      <c r="X152" s="49">
        <v>1926.9147286821706</v>
      </c>
      <c r="Y152" s="434">
        <v>237732</v>
      </c>
      <c r="Z152" s="434">
        <v>10840</v>
      </c>
      <c r="AA152" s="49">
        <v>2.1259842519685042</v>
      </c>
      <c r="AB152" s="49">
        <v>87.874015748031496</v>
      </c>
      <c r="AC152" s="49">
        <v>0</v>
      </c>
      <c r="AD152" s="285">
        <v>2</v>
      </c>
      <c r="AE152" s="285">
        <v>0</v>
      </c>
      <c r="AF152" s="359">
        <v>92</v>
      </c>
      <c r="AG152" s="360">
        <v>1.8897637795275593</v>
      </c>
      <c r="AH152" s="360">
        <v>78.110236220472444</v>
      </c>
      <c r="AI152" s="361">
        <v>80</v>
      </c>
      <c r="AJ152" s="360">
        <v>0</v>
      </c>
      <c r="AK152" s="360">
        <v>1.9732358981073415</v>
      </c>
      <c r="AL152" s="360">
        <v>81.560417121770101</v>
      </c>
      <c r="AM152" s="360">
        <v>83.533653019877448</v>
      </c>
      <c r="AN152" s="360">
        <v>0</v>
      </c>
      <c r="AO152" s="360">
        <v>1.7629838410744052</v>
      </c>
      <c r="AP152" s="360">
        <v>72.869998764408734</v>
      </c>
      <c r="AQ152" s="360">
        <v>74.632982605483136</v>
      </c>
      <c r="AR152" s="360">
        <v>0</v>
      </c>
      <c r="AS152" s="360">
        <v>1.8802153346698185</v>
      </c>
      <c r="AT152" s="360">
        <v>0</v>
      </c>
      <c r="AU152" s="360">
        <v>77.531902076058671</v>
      </c>
      <c r="AV152" s="360">
        <v>80.476847639508108</v>
      </c>
      <c r="AW152" s="360">
        <v>83.533653019877448</v>
      </c>
      <c r="AX152" s="360">
        <v>86.706567062645092</v>
      </c>
      <c r="AY152" s="360">
        <v>90</v>
      </c>
      <c r="AZ152" s="360">
        <v>69.626026157379357</v>
      </c>
      <c r="BA152" s="360">
        <v>72.086045800089551</v>
      </c>
      <c r="BB152" s="360">
        <v>74.63298260548315</v>
      </c>
      <c r="BC152" s="360">
        <v>77.269907521872</v>
      </c>
      <c r="BD152" s="360">
        <v>80</v>
      </c>
      <c r="BE152" s="360">
        <v>1.7676048523637691</v>
      </c>
      <c r="BF152" s="360">
        <v>1.823040797418187</v>
      </c>
      <c r="BG152" s="360">
        <v>1.8802153346698185</v>
      </c>
      <c r="BH152" s="360">
        <v>1.9391829901635476</v>
      </c>
      <c r="BI152" s="360">
        <v>2</v>
      </c>
      <c r="BJ152" s="362">
        <v>90.924639502493392</v>
      </c>
      <c r="BK152" s="362">
        <v>91.858778540648686</v>
      </c>
      <c r="BL152" s="362">
        <v>92.802514710531767</v>
      </c>
      <c r="BM152" s="363">
        <v>92.192378892966147</v>
      </c>
      <c r="BN152" s="363">
        <v>91.586254450706875</v>
      </c>
      <c r="BO152" s="363">
        <v>91.293789895685691</v>
      </c>
      <c r="BP152" s="363">
        <v>91.002259274653383</v>
      </c>
      <c r="BQ152" s="363">
        <v>90.711659605256386</v>
      </c>
      <c r="BR152" s="363">
        <v>90.42198791466484</v>
      </c>
      <c r="BS152" s="363">
        <v>90.133241239542031</v>
      </c>
      <c r="BT152" s="363">
        <v>90.799953925536926</v>
      </c>
      <c r="BU152" s="363">
        <v>91.471598263822941</v>
      </c>
      <c r="BV152" s="363">
        <v>92.148210733673437</v>
      </c>
      <c r="BW152" s="363">
        <v>92.829828084197828</v>
      </c>
      <c r="BX152" s="363">
        <v>93.516487336337377</v>
      </c>
      <c r="BY152" s="435">
        <v>93.893435172588454</v>
      </c>
      <c r="BZ152" s="435">
        <v>94.270383008839516</v>
      </c>
      <c r="CA152" s="435">
        <v>94.647330845090593</v>
      </c>
      <c r="CB152" s="435">
        <v>95.024278681341656</v>
      </c>
      <c r="CC152" s="363">
        <v>95.401226517592733</v>
      </c>
      <c r="CD152" s="435">
        <v>95.710212330165035</v>
      </c>
      <c r="CE152" s="435">
        <v>96.019198142737338</v>
      </c>
      <c r="CF152" s="435">
        <v>96.328183955309655</v>
      </c>
      <c r="CG152" s="435">
        <v>96.637169767881957</v>
      </c>
      <c r="CH152" s="363">
        <v>96.94615558045426</v>
      </c>
      <c r="CI152" s="362">
        <v>80.821901779994135</v>
      </c>
      <c r="CJ152" s="362">
        <v>81.652247591687726</v>
      </c>
      <c r="CK152" s="362">
        <v>82.491124187139349</v>
      </c>
      <c r="CL152" s="363">
        <v>81.94878123819214</v>
      </c>
      <c r="CM152" s="363">
        <v>81.410003956183886</v>
      </c>
      <c r="CN152" s="363">
        <v>81.150035462831724</v>
      </c>
      <c r="CO152" s="363">
        <v>80.89089713302522</v>
      </c>
      <c r="CP152" s="363">
        <v>80.632586315783456</v>
      </c>
      <c r="CQ152" s="363">
        <v>80.375100368590964</v>
      </c>
      <c r="CR152" s="363">
        <v>80.118436657370694</v>
      </c>
      <c r="CS152" s="363">
        <v>80.711070156032818</v>
      </c>
      <c r="CT152" s="363">
        <v>81.308087345620379</v>
      </c>
      <c r="CU152" s="363">
        <v>81.909520652154171</v>
      </c>
      <c r="CV152" s="363">
        <v>82.515402741509178</v>
      </c>
      <c r="CW152" s="363">
        <v>83.12576652118878</v>
      </c>
      <c r="CX152" s="435">
        <v>83.460831264523065</v>
      </c>
      <c r="CY152" s="435">
        <v>83.795896007857351</v>
      </c>
      <c r="CZ152" s="435">
        <v>84.130960751191637</v>
      </c>
      <c r="DA152" s="435">
        <v>84.466025494525923</v>
      </c>
      <c r="DB152" s="363">
        <v>84.801090237860208</v>
      </c>
      <c r="DC152" s="435">
        <v>85.075744293480042</v>
      </c>
      <c r="DD152" s="435">
        <v>85.350398349099862</v>
      </c>
      <c r="DE152" s="435">
        <v>85.625052404719696</v>
      </c>
      <c r="DF152" s="435">
        <v>85.899706460339516</v>
      </c>
      <c r="DG152" s="363">
        <v>86.17436051595935</v>
      </c>
      <c r="DH152" s="362">
        <v>2.0205475444998533</v>
      </c>
      <c r="DI152" s="362">
        <v>2.0413061897921931</v>
      </c>
      <c r="DJ152" s="362">
        <v>2.0622781046784837</v>
      </c>
      <c r="DK152" s="363">
        <v>2.0487195309548034</v>
      </c>
      <c r="DL152" s="363">
        <v>2.0352500989045974</v>
      </c>
      <c r="DM152" s="363">
        <v>2.0287508865707933</v>
      </c>
      <c r="DN152" s="363">
        <v>2.0222724283256306</v>
      </c>
      <c r="DO152" s="363">
        <v>2.0158146578945866</v>
      </c>
      <c r="DP152" s="363">
        <v>2.0093775092147741</v>
      </c>
      <c r="DQ152" s="363">
        <v>2.0029609164342674</v>
      </c>
      <c r="DR152" s="363">
        <v>2.0177767539008205</v>
      </c>
      <c r="DS152" s="363">
        <v>2.0327021836405095</v>
      </c>
      <c r="DT152" s="363">
        <v>2.0477380163038541</v>
      </c>
      <c r="DU152" s="363">
        <v>2.0628850685377293</v>
      </c>
      <c r="DV152" s="363">
        <v>2.0781441630297195</v>
      </c>
      <c r="DW152" s="435">
        <v>2.0865207816130766</v>
      </c>
      <c r="DX152" s="435">
        <v>2.0948974001964338</v>
      </c>
      <c r="DY152" s="435">
        <v>2.1032740187797909</v>
      </c>
      <c r="DZ152" s="435">
        <v>2.1116506373631481</v>
      </c>
      <c r="EA152" s="363">
        <v>2.1200272559465052</v>
      </c>
      <c r="EB152" s="435">
        <v>2.1268936073370011</v>
      </c>
      <c r="EC152" s="435">
        <v>2.1337599587274965</v>
      </c>
      <c r="ED152" s="435">
        <v>2.1406263101179923</v>
      </c>
      <c r="EE152" s="435">
        <v>2.1474926615084877</v>
      </c>
      <c r="EF152" s="363">
        <v>2.1543590128989836</v>
      </c>
      <c r="EG152" s="364">
        <v>0</v>
      </c>
      <c r="EH152" s="364">
        <v>0</v>
      </c>
      <c r="EI152" s="364">
        <v>0</v>
      </c>
      <c r="EJ152" s="365">
        <v>0</v>
      </c>
      <c r="EK152" s="365">
        <v>0</v>
      </c>
      <c r="EL152" s="365">
        <v>0</v>
      </c>
      <c r="EM152" s="365">
        <v>0</v>
      </c>
      <c r="EN152" s="365">
        <v>0</v>
      </c>
      <c r="EO152" s="365">
        <v>0</v>
      </c>
      <c r="EP152" s="365">
        <v>0</v>
      </c>
      <c r="EQ152" s="365">
        <v>0</v>
      </c>
      <c r="ER152" s="365">
        <v>0</v>
      </c>
      <c r="ES152" s="365">
        <v>0</v>
      </c>
      <c r="ET152" s="365">
        <v>0</v>
      </c>
      <c r="EU152" s="365">
        <v>0</v>
      </c>
      <c r="EV152" s="436">
        <v>0</v>
      </c>
      <c r="EW152" s="436">
        <v>0</v>
      </c>
      <c r="EX152" s="436">
        <v>0</v>
      </c>
      <c r="EY152" s="436">
        <v>0</v>
      </c>
      <c r="EZ152" s="365">
        <v>0</v>
      </c>
      <c r="FA152" s="436">
        <v>0</v>
      </c>
      <c r="FB152" s="436">
        <v>0</v>
      </c>
      <c r="FC152" s="436">
        <v>0</v>
      </c>
      <c r="FD152" s="436">
        <v>0</v>
      </c>
      <c r="FE152" s="365">
        <v>0</v>
      </c>
      <c r="FF152" s="364">
        <v>0</v>
      </c>
      <c r="FG152" s="364">
        <v>0</v>
      </c>
      <c r="FH152" s="364">
        <v>0</v>
      </c>
      <c r="FI152" s="365">
        <v>0</v>
      </c>
      <c r="FJ152" s="365">
        <v>0</v>
      </c>
      <c r="FK152" s="365">
        <v>0</v>
      </c>
      <c r="FL152" s="365">
        <v>0</v>
      </c>
      <c r="FM152" s="365">
        <v>0</v>
      </c>
      <c r="FN152" s="365">
        <v>0</v>
      </c>
      <c r="FO152" s="365">
        <v>0</v>
      </c>
      <c r="FP152" s="365">
        <v>0</v>
      </c>
      <c r="FQ152" s="365">
        <v>0</v>
      </c>
      <c r="FR152" s="365">
        <v>0</v>
      </c>
      <c r="FS152" s="365">
        <v>0</v>
      </c>
      <c r="FT152" s="365">
        <v>0</v>
      </c>
      <c r="FU152" s="436">
        <v>0</v>
      </c>
      <c r="FV152" s="436">
        <v>0</v>
      </c>
      <c r="FW152" s="436">
        <v>0</v>
      </c>
      <c r="FX152" s="436">
        <v>0</v>
      </c>
      <c r="FY152" s="365">
        <v>0</v>
      </c>
      <c r="FZ152" s="436">
        <v>0</v>
      </c>
      <c r="GA152" s="436">
        <v>0</v>
      </c>
      <c r="GB152" s="436">
        <v>0</v>
      </c>
      <c r="GC152" s="436">
        <v>0</v>
      </c>
      <c r="GD152" s="365">
        <v>0</v>
      </c>
    </row>
    <row r="153" spans="1:186" ht="15" x14ac:dyDescent="0.25">
      <c r="A153" s="357">
        <v>119</v>
      </c>
      <c r="B153" s="357">
        <v>91</v>
      </c>
      <c r="C153" s="357" t="s">
        <v>1063</v>
      </c>
      <c r="D153" s="2">
        <v>99705</v>
      </c>
      <c r="E153" s="268" t="s">
        <v>218</v>
      </c>
      <c r="F153" s="358" t="s">
        <v>985</v>
      </c>
      <c r="G153" s="49">
        <v>207</v>
      </c>
      <c r="H153" s="49">
        <v>94</v>
      </c>
      <c r="I153" s="49">
        <v>84</v>
      </c>
      <c r="J153" s="49">
        <v>10</v>
      </c>
      <c r="K153" s="49">
        <v>1</v>
      </c>
      <c r="L153" s="49">
        <v>92</v>
      </c>
      <c r="M153" s="49">
        <v>93</v>
      </c>
      <c r="N153" s="49">
        <v>0</v>
      </c>
      <c r="O153" s="49">
        <v>0</v>
      </c>
      <c r="P153" s="49">
        <v>0</v>
      </c>
      <c r="Q153" s="49">
        <v>93</v>
      </c>
      <c r="R153" s="49">
        <v>3928</v>
      </c>
      <c r="S153" s="49">
        <v>1613.858695652174</v>
      </c>
      <c r="T153" s="49">
        <v>1638.741935483871</v>
      </c>
      <c r="U153" s="49">
        <v>0</v>
      </c>
      <c r="V153" s="49">
        <v>0</v>
      </c>
      <c r="W153" s="49">
        <v>0</v>
      </c>
      <c r="X153" s="49">
        <v>1638.741935483871</v>
      </c>
      <c r="Y153" s="434">
        <v>152403</v>
      </c>
      <c r="Z153" s="434">
        <v>0</v>
      </c>
      <c r="AA153" s="49">
        <v>1.010752688172043</v>
      </c>
      <c r="AB153" s="49">
        <v>92.989247311827953</v>
      </c>
      <c r="AC153" s="49">
        <v>0</v>
      </c>
      <c r="AD153" s="285">
        <v>0</v>
      </c>
      <c r="AE153" s="285">
        <v>0</v>
      </c>
      <c r="AF153" s="359">
        <v>94</v>
      </c>
      <c r="AG153" s="360">
        <v>0.90322580645161288</v>
      </c>
      <c r="AH153" s="360">
        <v>83.096774193548384</v>
      </c>
      <c r="AI153" s="361">
        <v>84</v>
      </c>
      <c r="AJ153" s="360">
        <v>0</v>
      </c>
      <c r="AK153" s="360">
        <v>0.93813182602968692</v>
      </c>
      <c r="AL153" s="360">
        <v>86.308127994731194</v>
      </c>
      <c r="AM153" s="360">
        <v>87.246259820760883</v>
      </c>
      <c r="AN153" s="360">
        <v>0</v>
      </c>
      <c r="AO153" s="360">
        <v>0.84263044877158388</v>
      </c>
      <c r="AP153" s="360">
        <v>77.522001286985713</v>
      </c>
      <c r="AQ153" s="360">
        <v>78.3646317357573</v>
      </c>
      <c r="AR153" s="360">
        <v>0</v>
      </c>
      <c r="AS153" s="360">
        <v>0</v>
      </c>
      <c r="AT153" s="360">
        <v>0</v>
      </c>
      <c r="AU153" s="360">
        <v>80.977764390550178</v>
      </c>
      <c r="AV153" s="360">
        <v>84.05359642348624</v>
      </c>
      <c r="AW153" s="360">
        <v>87.246259820760883</v>
      </c>
      <c r="AX153" s="360">
        <v>90.560192265429308</v>
      </c>
      <c r="AY153" s="360">
        <v>94</v>
      </c>
      <c r="AZ153" s="360">
        <v>73.107327465248332</v>
      </c>
      <c r="BA153" s="360">
        <v>75.69034809009402</v>
      </c>
      <c r="BB153" s="360">
        <v>78.3646317357573</v>
      </c>
      <c r="BC153" s="360">
        <v>81.133402897965595</v>
      </c>
      <c r="BD153" s="360">
        <v>84</v>
      </c>
      <c r="BE153" s="360">
        <v>0</v>
      </c>
      <c r="BF153" s="360">
        <v>0</v>
      </c>
      <c r="BG153" s="360">
        <v>0</v>
      </c>
      <c r="BH153" s="360">
        <v>0</v>
      </c>
      <c r="BI153" s="360">
        <v>0</v>
      </c>
      <c r="BJ153" s="362">
        <v>94.965734591493103</v>
      </c>
      <c r="BK153" s="362">
        <v>95.941390920233076</v>
      </c>
      <c r="BL153" s="362">
        <v>96.927070919888735</v>
      </c>
      <c r="BM153" s="363">
        <v>96.289817954875758</v>
      </c>
      <c r="BN153" s="363">
        <v>95.65675464851607</v>
      </c>
      <c r="BO153" s="363">
        <v>95.351291668827287</v>
      </c>
      <c r="BP153" s="363">
        <v>95.04680413130464</v>
      </c>
      <c r="BQ153" s="363">
        <v>94.743288921045561</v>
      </c>
      <c r="BR153" s="363">
        <v>94.440742933094384</v>
      </c>
      <c r="BS153" s="363">
        <v>94.139163072410568</v>
      </c>
      <c r="BT153" s="363">
        <v>94.835507433338563</v>
      </c>
      <c r="BU153" s="363">
        <v>95.53700263110396</v>
      </c>
      <c r="BV153" s="363">
        <v>96.243686766281144</v>
      </c>
      <c r="BW153" s="363">
        <v>96.955598221273291</v>
      </c>
      <c r="BX153" s="363">
        <v>97.672775662396816</v>
      </c>
      <c r="BY153" s="435">
        <v>98.066476735814604</v>
      </c>
      <c r="BZ153" s="435">
        <v>98.460177809232391</v>
      </c>
      <c r="CA153" s="435">
        <v>98.853878882650164</v>
      </c>
      <c r="CB153" s="435">
        <v>99.247579956067952</v>
      </c>
      <c r="CC153" s="363">
        <v>99.641281029485739</v>
      </c>
      <c r="CD153" s="435">
        <v>99.963999544839041</v>
      </c>
      <c r="CE153" s="435">
        <v>100.28671806019234</v>
      </c>
      <c r="CF153" s="435">
        <v>100.60943657554563</v>
      </c>
      <c r="CG153" s="435">
        <v>100.93215509089893</v>
      </c>
      <c r="CH153" s="363">
        <v>101.25487360625223</v>
      </c>
      <c r="CI153" s="362">
        <v>84.862996868993832</v>
      </c>
      <c r="CJ153" s="362">
        <v>85.734859971272115</v>
      </c>
      <c r="CK153" s="362">
        <v>86.615680396496316</v>
      </c>
      <c r="CL153" s="363">
        <v>86.046220300101737</v>
      </c>
      <c r="CM153" s="363">
        <v>85.480504153993081</v>
      </c>
      <c r="CN153" s="363">
        <v>85.207537235973319</v>
      </c>
      <c r="CO153" s="363">
        <v>84.935441989676491</v>
      </c>
      <c r="CP153" s="363">
        <v>84.664215631572631</v>
      </c>
      <c r="CQ153" s="363">
        <v>84.393855387020523</v>
      </c>
      <c r="CR153" s="363">
        <v>84.124358490239231</v>
      </c>
      <c r="CS153" s="363">
        <v>84.746623663834455</v>
      </c>
      <c r="CT153" s="363">
        <v>85.373491712901398</v>
      </c>
      <c r="CU153" s="363">
        <v>86.004996684761878</v>
      </c>
      <c r="CV153" s="363">
        <v>86.641172878584641</v>
      </c>
      <c r="CW153" s="363">
        <v>87.282054847248219</v>
      </c>
      <c r="CX153" s="435">
        <v>87.633872827749215</v>
      </c>
      <c r="CY153" s="435">
        <v>87.985690808250212</v>
      </c>
      <c r="CZ153" s="435">
        <v>88.337508788751222</v>
      </c>
      <c r="DA153" s="435">
        <v>88.689326769252219</v>
      </c>
      <c r="DB153" s="363">
        <v>89.041144749753215</v>
      </c>
      <c r="DC153" s="435">
        <v>89.329531508154034</v>
      </c>
      <c r="DD153" s="435">
        <v>89.617918266554852</v>
      </c>
      <c r="DE153" s="435">
        <v>89.906305024955685</v>
      </c>
      <c r="DF153" s="435">
        <v>90.194691783356504</v>
      </c>
      <c r="DG153" s="363">
        <v>90.483078541757322</v>
      </c>
      <c r="DH153" s="362">
        <v>0</v>
      </c>
      <c r="DI153" s="362">
        <v>0</v>
      </c>
      <c r="DJ153" s="362">
        <v>0</v>
      </c>
      <c r="DK153" s="363">
        <v>0</v>
      </c>
      <c r="DL153" s="363">
        <v>0</v>
      </c>
      <c r="DM153" s="363">
        <v>0</v>
      </c>
      <c r="DN153" s="363">
        <v>0</v>
      </c>
      <c r="DO153" s="363">
        <v>0</v>
      </c>
      <c r="DP153" s="363">
        <v>0</v>
      </c>
      <c r="DQ153" s="363">
        <v>0</v>
      </c>
      <c r="DR153" s="363">
        <v>0</v>
      </c>
      <c r="DS153" s="363">
        <v>0</v>
      </c>
      <c r="DT153" s="363">
        <v>0</v>
      </c>
      <c r="DU153" s="363">
        <v>0</v>
      </c>
      <c r="DV153" s="363">
        <v>0</v>
      </c>
      <c r="DW153" s="435">
        <v>0</v>
      </c>
      <c r="DX153" s="435">
        <v>0</v>
      </c>
      <c r="DY153" s="435">
        <v>0</v>
      </c>
      <c r="DZ153" s="435">
        <v>0</v>
      </c>
      <c r="EA153" s="363">
        <v>0</v>
      </c>
      <c r="EB153" s="435">
        <v>0</v>
      </c>
      <c r="EC153" s="435">
        <v>0</v>
      </c>
      <c r="ED153" s="435">
        <v>0</v>
      </c>
      <c r="EE153" s="435">
        <v>0</v>
      </c>
      <c r="EF153" s="363">
        <v>0</v>
      </c>
      <c r="EG153" s="364">
        <v>0</v>
      </c>
      <c r="EH153" s="364">
        <v>0</v>
      </c>
      <c r="EI153" s="364">
        <v>0</v>
      </c>
      <c r="EJ153" s="365">
        <v>0</v>
      </c>
      <c r="EK153" s="365">
        <v>0</v>
      </c>
      <c r="EL153" s="365">
        <v>0</v>
      </c>
      <c r="EM153" s="365">
        <v>0</v>
      </c>
      <c r="EN153" s="365">
        <v>0</v>
      </c>
      <c r="EO153" s="365">
        <v>0</v>
      </c>
      <c r="EP153" s="365">
        <v>0</v>
      </c>
      <c r="EQ153" s="365">
        <v>0</v>
      </c>
      <c r="ER153" s="365">
        <v>0</v>
      </c>
      <c r="ES153" s="365">
        <v>0</v>
      </c>
      <c r="ET153" s="365">
        <v>0</v>
      </c>
      <c r="EU153" s="365">
        <v>0</v>
      </c>
      <c r="EV153" s="436">
        <v>0</v>
      </c>
      <c r="EW153" s="436">
        <v>0</v>
      </c>
      <c r="EX153" s="436">
        <v>0</v>
      </c>
      <c r="EY153" s="436">
        <v>0</v>
      </c>
      <c r="EZ153" s="365">
        <v>0</v>
      </c>
      <c r="FA153" s="436">
        <v>0</v>
      </c>
      <c r="FB153" s="436">
        <v>0</v>
      </c>
      <c r="FC153" s="436">
        <v>0</v>
      </c>
      <c r="FD153" s="436">
        <v>0</v>
      </c>
      <c r="FE153" s="365">
        <v>0</v>
      </c>
      <c r="FF153" s="364">
        <v>0</v>
      </c>
      <c r="FG153" s="364">
        <v>0</v>
      </c>
      <c r="FH153" s="364">
        <v>0</v>
      </c>
      <c r="FI153" s="365">
        <v>0</v>
      </c>
      <c r="FJ153" s="365">
        <v>0</v>
      </c>
      <c r="FK153" s="365">
        <v>0</v>
      </c>
      <c r="FL153" s="365">
        <v>0</v>
      </c>
      <c r="FM153" s="365">
        <v>0</v>
      </c>
      <c r="FN153" s="365">
        <v>0</v>
      </c>
      <c r="FO153" s="365">
        <v>0</v>
      </c>
      <c r="FP153" s="365">
        <v>0</v>
      </c>
      <c r="FQ153" s="365">
        <v>0</v>
      </c>
      <c r="FR153" s="365">
        <v>0</v>
      </c>
      <c r="FS153" s="365">
        <v>0</v>
      </c>
      <c r="FT153" s="365">
        <v>0</v>
      </c>
      <c r="FU153" s="436">
        <v>0</v>
      </c>
      <c r="FV153" s="436">
        <v>0</v>
      </c>
      <c r="FW153" s="436">
        <v>0</v>
      </c>
      <c r="FX153" s="436">
        <v>0</v>
      </c>
      <c r="FY153" s="365">
        <v>0</v>
      </c>
      <c r="FZ153" s="436">
        <v>0</v>
      </c>
      <c r="GA153" s="436">
        <v>0</v>
      </c>
      <c r="GB153" s="436">
        <v>0</v>
      </c>
      <c r="GC153" s="436">
        <v>0</v>
      </c>
      <c r="GD153" s="365">
        <v>0</v>
      </c>
    </row>
    <row r="154" spans="1:186" ht="15" x14ac:dyDescent="0.25">
      <c r="A154" s="357">
        <v>120</v>
      </c>
      <c r="B154" s="357">
        <v>91</v>
      </c>
      <c r="C154" s="357" t="s">
        <v>1064</v>
      </c>
      <c r="D154" s="2">
        <v>99705</v>
      </c>
      <c r="E154" s="268" t="s">
        <v>218</v>
      </c>
      <c r="F154" s="358" t="s">
        <v>985</v>
      </c>
      <c r="G154" s="49">
        <v>425</v>
      </c>
      <c r="H154" s="49">
        <v>175</v>
      </c>
      <c r="I154" s="49">
        <v>154</v>
      </c>
      <c r="J154" s="49">
        <v>21</v>
      </c>
      <c r="K154" s="49">
        <v>2</v>
      </c>
      <c r="L154" s="49">
        <v>202</v>
      </c>
      <c r="M154" s="49">
        <v>204</v>
      </c>
      <c r="N154" s="49">
        <v>3</v>
      </c>
      <c r="O154" s="49">
        <v>0</v>
      </c>
      <c r="P154" s="49">
        <v>0</v>
      </c>
      <c r="Q154" s="49">
        <v>207</v>
      </c>
      <c r="R154" s="49">
        <v>6717</v>
      </c>
      <c r="S154" s="49">
        <v>2064.1782178217823</v>
      </c>
      <c r="T154" s="49">
        <v>2109.794117647059</v>
      </c>
      <c r="U154" s="49">
        <v>6720</v>
      </c>
      <c r="V154" s="49">
        <v>0</v>
      </c>
      <c r="W154" s="49">
        <v>0</v>
      </c>
      <c r="X154" s="49">
        <v>2176.608695652174</v>
      </c>
      <c r="Y154" s="434">
        <v>430398.00000000006</v>
      </c>
      <c r="Z154" s="434">
        <v>20160</v>
      </c>
      <c r="AA154" s="49">
        <v>1.7156862745098038</v>
      </c>
      <c r="AB154" s="49">
        <v>173.28431372549019</v>
      </c>
      <c r="AC154" s="49">
        <v>0</v>
      </c>
      <c r="AD154" s="285">
        <v>3</v>
      </c>
      <c r="AE154" s="285">
        <v>0</v>
      </c>
      <c r="AF154" s="359">
        <v>178</v>
      </c>
      <c r="AG154" s="360">
        <v>1.5098039215686272</v>
      </c>
      <c r="AH154" s="360">
        <v>152.49019607843138</v>
      </c>
      <c r="AI154" s="361">
        <v>154</v>
      </c>
      <c r="AJ154" s="360">
        <v>0</v>
      </c>
      <c r="AK154" s="360">
        <v>1.5924171327318684</v>
      </c>
      <c r="AL154" s="360">
        <v>160.83413040591873</v>
      </c>
      <c r="AM154" s="360">
        <v>162.4265475386506</v>
      </c>
      <c r="AN154" s="360">
        <v>0</v>
      </c>
      <c r="AO154" s="360">
        <v>1.4085146227015199</v>
      </c>
      <c r="AP154" s="360">
        <v>142.25997689285353</v>
      </c>
      <c r="AQ154" s="360">
        <v>143.66849151555505</v>
      </c>
      <c r="AR154" s="360">
        <v>0</v>
      </c>
      <c r="AS154" s="360">
        <v>2.8203230020047281</v>
      </c>
      <c r="AT154" s="360">
        <v>0</v>
      </c>
      <c r="AU154" s="360">
        <v>150.75647625900299</v>
      </c>
      <c r="AV154" s="360">
        <v>156.48275929904355</v>
      </c>
      <c r="AW154" s="360">
        <v>162.4265475386506</v>
      </c>
      <c r="AX154" s="360">
        <v>168.59610262180991</v>
      </c>
      <c r="AY154" s="360">
        <v>175</v>
      </c>
      <c r="AZ154" s="360">
        <v>134.03010035295529</v>
      </c>
      <c r="BA154" s="360">
        <v>138.76563816517239</v>
      </c>
      <c r="BB154" s="360">
        <v>143.66849151555505</v>
      </c>
      <c r="BC154" s="360">
        <v>148.74457197960359</v>
      </c>
      <c r="BD154" s="360">
        <v>154</v>
      </c>
      <c r="BE154" s="360">
        <v>2.6514072785456535</v>
      </c>
      <c r="BF154" s="360">
        <v>2.7345611961272809</v>
      </c>
      <c r="BG154" s="360">
        <v>2.8203230020047281</v>
      </c>
      <c r="BH154" s="360">
        <v>2.9087744852453215</v>
      </c>
      <c r="BI154" s="360">
        <v>3</v>
      </c>
      <c r="BJ154" s="362">
        <v>176.79791014373717</v>
      </c>
      <c r="BK154" s="362">
        <v>178.61429160681689</v>
      </c>
      <c r="BL154" s="362">
        <v>180.44933415936731</v>
      </c>
      <c r="BM154" s="363">
        <v>179.26295895854528</v>
      </c>
      <c r="BN154" s="363">
        <v>178.08438365415225</v>
      </c>
      <c r="BO154" s="363">
        <v>177.51570257494438</v>
      </c>
      <c r="BP154" s="363">
        <v>176.94883747849266</v>
      </c>
      <c r="BQ154" s="363">
        <v>176.3837825657763</v>
      </c>
      <c r="BR154" s="363">
        <v>175.82053205629273</v>
      </c>
      <c r="BS154" s="363">
        <v>175.25908018799839</v>
      </c>
      <c r="BT154" s="363">
        <v>176.55546596632178</v>
      </c>
      <c r="BU154" s="363">
        <v>177.86144106854459</v>
      </c>
      <c r="BV154" s="363">
        <v>179.17707642658723</v>
      </c>
      <c r="BW154" s="363">
        <v>180.50244349705133</v>
      </c>
      <c r="BX154" s="363">
        <v>181.83761426510043</v>
      </c>
      <c r="BY154" s="435">
        <v>182.57056839114418</v>
      </c>
      <c r="BZ154" s="435">
        <v>183.30352251718793</v>
      </c>
      <c r="CA154" s="435">
        <v>184.03647664323168</v>
      </c>
      <c r="CB154" s="435">
        <v>184.76943076927543</v>
      </c>
      <c r="CC154" s="363">
        <v>185.50238489531918</v>
      </c>
      <c r="CD154" s="435">
        <v>186.10319064198757</v>
      </c>
      <c r="CE154" s="435">
        <v>186.70399638865592</v>
      </c>
      <c r="CF154" s="435">
        <v>187.30480213532431</v>
      </c>
      <c r="CG154" s="435">
        <v>187.90560788199267</v>
      </c>
      <c r="CH154" s="363">
        <v>188.50641362866105</v>
      </c>
      <c r="CI154" s="362">
        <v>155.58216092648871</v>
      </c>
      <c r="CJ154" s="362">
        <v>157.18057661399888</v>
      </c>
      <c r="CK154" s="362">
        <v>158.79541406024325</v>
      </c>
      <c r="CL154" s="363">
        <v>157.75140388351986</v>
      </c>
      <c r="CM154" s="363">
        <v>156.71425761565399</v>
      </c>
      <c r="CN154" s="363">
        <v>156.21381826595109</v>
      </c>
      <c r="CO154" s="363">
        <v>155.71497698107356</v>
      </c>
      <c r="CP154" s="363">
        <v>155.21772865788316</v>
      </c>
      <c r="CQ154" s="363">
        <v>154.72206820953761</v>
      </c>
      <c r="CR154" s="363">
        <v>154.2279905654386</v>
      </c>
      <c r="CS154" s="363">
        <v>155.36881005036318</v>
      </c>
      <c r="CT154" s="363">
        <v>156.51806814031923</v>
      </c>
      <c r="CU154" s="363">
        <v>157.67582725539677</v>
      </c>
      <c r="CV154" s="363">
        <v>158.84215027740518</v>
      </c>
      <c r="CW154" s="363">
        <v>160.0171005532884</v>
      </c>
      <c r="CX154" s="435">
        <v>160.66210018420691</v>
      </c>
      <c r="CY154" s="435">
        <v>161.30709981512541</v>
      </c>
      <c r="CZ154" s="435">
        <v>161.95209944604389</v>
      </c>
      <c r="DA154" s="435">
        <v>162.59709907696239</v>
      </c>
      <c r="DB154" s="363">
        <v>163.2420987078809</v>
      </c>
      <c r="DC154" s="435">
        <v>163.77080776494907</v>
      </c>
      <c r="DD154" s="435">
        <v>164.29951682201724</v>
      </c>
      <c r="DE154" s="435">
        <v>164.82822587908541</v>
      </c>
      <c r="DF154" s="435">
        <v>165.35693493615358</v>
      </c>
      <c r="DG154" s="363">
        <v>165.88564399322175</v>
      </c>
      <c r="DH154" s="362">
        <v>3.0308213167497797</v>
      </c>
      <c r="DI154" s="362">
        <v>3.0619592846882897</v>
      </c>
      <c r="DJ154" s="362">
        <v>3.0934171570177256</v>
      </c>
      <c r="DK154" s="363">
        <v>3.0730792964322049</v>
      </c>
      <c r="DL154" s="363">
        <v>3.0528751483568959</v>
      </c>
      <c r="DM154" s="363">
        <v>3.0431263298561899</v>
      </c>
      <c r="DN154" s="363">
        <v>3.0334086424884461</v>
      </c>
      <c r="DO154" s="363">
        <v>3.0237219868418799</v>
      </c>
      <c r="DP154" s="363">
        <v>3.0140662638221611</v>
      </c>
      <c r="DQ154" s="363">
        <v>3.0044413746514009</v>
      </c>
      <c r="DR154" s="363">
        <v>3.0266651308512307</v>
      </c>
      <c r="DS154" s="363">
        <v>3.0490532754607647</v>
      </c>
      <c r="DT154" s="363">
        <v>3.0716070244557812</v>
      </c>
      <c r="DU154" s="363">
        <v>3.0943276028065942</v>
      </c>
      <c r="DV154" s="363">
        <v>3.1172162445445792</v>
      </c>
      <c r="DW154" s="435">
        <v>3.129781172419615</v>
      </c>
      <c r="DX154" s="435">
        <v>3.1423461002946507</v>
      </c>
      <c r="DY154" s="435">
        <v>3.1549110281696864</v>
      </c>
      <c r="DZ154" s="435">
        <v>3.1674759560447221</v>
      </c>
      <c r="EA154" s="363">
        <v>3.1800408839197578</v>
      </c>
      <c r="EB154" s="435">
        <v>3.1903404110055011</v>
      </c>
      <c r="EC154" s="435">
        <v>3.2006399380912449</v>
      </c>
      <c r="ED154" s="435">
        <v>3.2109394651769883</v>
      </c>
      <c r="EE154" s="435">
        <v>3.221238992262732</v>
      </c>
      <c r="EF154" s="363">
        <v>3.2315385193484754</v>
      </c>
      <c r="EG154" s="364">
        <v>0</v>
      </c>
      <c r="EH154" s="364">
        <v>0</v>
      </c>
      <c r="EI154" s="364">
        <v>0</v>
      </c>
      <c r="EJ154" s="365">
        <v>0</v>
      </c>
      <c r="EK154" s="365">
        <v>0</v>
      </c>
      <c r="EL154" s="365">
        <v>0</v>
      </c>
      <c r="EM154" s="365">
        <v>0</v>
      </c>
      <c r="EN154" s="365">
        <v>0</v>
      </c>
      <c r="EO154" s="365">
        <v>0</v>
      </c>
      <c r="EP154" s="365">
        <v>0</v>
      </c>
      <c r="EQ154" s="365">
        <v>0</v>
      </c>
      <c r="ER154" s="365">
        <v>0</v>
      </c>
      <c r="ES154" s="365">
        <v>0</v>
      </c>
      <c r="ET154" s="365">
        <v>0</v>
      </c>
      <c r="EU154" s="365">
        <v>0</v>
      </c>
      <c r="EV154" s="436">
        <v>0</v>
      </c>
      <c r="EW154" s="436">
        <v>0</v>
      </c>
      <c r="EX154" s="436">
        <v>0</v>
      </c>
      <c r="EY154" s="436">
        <v>0</v>
      </c>
      <c r="EZ154" s="365">
        <v>0</v>
      </c>
      <c r="FA154" s="436">
        <v>0</v>
      </c>
      <c r="FB154" s="436">
        <v>0</v>
      </c>
      <c r="FC154" s="436">
        <v>0</v>
      </c>
      <c r="FD154" s="436">
        <v>0</v>
      </c>
      <c r="FE154" s="365">
        <v>0</v>
      </c>
      <c r="FF154" s="364">
        <v>0</v>
      </c>
      <c r="FG154" s="364">
        <v>0</v>
      </c>
      <c r="FH154" s="364">
        <v>0</v>
      </c>
      <c r="FI154" s="365">
        <v>0</v>
      </c>
      <c r="FJ154" s="365">
        <v>0</v>
      </c>
      <c r="FK154" s="365">
        <v>0</v>
      </c>
      <c r="FL154" s="365">
        <v>0</v>
      </c>
      <c r="FM154" s="365">
        <v>0</v>
      </c>
      <c r="FN154" s="365">
        <v>0</v>
      </c>
      <c r="FO154" s="365">
        <v>0</v>
      </c>
      <c r="FP154" s="365">
        <v>0</v>
      </c>
      <c r="FQ154" s="365">
        <v>0</v>
      </c>
      <c r="FR154" s="365">
        <v>0</v>
      </c>
      <c r="FS154" s="365">
        <v>0</v>
      </c>
      <c r="FT154" s="365">
        <v>0</v>
      </c>
      <c r="FU154" s="436">
        <v>0</v>
      </c>
      <c r="FV154" s="436">
        <v>0</v>
      </c>
      <c r="FW154" s="436">
        <v>0</v>
      </c>
      <c r="FX154" s="436">
        <v>0</v>
      </c>
      <c r="FY154" s="365">
        <v>0</v>
      </c>
      <c r="FZ154" s="436">
        <v>0</v>
      </c>
      <c r="GA154" s="436">
        <v>0</v>
      </c>
      <c r="GB154" s="436">
        <v>0</v>
      </c>
      <c r="GC154" s="436">
        <v>0</v>
      </c>
      <c r="GD154" s="365">
        <v>0</v>
      </c>
    </row>
    <row r="155" spans="1:186" ht="15" x14ac:dyDescent="0.25">
      <c r="A155" s="357">
        <v>121</v>
      </c>
      <c r="B155" s="357">
        <v>91</v>
      </c>
      <c r="C155" s="357" t="s">
        <v>1065</v>
      </c>
      <c r="D155" s="2">
        <v>99705</v>
      </c>
      <c r="E155" s="268" t="s">
        <v>218</v>
      </c>
      <c r="F155" s="358" t="s">
        <v>985</v>
      </c>
      <c r="G155" s="49">
        <v>312</v>
      </c>
      <c r="H155" s="49">
        <v>122</v>
      </c>
      <c r="I155" s="49">
        <v>114</v>
      </c>
      <c r="J155" s="49">
        <v>8</v>
      </c>
      <c r="K155" s="49">
        <v>2</v>
      </c>
      <c r="L155" s="49">
        <v>100</v>
      </c>
      <c r="M155" s="49">
        <v>102</v>
      </c>
      <c r="N155" s="49">
        <v>0</v>
      </c>
      <c r="O155" s="49">
        <v>0</v>
      </c>
      <c r="P155" s="49">
        <v>0</v>
      </c>
      <c r="Q155" s="49">
        <v>102</v>
      </c>
      <c r="R155" s="49">
        <v>6301</v>
      </c>
      <c r="S155" s="49">
        <v>2345.4499999999998</v>
      </c>
      <c r="T155" s="49">
        <v>2423.0098039215682</v>
      </c>
      <c r="U155" s="49">
        <v>0</v>
      </c>
      <c r="V155" s="49">
        <v>0</v>
      </c>
      <c r="W155" s="49">
        <v>0</v>
      </c>
      <c r="X155" s="49">
        <v>2423.0098039215686</v>
      </c>
      <c r="Y155" s="434">
        <v>247146.99999999994</v>
      </c>
      <c r="Z155" s="434">
        <v>0</v>
      </c>
      <c r="AA155" s="49">
        <v>2.392156862745098</v>
      </c>
      <c r="AB155" s="49">
        <v>119.6078431372549</v>
      </c>
      <c r="AC155" s="49">
        <v>0</v>
      </c>
      <c r="AD155" s="285">
        <v>0</v>
      </c>
      <c r="AE155" s="285">
        <v>0</v>
      </c>
      <c r="AF155" s="359">
        <v>122</v>
      </c>
      <c r="AG155" s="360">
        <v>2.2352941176470589</v>
      </c>
      <c r="AH155" s="360">
        <v>111.76470588235294</v>
      </c>
      <c r="AI155" s="361">
        <v>114</v>
      </c>
      <c r="AJ155" s="360">
        <v>0</v>
      </c>
      <c r="AK155" s="360">
        <v>2.2202844593518622</v>
      </c>
      <c r="AL155" s="360">
        <v>111.01422296759313</v>
      </c>
      <c r="AM155" s="360">
        <v>113.23450742694499</v>
      </c>
      <c r="AN155" s="360">
        <v>0</v>
      </c>
      <c r="AO155" s="360">
        <v>2.0853333375061469</v>
      </c>
      <c r="AP155" s="360">
        <v>104.26666687530734</v>
      </c>
      <c r="AQ155" s="360">
        <v>106.35200021281348</v>
      </c>
      <c r="AR155" s="360">
        <v>0</v>
      </c>
      <c r="AS155" s="360">
        <v>0</v>
      </c>
      <c r="AT155" s="360">
        <v>0</v>
      </c>
      <c r="AU155" s="360">
        <v>105.09880059199065</v>
      </c>
      <c r="AV155" s="360">
        <v>109.09083791133321</v>
      </c>
      <c r="AW155" s="360">
        <v>113.23450742694499</v>
      </c>
      <c r="AX155" s="360">
        <v>117.5355686849189</v>
      </c>
      <c r="AY155" s="360">
        <v>122</v>
      </c>
      <c r="AZ155" s="360">
        <v>99.217087274265594</v>
      </c>
      <c r="BA155" s="360">
        <v>102.7226152651276</v>
      </c>
      <c r="BB155" s="360">
        <v>106.35200021281348</v>
      </c>
      <c r="BC155" s="360">
        <v>110.10961821866761</v>
      </c>
      <c r="BD155" s="360">
        <v>114</v>
      </c>
      <c r="BE155" s="360">
        <v>0</v>
      </c>
      <c r="BF155" s="360">
        <v>0</v>
      </c>
      <c r="BG155" s="360">
        <v>0</v>
      </c>
      <c r="BH155" s="360">
        <v>0</v>
      </c>
      <c r="BI155" s="360">
        <v>0</v>
      </c>
      <c r="BJ155" s="362">
        <v>123.98756243967222</v>
      </c>
      <c r="BK155" s="362">
        <v>126.00750524370179</v>
      </c>
      <c r="BL155" s="362">
        <v>128.06035593664589</v>
      </c>
      <c r="BM155" s="363">
        <v>127.21841528222652</v>
      </c>
      <c r="BN155" s="363">
        <v>126.38201001821253</v>
      </c>
      <c r="BO155" s="363">
        <v>125.97843135300407</v>
      </c>
      <c r="BP155" s="363">
        <v>125.57614144510362</v>
      </c>
      <c r="BQ155" s="363">
        <v>125.17513617909194</v>
      </c>
      <c r="BR155" s="363">
        <v>124.77541145269167</v>
      </c>
      <c r="BS155" s="363">
        <v>124.37696317672535</v>
      </c>
      <c r="BT155" s="363">
        <v>125.29697557231934</v>
      </c>
      <c r="BU155" s="363">
        <v>126.22379327000807</v>
      </c>
      <c r="BV155" s="363">
        <v>127.15746660839226</v>
      </c>
      <c r="BW155" s="363">
        <v>128.0980462984256</v>
      </c>
      <c r="BX155" s="363">
        <v>129.04558342616897</v>
      </c>
      <c r="BY155" s="435">
        <v>129.56574254287429</v>
      </c>
      <c r="BZ155" s="435">
        <v>130.08590165957958</v>
      </c>
      <c r="CA155" s="435">
        <v>130.60606077628489</v>
      </c>
      <c r="CB155" s="435">
        <v>131.12621989299018</v>
      </c>
      <c r="CC155" s="363">
        <v>131.64637900969549</v>
      </c>
      <c r="CD155" s="435">
        <v>132.07275574378298</v>
      </c>
      <c r="CE155" s="435">
        <v>132.49913247787049</v>
      </c>
      <c r="CF155" s="435">
        <v>132.92550921195797</v>
      </c>
      <c r="CG155" s="435">
        <v>133.35188594604548</v>
      </c>
      <c r="CH155" s="363">
        <v>133.77826268013297</v>
      </c>
      <c r="CI155" s="362">
        <v>115.85723047641503</v>
      </c>
      <c r="CJ155" s="362">
        <v>117.74471801460659</v>
      </c>
      <c r="CK155" s="362">
        <v>119.66295554735765</v>
      </c>
      <c r="CL155" s="363">
        <v>118.87622411617889</v>
      </c>
      <c r="CM155" s="363">
        <v>118.0946650989855</v>
      </c>
      <c r="CN155" s="363">
        <v>117.7175506085448</v>
      </c>
      <c r="CO155" s="363">
        <v>117.34164036673619</v>
      </c>
      <c r="CP155" s="363">
        <v>116.96693052800396</v>
      </c>
      <c r="CQ155" s="363">
        <v>116.59341725907257</v>
      </c>
      <c r="CR155" s="363">
        <v>116.22109673890732</v>
      </c>
      <c r="CS155" s="363">
        <v>117.08078045282301</v>
      </c>
      <c r="CT155" s="363">
        <v>117.94682321951576</v>
      </c>
      <c r="CU155" s="363">
        <v>118.81927207669442</v>
      </c>
      <c r="CV155" s="363">
        <v>119.69817441000427</v>
      </c>
      <c r="CW155" s="363">
        <v>120.58357795560055</v>
      </c>
      <c r="CX155" s="435">
        <v>121.06962827776779</v>
      </c>
      <c r="CY155" s="435">
        <v>121.55567859993504</v>
      </c>
      <c r="CZ155" s="435">
        <v>122.04172892210229</v>
      </c>
      <c r="DA155" s="435">
        <v>122.52777924426954</v>
      </c>
      <c r="DB155" s="363">
        <v>123.01382956643678</v>
      </c>
      <c r="DC155" s="435">
        <v>123.41224717042019</v>
      </c>
      <c r="DD155" s="435">
        <v>123.81066477440358</v>
      </c>
      <c r="DE155" s="435">
        <v>124.20908237838698</v>
      </c>
      <c r="DF155" s="435">
        <v>124.60749998237037</v>
      </c>
      <c r="DG155" s="363">
        <v>125.00591758635377</v>
      </c>
      <c r="DH155" s="362">
        <v>0</v>
      </c>
      <c r="DI155" s="362">
        <v>0</v>
      </c>
      <c r="DJ155" s="362">
        <v>0</v>
      </c>
      <c r="DK155" s="363">
        <v>0</v>
      </c>
      <c r="DL155" s="363">
        <v>0</v>
      </c>
      <c r="DM155" s="363">
        <v>0</v>
      </c>
      <c r="DN155" s="363">
        <v>0</v>
      </c>
      <c r="DO155" s="363">
        <v>0</v>
      </c>
      <c r="DP155" s="363">
        <v>0</v>
      </c>
      <c r="DQ155" s="363">
        <v>0</v>
      </c>
      <c r="DR155" s="363">
        <v>0</v>
      </c>
      <c r="DS155" s="363">
        <v>0</v>
      </c>
      <c r="DT155" s="363">
        <v>0</v>
      </c>
      <c r="DU155" s="363">
        <v>0</v>
      </c>
      <c r="DV155" s="363">
        <v>0</v>
      </c>
      <c r="DW155" s="435">
        <v>0</v>
      </c>
      <c r="DX155" s="435">
        <v>0</v>
      </c>
      <c r="DY155" s="435">
        <v>0</v>
      </c>
      <c r="DZ155" s="435">
        <v>0</v>
      </c>
      <c r="EA155" s="363">
        <v>0</v>
      </c>
      <c r="EB155" s="435">
        <v>0</v>
      </c>
      <c r="EC155" s="435">
        <v>0</v>
      </c>
      <c r="ED155" s="435">
        <v>0</v>
      </c>
      <c r="EE155" s="435">
        <v>0</v>
      </c>
      <c r="EF155" s="363">
        <v>0</v>
      </c>
      <c r="EG155" s="364">
        <v>0</v>
      </c>
      <c r="EH155" s="364">
        <v>0</v>
      </c>
      <c r="EI155" s="364">
        <v>0</v>
      </c>
      <c r="EJ155" s="365">
        <v>0</v>
      </c>
      <c r="EK155" s="365">
        <v>0</v>
      </c>
      <c r="EL155" s="365">
        <v>0</v>
      </c>
      <c r="EM155" s="365">
        <v>0</v>
      </c>
      <c r="EN155" s="365">
        <v>0</v>
      </c>
      <c r="EO155" s="365">
        <v>0</v>
      </c>
      <c r="EP155" s="365">
        <v>0</v>
      </c>
      <c r="EQ155" s="365">
        <v>0</v>
      </c>
      <c r="ER155" s="365">
        <v>0</v>
      </c>
      <c r="ES155" s="365">
        <v>0</v>
      </c>
      <c r="ET155" s="365">
        <v>0</v>
      </c>
      <c r="EU155" s="365">
        <v>0</v>
      </c>
      <c r="EV155" s="436">
        <v>0</v>
      </c>
      <c r="EW155" s="436">
        <v>0</v>
      </c>
      <c r="EX155" s="436">
        <v>0</v>
      </c>
      <c r="EY155" s="436">
        <v>0</v>
      </c>
      <c r="EZ155" s="365">
        <v>0</v>
      </c>
      <c r="FA155" s="436">
        <v>0</v>
      </c>
      <c r="FB155" s="436">
        <v>0</v>
      </c>
      <c r="FC155" s="436">
        <v>0</v>
      </c>
      <c r="FD155" s="436">
        <v>0</v>
      </c>
      <c r="FE155" s="365">
        <v>0</v>
      </c>
      <c r="FF155" s="364">
        <v>0</v>
      </c>
      <c r="FG155" s="364">
        <v>0</v>
      </c>
      <c r="FH155" s="364">
        <v>0</v>
      </c>
      <c r="FI155" s="365">
        <v>0</v>
      </c>
      <c r="FJ155" s="365">
        <v>0</v>
      </c>
      <c r="FK155" s="365">
        <v>0</v>
      </c>
      <c r="FL155" s="365">
        <v>0</v>
      </c>
      <c r="FM155" s="365">
        <v>0</v>
      </c>
      <c r="FN155" s="365">
        <v>0</v>
      </c>
      <c r="FO155" s="365">
        <v>0</v>
      </c>
      <c r="FP155" s="365">
        <v>0</v>
      </c>
      <c r="FQ155" s="365">
        <v>0</v>
      </c>
      <c r="FR155" s="365">
        <v>0</v>
      </c>
      <c r="FS155" s="365">
        <v>0</v>
      </c>
      <c r="FT155" s="365">
        <v>0</v>
      </c>
      <c r="FU155" s="436">
        <v>0</v>
      </c>
      <c r="FV155" s="436">
        <v>0</v>
      </c>
      <c r="FW155" s="436">
        <v>0</v>
      </c>
      <c r="FX155" s="436">
        <v>0</v>
      </c>
      <c r="FY155" s="365">
        <v>0</v>
      </c>
      <c r="FZ155" s="436">
        <v>0</v>
      </c>
      <c r="GA155" s="436">
        <v>0</v>
      </c>
      <c r="GB155" s="436">
        <v>0</v>
      </c>
      <c r="GC155" s="436">
        <v>0</v>
      </c>
      <c r="GD155" s="365">
        <v>0</v>
      </c>
    </row>
    <row r="156" spans="1:186" ht="15" x14ac:dyDescent="0.25">
      <c r="A156" s="357">
        <v>90</v>
      </c>
      <c r="B156" s="357">
        <v>92</v>
      </c>
      <c r="C156" s="357" t="s">
        <v>1066</v>
      </c>
      <c r="D156" s="2">
        <v>99709</v>
      </c>
      <c r="E156" s="268" t="s">
        <v>19</v>
      </c>
      <c r="F156" s="358" t="s">
        <v>915</v>
      </c>
      <c r="G156" s="49">
        <v>10</v>
      </c>
      <c r="H156" s="49">
        <v>5</v>
      </c>
      <c r="I156" s="49">
        <v>4</v>
      </c>
      <c r="J156" s="49">
        <v>1</v>
      </c>
      <c r="K156" s="49">
        <v>0</v>
      </c>
      <c r="L156" s="49">
        <v>1</v>
      </c>
      <c r="M156" s="49">
        <v>1</v>
      </c>
      <c r="N156" s="49">
        <v>0</v>
      </c>
      <c r="O156" s="49">
        <v>0</v>
      </c>
      <c r="P156" s="49">
        <v>0</v>
      </c>
      <c r="Q156" s="49">
        <v>1</v>
      </c>
      <c r="R156" s="49">
        <v>0</v>
      </c>
      <c r="S156" s="49">
        <v>180</v>
      </c>
      <c r="T156" s="49">
        <v>180</v>
      </c>
      <c r="U156" s="49">
        <v>0</v>
      </c>
      <c r="V156" s="49">
        <v>0</v>
      </c>
      <c r="W156" s="49">
        <v>0</v>
      </c>
      <c r="X156" s="49">
        <v>180</v>
      </c>
      <c r="Y156" s="434">
        <v>180</v>
      </c>
      <c r="Z156" s="434">
        <v>0</v>
      </c>
      <c r="AA156" s="49">
        <v>0</v>
      </c>
      <c r="AB156" s="49">
        <v>5</v>
      </c>
      <c r="AC156" s="49">
        <v>0</v>
      </c>
      <c r="AD156" s="285">
        <v>0</v>
      </c>
      <c r="AE156" s="285">
        <v>0</v>
      </c>
      <c r="AF156" s="359">
        <v>5</v>
      </c>
      <c r="AG156" s="360">
        <v>0</v>
      </c>
      <c r="AH156" s="360">
        <v>4</v>
      </c>
      <c r="AI156" s="361">
        <v>4</v>
      </c>
      <c r="AJ156" s="360">
        <v>0</v>
      </c>
      <c r="AK156" s="360">
        <v>0</v>
      </c>
      <c r="AL156" s="360">
        <v>4.7607919750386971</v>
      </c>
      <c r="AM156" s="360">
        <v>4.7607919750386971</v>
      </c>
      <c r="AN156" s="360">
        <v>0</v>
      </c>
      <c r="AO156" s="360">
        <v>0</v>
      </c>
      <c r="AP156" s="360">
        <v>3.8158185155919053</v>
      </c>
      <c r="AQ156" s="360">
        <v>3.8158185155919053</v>
      </c>
      <c r="AR156" s="360">
        <v>0</v>
      </c>
      <c r="AS156" s="360">
        <v>0</v>
      </c>
      <c r="AT156" s="360">
        <v>0</v>
      </c>
      <c r="AU156" s="360">
        <v>4.533028045918571</v>
      </c>
      <c r="AV156" s="360">
        <v>4.6455143465104571</v>
      </c>
      <c r="AW156" s="360">
        <v>4.7607919750386971</v>
      </c>
      <c r="AX156" s="360">
        <v>4.8789301978193418</v>
      </c>
      <c r="AY156" s="360">
        <v>5</v>
      </c>
      <c r="AZ156" s="360">
        <v>3.6401177359835026</v>
      </c>
      <c r="BA156" s="360">
        <v>3.7269328751535542</v>
      </c>
      <c r="BB156" s="360">
        <v>3.8158185155919053</v>
      </c>
      <c r="BC156" s="360">
        <v>3.9068240378045722</v>
      </c>
      <c r="BD156" s="360">
        <v>4</v>
      </c>
      <c r="BE156" s="360">
        <v>0</v>
      </c>
      <c r="BF156" s="360">
        <v>0</v>
      </c>
      <c r="BG156" s="360">
        <v>0</v>
      </c>
      <c r="BH156" s="360">
        <v>0</v>
      </c>
      <c r="BI156" s="360">
        <v>0</v>
      </c>
      <c r="BJ156" s="362">
        <v>5.025613145055865</v>
      </c>
      <c r="BK156" s="362">
        <v>5.0513574967516606</v>
      </c>
      <c r="BL156" s="362">
        <v>5.0772337272103263</v>
      </c>
      <c r="BM156" s="363">
        <v>5.0438531430657498</v>
      </c>
      <c r="BN156" s="363">
        <v>5.0106920216163537</v>
      </c>
      <c r="BO156" s="363">
        <v>4.9946912601348483</v>
      </c>
      <c r="BP156" s="363">
        <v>4.9787415942638669</v>
      </c>
      <c r="BQ156" s="363">
        <v>4.9628428608385846</v>
      </c>
      <c r="BR156" s="363">
        <v>4.9469948972152178</v>
      </c>
      <c r="BS156" s="363">
        <v>4.9311975412693556</v>
      </c>
      <c r="BT156" s="363">
        <v>4.9676734508527423</v>
      </c>
      <c r="BU156" s="363">
        <v>5.0044191715659396</v>
      </c>
      <c r="BV156" s="363">
        <v>5.0414366991931976</v>
      </c>
      <c r="BW156" s="363">
        <v>5.0787280442815153</v>
      </c>
      <c r="BX156" s="363">
        <v>5.1162952322498416</v>
      </c>
      <c r="BY156" s="435">
        <v>5.1369180814644624</v>
      </c>
      <c r="BZ156" s="435">
        <v>5.1575409306790831</v>
      </c>
      <c r="CA156" s="435">
        <v>5.178163779893703</v>
      </c>
      <c r="CB156" s="435">
        <v>5.1987866291083238</v>
      </c>
      <c r="CC156" s="363">
        <v>5.2194094783229446</v>
      </c>
      <c r="CD156" s="435">
        <v>5.2363141192555203</v>
      </c>
      <c r="CE156" s="435">
        <v>5.253218760188096</v>
      </c>
      <c r="CF156" s="435">
        <v>5.2701234011206708</v>
      </c>
      <c r="CG156" s="435">
        <v>5.2870280420532465</v>
      </c>
      <c r="CH156" s="363">
        <v>5.3039326829858222</v>
      </c>
      <c r="CI156" s="362">
        <v>4.020490516044692</v>
      </c>
      <c r="CJ156" s="362">
        <v>4.0410859974013285</v>
      </c>
      <c r="CK156" s="362">
        <v>4.061786981768261</v>
      </c>
      <c r="CL156" s="363">
        <v>4.0350825144525997</v>
      </c>
      <c r="CM156" s="363">
        <v>4.0085536172930825</v>
      </c>
      <c r="CN156" s="363">
        <v>3.9957530081078785</v>
      </c>
      <c r="CO156" s="363">
        <v>3.9829932754110935</v>
      </c>
      <c r="CP156" s="363">
        <v>3.970274288670868</v>
      </c>
      <c r="CQ156" s="363">
        <v>3.9575959177721742</v>
      </c>
      <c r="CR156" s="363">
        <v>3.9449580330154848</v>
      </c>
      <c r="CS156" s="363">
        <v>3.9741387606821936</v>
      </c>
      <c r="CT156" s="363">
        <v>4.0035353372527522</v>
      </c>
      <c r="CU156" s="363">
        <v>4.0331493593545575</v>
      </c>
      <c r="CV156" s="363">
        <v>4.0629824354252122</v>
      </c>
      <c r="CW156" s="363">
        <v>4.0930361857998729</v>
      </c>
      <c r="CX156" s="435">
        <v>4.1095344651715697</v>
      </c>
      <c r="CY156" s="435">
        <v>4.1260327445432656</v>
      </c>
      <c r="CZ156" s="435">
        <v>4.1425310239149624</v>
      </c>
      <c r="DA156" s="435">
        <v>4.1590293032866583</v>
      </c>
      <c r="DB156" s="363">
        <v>4.1755275826583551</v>
      </c>
      <c r="DC156" s="435">
        <v>4.1890512954044157</v>
      </c>
      <c r="DD156" s="435">
        <v>4.2025750081504762</v>
      </c>
      <c r="DE156" s="435">
        <v>4.2160987208965368</v>
      </c>
      <c r="DF156" s="435">
        <v>4.2296224336425974</v>
      </c>
      <c r="DG156" s="363">
        <v>4.2431461463886579</v>
      </c>
      <c r="DH156" s="362">
        <v>0</v>
      </c>
      <c r="DI156" s="362">
        <v>0</v>
      </c>
      <c r="DJ156" s="362">
        <v>0</v>
      </c>
      <c r="DK156" s="363">
        <v>0</v>
      </c>
      <c r="DL156" s="363">
        <v>0</v>
      </c>
      <c r="DM156" s="363">
        <v>0</v>
      </c>
      <c r="DN156" s="363">
        <v>0</v>
      </c>
      <c r="DO156" s="363">
        <v>0</v>
      </c>
      <c r="DP156" s="363">
        <v>0</v>
      </c>
      <c r="DQ156" s="363">
        <v>0</v>
      </c>
      <c r="DR156" s="363">
        <v>0</v>
      </c>
      <c r="DS156" s="363">
        <v>0</v>
      </c>
      <c r="DT156" s="363">
        <v>0</v>
      </c>
      <c r="DU156" s="363">
        <v>0</v>
      </c>
      <c r="DV156" s="363">
        <v>0</v>
      </c>
      <c r="DW156" s="435">
        <v>0</v>
      </c>
      <c r="DX156" s="435">
        <v>0</v>
      </c>
      <c r="DY156" s="435">
        <v>0</v>
      </c>
      <c r="DZ156" s="435">
        <v>0</v>
      </c>
      <c r="EA156" s="363">
        <v>0</v>
      </c>
      <c r="EB156" s="435">
        <v>0</v>
      </c>
      <c r="EC156" s="435">
        <v>0</v>
      </c>
      <c r="ED156" s="435">
        <v>0</v>
      </c>
      <c r="EE156" s="435">
        <v>0</v>
      </c>
      <c r="EF156" s="363">
        <v>0</v>
      </c>
      <c r="EG156" s="364">
        <v>0</v>
      </c>
      <c r="EH156" s="364">
        <v>0</v>
      </c>
      <c r="EI156" s="364">
        <v>0</v>
      </c>
      <c r="EJ156" s="365">
        <v>0</v>
      </c>
      <c r="EK156" s="365">
        <v>0</v>
      </c>
      <c r="EL156" s="365">
        <v>0</v>
      </c>
      <c r="EM156" s="365">
        <v>0</v>
      </c>
      <c r="EN156" s="365">
        <v>0</v>
      </c>
      <c r="EO156" s="365">
        <v>0</v>
      </c>
      <c r="EP156" s="365">
        <v>0</v>
      </c>
      <c r="EQ156" s="365">
        <v>0</v>
      </c>
      <c r="ER156" s="365">
        <v>0</v>
      </c>
      <c r="ES156" s="365">
        <v>0</v>
      </c>
      <c r="ET156" s="365">
        <v>0</v>
      </c>
      <c r="EU156" s="365">
        <v>0</v>
      </c>
      <c r="EV156" s="436">
        <v>0</v>
      </c>
      <c r="EW156" s="436">
        <v>0</v>
      </c>
      <c r="EX156" s="436">
        <v>0</v>
      </c>
      <c r="EY156" s="436">
        <v>0</v>
      </c>
      <c r="EZ156" s="365">
        <v>0</v>
      </c>
      <c r="FA156" s="436">
        <v>0</v>
      </c>
      <c r="FB156" s="436">
        <v>0</v>
      </c>
      <c r="FC156" s="436">
        <v>0</v>
      </c>
      <c r="FD156" s="436">
        <v>0</v>
      </c>
      <c r="FE156" s="365">
        <v>0</v>
      </c>
      <c r="FF156" s="364">
        <v>0</v>
      </c>
      <c r="FG156" s="364">
        <v>0</v>
      </c>
      <c r="FH156" s="364">
        <v>0</v>
      </c>
      <c r="FI156" s="365">
        <v>0</v>
      </c>
      <c r="FJ156" s="365">
        <v>0</v>
      </c>
      <c r="FK156" s="365">
        <v>0</v>
      </c>
      <c r="FL156" s="365">
        <v>0</v>
      </c>
      <c r="FM156" s="365">
        <v>0</v>
      </c>
      <c r="FN156" s="365">
        <v>0</v>
      </c>
      <c r="FO156" s="365">
        <v>0</v>
      </c>
      <c r="FP156" s="365">
        <v>0</v>
      </c>
      <c r="FQ156" s="365">
        <v>0</v>
      </c>
      <c r="FR156" s="365">
        <v>0</v>
      </c>
      <c r="FS156" s="365">
        <v>0</v>
      </c>
      <c r="FT156" s="365">
        <v>0</v>
      </c>
      <c r="FU156" s="436">
        <v>0</v>
      </c>
      <c r="FV156" s="436">
        <v>0</v>
      </c>
      <c r="FW156" s="436">
        <v>0</v>
      </c>
      <c r="FX156" s="436">
        <v>0</v>
      </c>
      <c r="FY156" s="365">
        <v>0</v>
      </c>
      <c r="FZ156" s="436">
        <v>0</v>
      </c>
      <c r="GA156" s="436">
        <v>0</v>
      </c>
      <c r="GB156" s="436">
        <v>0</v>
      </c>
      <c r="GC156" s="436">
        <v>0</v>
      </c>
      <c r="GD156" s="365">
        <v>0</v>
      </c>
    </row>
    <row r="157" spans="1:186" ht="15" x14ac:dyDescent="0.25">
      <c r="A157" s="357">
        <v>95</v>
      </c>
      <c r="B157" s="357">
        <v>92</v>
      </c>
      <c r="C157" s="357" t="s">
        <v>1067</v>
      </c>
      <c r="D157" s="2">
        <v>99709</v>
      </c>
      <c r="E157" s="268" t="s">
        <v>19</v>
      </c>
      <c r="F157" s="358" t="s">
        <v>915</v>
      </c>
      <c r="G157" s="49">
        <v>118</v>
      </c>
      <c r="H157" s="49">
        <v>59</v>
      </c>
      <c r="I157" s="49">
        <v>51</v>
      </c>
      <c r="J157" s="49">
        <v>8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0</v>
      </c>
      <c r="Q157" s="49">
        <v>0</v>
      </c>
      <c r="R157" s="49">
        <v>0</v>
      </c>
      <c r="S157" s="49">
        <v>834.49503068156923</v>
      </c>
      <c r="T157" s="49">
        <v>834.49503068156923</v>
      </c>
      <c r="U157" s="49">
        <v>1408.3846153846155</v>
      </c>
      <c r="V157" s="49">
        <v>0</v>
      </c>
      <c r="W157" s="49">
        <v>0</v>
      </c>
      <c r="X157" s="49">
        <v>1365.173957061457</v>
      </c>
      <c r="Y157" s="434">
        <v>0</v>
      </c>
      <c r="Z157" s="434">
        <v>0</v>
      </c>
      <c r="AA157" s="49">
        <v>1.3518277893277892</v>
      </c>
      <c r="AB157" s="49">
        <v>57.571509009009006</v>
      </c>
      <c r="AC157" s="49">
        <v>7.6663201663201661E-2</v>
      </c>
      <c r="AD157" s="285">
        <v>0</v>
      </c>
      <c r="AE157" s="285">
        <v>0</v>
      </c>
      <c r="AF157" s="359">
        <v>59</v>
      </c>
      <c r="AG157" s="360">
        <v>1.1685291060291061</v>
      </c>
      <c r="AH157" s="360">
        <v>49.765202702702695</v>
      </c>
      <c r="AI157" s="361">
        <v>50.9337318087318</v>
      </c>
      <c r="AJ157" s="360">
        <v>6.6268191268191265E-2</v>
      </c>
      <c r="AK157" s="360">
        <v>1.2871541782132081</v>
      </c>
      <c r="AL157" s="360">
        <v>54.817195616191619</v>
      </c>
      <c r="AM157" s="360">
        <v>56.104349794404826</v>
      </c>
      <c r="AN157" s="360">
        <v>7.2995511051788753E-2</v>
      </c>
      <c r="AO157" s="360">
        <v>1.1147237496984799</v>
      </c>
      <c r="AP157" s="360">
        <v>47.473745476289317</v>
      </c>
      <c r="AQ157" s="360">
        <v>48.588469225987794</v>
      </c>
      <c r="AR157" s="360">
        <v>6.3216847808987509E-2</v>
      </c>
      <c r="AS157" s="360">
        <v>0</v>
      </c>
      <c r="AT157" s="360">
        <v>0</v>
      </c>
      <c r="AU157" s="360">
        <v>53.420227653193294</v>
      </c>
      <c r="AV157" s="360">
        <v>54.745841288188224</v>
      </c>
      <c r="AW157" s="360">
        <v>56.104349794404833</v>
      </c>
      <c r="AX157" s="360">
        <v>57.496569452337013</v>
      </c>
      <c r="AY157" s="360">
        <v>58.923336798336798</v>
      </c>
      <c r="AZ157" s="360">
        <v>46.351195129197926</v>
      </c>
      <c r="BA157" s="360">
        <v>47.456649883054212</v>
      </c>
      <c r="BB157" s="360">
        <v>48.588469225987794</v>
      </c>
      <c r="BC157" s="360">
        <v>49.747281941361187</v>
      </c>
      <c r="BD157" s="360">
        <v>50.9337318087318</v>
      </c>
      <c r="BE157" s="360">
        <v>0</v>
      </c>
      <c r="BF157" s="360">
        <v>0</v>
      </c>
      <c r="BG157" s="360">
        <v>0</v>
      </c>
      <c r="BH157" s="360">
        <v>0</v>
      </c>
      <c r="BI157" s="360">
        <v>0</v>
      </c>
      <c r="BJ157" s="362">
        <v>59.225179192855073</v>
      </c>
      <c r="BK157" s="362">
        <v>59.528567813980317</v>
      </c>
      <c r="BL157" s="362">
        <v>59.833510582457784</v>
      </c>
      <c r="BM157" s="363">
        <v>59.440131502042568</v>
      </c>
      <c r="BN157" s="363">
        <v>59.049338716487895</v>
      </c>
      <c r="BO157" s="363">
        <v>58.860775064926983</v>
      </c>
      <c r="BP157" s="363">
        <v>58.672813558139623</v>
      </c>
      <c r="BQ157" s="363">
        <v>58.485452273282647</v>
      </c>
      <c r="BR157" s="363">
        <v>58.298689293653162</v>
      </c>
      <c r="BS157" s="363">
        <v>58.112522708668919</v>
      </c>
      <c r="BT157" s="363">
        <v>58.542379169750426</v>
      </c>
      <c r="BU157" s="363">
        <v>58.975415265246703</v>
      </c>
      <c r="BV157" s="363">
        <v>59.411654514811225</v>
      </c>
      <c r="BW157" s="363">
        <v>59.851120612071618</v>
      </c>
      <c r="BX157" s="363">
        <v>60.293837425916443</v>
      </c>
      <c r="BY157" s="435">
        <v>60.536870843919324</v>
      </c>
      <c r="BZ157" s="435">
        <v>60.779904261922205</v>
      </c>
      <c r="CA157" s="435">
        <v>61.022937679925079</v>
      </c>
      <c r="CB157" s="435">
        <v>61.265971097927959</v>
      </c>
      <c r="CC157" s="363">
        <v>61.50900451593084</v>
      </c>
      <c r="CD157" s="435">
        <v>61.708220086155862</v>
      </c>
      <c r="CE157" s="435">
        <v>61.907435656380883</v>
      </c>
      <c r="CF157" s="435">
        <v>62.106651226605905</v>
      </c>
      <c r="CG157" s="435">
        <v>62.305866796830927</v>
      </c>
      <c r="CH157" s="363">
        <v>62.505082367055948</v>
      </c>
      <c r="CI157" s="362">
        <v>51.194646420942512</v>
      </c>
      <c r="CJ157" s="362">
        <v>51.45689760191518</v>
      </c>
      <c r="CK157" s="362">
        <v>51.720492198395704</v>
      </c>
      <c r="CL157" s="363">
        <v>51.380452654307973</v>
      </c>
      <c r="CM157" s="363">
        <v>51.042648721031902</v>
      </c>
      <c r="CN157" s="363">
        <v>50.879653022225007</v>
      </c>
      <c r="CO157" s="363">
        <v>50.717177821442718</v>
      </c>
      <c r="CP157" s="363">
        <v>50.55522145656635</v>
      </c>
      <c r="CQ157" s="363">
        <v>50.393782270784932</v>
      </c>
      <c r="CR157" s="363">
        <v>50.232858612578212</v>
      </c>
      <c r="CS157" s="363">
        <v>50.604429451818156</v>
      </c>
      <c r="CT157" s="363">
        <v>50.97874878860307</v>
      </c>
      <c r="CU157" s="363">
        <v>51.355836953480882</v>
      </c>
      <c r="CV157" s="363">
        <v>51.735714427383932</v>
      </c>
      <c r="CW157" s="363">
        <v>52.118401842741321</v>
      </c>
      <c r="CX157" s="435">
        <v>52.328481576947198</v>
      </c>
      <c r="CY157" s="435">
        <v>52.538561311153082</v>
      </c>
      <c r="CZ157" s="435">
        <v>52.748641045358958</v>
      </c>
      <c r="DA157" s="435">
        <v>52.958720779564842</v>
      </c>
      <c r="DB157" s="363">
        <v>53.168800513770719</v>
      </c>
      <c r="DC157" s="435">
        <v>53.341003803287265</v>
      </c>
      <c r="DD157" s="435">
        <v>53.513207092803803</v>
      </c>
      <c r="DE157" s="435">
        <v>53.685410382320349</v>
      </c>
      <c r="DF157" s="435">
        <v>53.857613671836887</v>
      </c>
      <c r="DG157" s="363">
        <v>54.029816961353433</v>
      </c>
      <c r="DH157" s="362">
        <v>0</v>
      </c>
      <c r="DI157" s="362">
        <v>0</v>
      </c>
      <c r="DJ157" s="362">
        <v>0</v>
      </c>
      <c r="DK157" s="363">
        <v>0</v>
      </c>
      <c r="DL157" s="363">
        <v>0</v>
      </c>
      <c r="DM157" s="363">
        <v>0</v>
      </c>
      <c r="DN157" s="363">
        <v>0</v>
      </c>
      <c r="DO157" s="363">
        <v>0</v>
      </c>
      <c r="DP157" s="363">
        <v>0</v>
      </c>
      <c r="DQ157" s="363">
        <v>0</v>
      </c>
      <c r="DR157" s="363">
        <v>0</v>
      </c>
      <c r="DS157" s="363">
        <v>0</v>
      </c>
      <c r="DT157" s="363">
        <v>0</v>
      </c>
      <c r="DU157" s="363">
        <v>0</v>
      </c>
      <c r="DV157" s="363">
        <v>0</v>
      </c>
      <c r="DW157" s="435">
        <v>0</v>
      </c>
      <c r="DX157" s="435">
        <v>0</v>
      </c>
      <c r="DY157" s="435">
        <v>0</v>
      </c>
      <c r="DZ157" s="435">
        <v>0</v>
      </c>
      <c r="EA157" s="363">
        <v>0</v>
      </c>
      <c r="EB157" s="435">
        <v>0</v>
      </c>
      <c r="EC157" s="435">
        <v>0</v>
      </c>
      <c r="ED157" s="435">
        <v>0</v>
      </c>
      <c r="EE157" s="435">
        <v>0</v>
      </c>
      <c r="EF157" s="363">
        <v>0</v>
      </c>
      <c r="EG157" s="364">
        <v>7.7055918804130985E-2</v>
      </c>
      <c r="EH157" s="364">
        <v>7.7450647689279617E-2</v>
      </c>
      <c r="EI157" s="364">
        <v>7.7847398624066852E-2</v>
      </c>
      <c r="EJ157" s="365">
        <v>7.7335586133284631E-2</v>
      </c>
      <c r="EK157" s="365">
        <v>7.682713858507402E-2</v>
      </c>
      <c r="EL157" s="365">
        <v>7.6581804664229744E-2</v>
      </c>
      <c r="EM157" s="365">
        <v>7.6337254174004193E-2</v>
      </c>
      <c r="EN157" s="365">
        <v>7.6093484612649823E-2</v>
      </c>
      <c r="EO157" s="365">
        <v>7.5850493486407961E-2</v>
      </c>
      <c r="EP157" s="365">
        <v>7.560827830948337E-2</v>
      </c>
      <c r="EQ157" s="365">
        <v>7.6167550311931342E-2</v>
      </c>
      <c r="ER157" s="365">
        <v>7.673095923139045E-2</v>
      </c>
      <c r="ES157" s="365">
        <v>7.7298535668502769E-2</v>
      </c>
      <c r="ET157" s="365">
        <v>7.7870310450262326E-2</v>
      </c>
      <c r="EU157" s="365">
        <v>7.8446314631689357E-2</v>
      </c>
      <c r="EV157" s="436">
        <v>7.8762517361331413E-2</v>
      </c>
      <c r="EW157" s="436">
        <v>7.9078720090973456E-2</v>
      </c>
      <c r="EX157" s="436">
        <v>7.9394922820615513E-2</v>
      </c>
      <c r="EY157" s="436">
        <v>7.9711125550257556E-2</v>
      </c>
      <c r="EZ157" s="365">
        <v>8.0027328279899612E-2</v>
      </c>
      <c r="FA157" s="436">
        <v>8.0286521059271226E-2</v>
      </c>
      <c r="FB157" s="436">
        <v>8.0545713838642841E-2</v>
      </c>
      <c r="FC157" s="436">
        <v>8.0804906618014441E-2</v>
      </c>
      <c r="FD157" s="436">
        <v>8.1064099397386055E-2</v>
      </c>
      <c r="FE157" s="365">
        <v>8.1323292176757669E-2</v>
      </c>
      <c r="FF157" s="364">
        <v>0</v>
      </c>
      <c r="FG157" s="364">
        <v>0</v>
      </c>
      <c r="FH157" s="364">
        <v>0</v>
      </c>
      <c r="FI157" s="365">
        <v>0</v>
      </c>
      <c r="FJ157" s="365">
        <v>0</v>
      </c>
      <c r="FK157" s="365">
        <v>0</v>
      </c>
      <c r="FL157" s="365">
        <v>0</v>
      </c>
      <c r="FM157" s="365">
        <v>0</v>
      </c>
      <c r="FN157" s="365">
        <v>0</v>
      </c>
      <c r="FO157" s="365">
        <v>0</v>
      </c>
      <c r="FP157" s="365">
        <v>0</v>
      </c>
      <c r="FQ157" s="365">
        <v>0</v>
      </c>
      <c r="FR157" s="365">
        <v>0</v>
      </c>
      <c r="FS157" s="365">
        <v>0</v>
      </c>
      <c r="FT157" s="365">
        <v>0</v>
      </c>
      <c r="FU157" s="436">
        <v>0</v>
      </c>
      <c r="FV157" s="436">
        <v>0</v>
      </c>
      <c r="FW157" s="436">
        <v>0</v>
      </c>
      <c r="FX157" s="436">
        <v>0</v>
      </c>
      <c r="FY157" s="365">
        <v>0</v>
      </c>
      <c r="FZ157" s="436">
        <v>0</v>
      </c>
      <c r="GA157" s="436">
        <v>0</v>
      </c>
      <c r="GB157" s="436">
        <v>0</v>
      </c>
      <c r="GC157" s="436">
        <v>0</v>
      </c>
      <c r="GD157" s="365">
        <v>0</v>
      </c>
    </row>
    <row r="158" spans="1:186" ht="15" x14ac:dyDescent="0.25">
      <c r="A158" s="357">
        <v>97</v>
      </c>
      <c r="B158" s="357">
        <v>92</v>
      </c>
      <c r="C158" s="357" t="s">
        <v>1068</v>
      </c>
      <c r="D158" s="2">
        <v>99709</v>
      </c>
      <c r="E158" s="268" t="s">
        <v>19</v>
      </c>
      <c r="F158" s="358" t="s">
        <v>915</v>
      </c>
      <c r="G158" s="49">
        <v>38</v>
      </c>
      <c r="H158" s="49">
        <v>13</v>
      </c>
      <c r="I158" s="49">
        <v>13</v>
      </c>
      <c r="J158" s="49">
        <v>0</v>
      </c>
      <c r="K158" s="49">
        <v>0</v>
      </c>
      <c r="L158" s="49">
        <v>16</v>
      </c>
      <c r="M158" s="49">
        <v>16</v>
      </c>
      <c r="N158" s="49">
        <v>0</v>
      </c>
      <c r="O158" s="49">
        <v>0</v>
      </c>
      <c r="P158" s="49">
        <v>0</v>
      </c>
      <c r="Q158" s="49">
        <v>16</v>
      </c>
      <c r="R158" s="49">
        <v>0</v>
      </c>
      <c r="S158" s="49">
        <v>1753</v>
      </c>
      <c r="T158" s="49">
        <v>1753</v>
      </c>
      <c r="U158" s="49">
        <v>0</v>
      </c>
      <c r="V158" s="49">
        <v>0</v>
      </c>
      <c r="W158" s="49">
        <v>0</v>
      </c>
      <c r="X158" s="49">
        <v>1753</v>
      </c>
      <c r="Y158" s="434">
        <v>28048</v>
      </c>
      <c r="Z158" s="434">
        <v>0</v>
      </c>
      <c r="AA158" s="49">
        <v>0</v>
      </c>
      <c r="AB158" s="49">
        <v>13</v>
      </c>
      <c r="AC158" s="49">
        <v>0</v>
      </c>
      <c r="AD158" s="285">
        <v>0</v>
      </c>
      <c r="AE158" s="285">
        <v>0</v>
      </c>
      <c r="AF158" s="359">
        <v>13</v>
      </c>
      <c r="AG158" s="360">
        <v>0</v>
      </c>
      <c r="AH158" s="360">
        <v>13</v>
      </c>
      <c r="AI158" s="361">
        <v>13</v>
      </c>
      <c r="AJ158" s="360">
        <v>0</v>
      </c>
      <c r="AK158" s="360">
        <v>0</v>
      </c>
      <c r="AL158" s="360">
        <v>12.378059135100612</v>
      </c>
      <c r="AM158" s="360">
        <v>12.378059135100612</v>
      </c>
      <c r="AN158" s="360">
        <v>0</v>
      </c>
      <c r="AO158" s="360">
        <v>0</v>
      </c>
      <c r="AP158" s="360">
        <v>12.401410175673693</v>
      </c>
      <c r="AQ158" s="360">
        <v>12.401410175673693</v>
      </c>
      <c r="AR158" s="360">
        <v>0</v>
      </c>
      <c r="AS158" s="360">
        <v>0</v>
      </c>
      <c r="AT158" s="360">
        <v>0</v>
      </c>
      <c r="AU158" s="360">
        <v>11.785872919388284</v>
      </c>
      <c r="AV158" s="360">
        <v>12.078337300927188</v>
      </c>
      <c r="AW158" s="360">
        <v>12.378059135100612</v>
      </c>
      <c r="AX158" s="360">
        <v>12.685218514330289</v>
      </c>
      <c r="AY158" s="360">
        <v>13</v>
      </c>
      <c r="AZ158" s="360">
        <v>11.830382641946384</v>
      </c>
      <c r="BA158" s="360">
        <v>12.112531844249052</v>
      </c>
      <c r="BB158" s="360">
        <v>12.401410175673693</v>
      </c>
      <c r="BC158" s="360">
        <v>12.697178122864859</v>
      </c>
      <c r="BD158" s="360">
        <v>13</v>
      </c>
      <c r="BE158" s="360">
        <v>0</v>
      </c>
      <c r="BF158" s="360">
        <v>0</v>
      </c>
      <c r="BG158" s="360">
        <v>0</v>
      </c>
      <c r="BH158" s="360">
        <v>0</v>
      </c>
      <c r="BI158" s="360">
        <v>0</v>
      </c>
      <c r="BJ158" s="362">
        <v>13.066594177145248</v>
      </c>
      <c r="BK158" s="362">
        <v>13.133529491554317</v>
      </c>
      <c r="BL158" s="362">
        <v>13.200807690746849</v>
      </c>
      <c r="BM158" s="363">
        <v>13.114018171970951</v>
      </c>
      <c r="BN158" s="363">
        <v>13.02779925620252</v>
      </c>
      <c r="BO158" s="363">
        <v>12.986197276350607</v>
      </c>
      <c r="BP158" s="363">
        <v>12.944728145086055</v>
      </c>
      <c r="BQ158" s="363">
        <v>12.903391438180321</v>
      </c>
      <c r="BR158" s="363">
        <v>12.862186732759568</v>
      </c>
      <c r="BS158" s="363">
        <v>12.821113607300326</v>
      </c>
      <c r="BT158" s="363">
        <v>12.91595097221713</v>
      </c>
      <c r="BU158" s="363">
        <v>13.011489846071445</v>
      </c>
      <c r="BV158" s="363">
        <v>13.107735417902314</v>
      </c>
      <c r="BW158" s="363">
        <v>13.204692915131941</v>
      </c>
      <c r="BX158" s="363">
        <v>13.302367603849589</v>
      </c>
      <c r="BY158" s="435">
        <v>13.355987011807603</v>
      </c>
      <c r="BZ158" s="435">
        <v>13.409606419765616</v>
      </c>
      <c r="CA158" s="435">
        <v>13.46322582772363</v>
      </c>
      <c r="CB158" s="435">
        <v>13.516845235681643</v>
      </c>
      <c r="CC158" s="363">
        <v>13.570464643639657</v>
      </c>
      <c r="CD158" s="435">
        <v>13.614416710064353</v>
      </c>
      <c r="CE158" s="435">
        <v>13.658368776489048</v>
      </c>
      <c r="CF158" s="435">
        <v>13.702320842913746</v>
      </c>
      <c r="CG158" s="435">
        <v>13.746272909338442</v>
      </c>
      <c r="CH158" s="363">
        <v>13.790224975763138</v>
      </c>
      <c r="CI158" s="362">
        <v>13.066594177145248</v>
      </c>
      <c r="CJ158" s="362">
        <v>13.133529491554317</v>
      </c>
      <c r="CK158" s="362">
        <v>13.200807690746849</v>
      </c>
      <c r="CL158" s="363">
        <v>13.114018171970951</v>
      </c>
      <c r="CM158" s="363">
        <v>13.02779925620252</v>
      </c>
      <c r="CN158" s="363">
        <v>12.986197276350607</v>
      </c>
      <c r="CO158" s="363">
        <v>12.944728145086055</v>
      </c>
      <c r="CP158" s="363">
        <v>12.903391438180321</v>
      </c>
      <c r="CQ158" s="363">
        <v>12.862186732759568</v>
      </c>
      <c r="CR158" s="363">
        <v>12.821113607300326</v>
      </c>
      <c r="CS158" s="363">
        <v>12.91595097221713</v>
      </c>
      <c r="CT158" s="363">
        <v>13.011489846071445</v>
      </c>
      <c r="CU158" s="363">
        <v>13.107735417902314</v>
      </c>
      <c r="CV158" s="363">
        <v>13.204692915131941</v>
      </c>
      <c r="CW158" s="363">
        <v>13.302367603849589</v>
      </c>
      <c r="CX158" s="435">
        <v>13.355987011807603</v>
      </c>
      <c r="CY158" s="435">
        <v>13.409606419765616</v>
      </c>
      <c r="CZ158" s="435">
        <v>13.46322582772363</v>
      </c>
      <c r="DA158" s="435">
        <v>13.516845235681643</v>
      </c>
      <c r="DB158" s="363">
        <v>13.570464643639657</v>
      </c>
      <c r="DC158" s="435">
        <v>13.614416710064353</v>
      </c>
      <c r="DD158" s="435">
        <v>13.658368776489048</v>
      </c>
      <c r="DE158" s="435">
        <v>13.702320842913746</v>
      </c>
      <c r="DF158" s="435">
        <v>13.746272909338442</v>
      </c>
      <c r="DG158" s="363">
        <v>13.790224975763138</v>
      </c>
      <c r="DH158" s="362">
        <v>0</v>
      </c>
      <c r="DI158" s="362">
        <v>0</v>
      </c>
      <c r="DJ158" s="362">
        <v>0</v>
      </c>
      <c r="DK158" s="363">
        <v>0</v>
      </c>
      <c r="DL158" s="363">
        <v>0</v>
      </c>
      <c r="DM158" s="363">
        <v>0</v>
      </c>
      <c r="DN158" s="363">
        <v>0</v>
      </c>
      <c r="DO158" s="363">
        <v>0</v>
      </c>
      <c r="DP158" s="363">
        <v>0</v>
      </c>
      <c r="DQ158" s="363">
        <v>0</v>
      </c>
      <c r="DR158" s="363">
        <v>0</v>
      </c>
      <c r="DS158" s="363">
        <v>0</v>
      </c>
      <c r="DT158" s="363">
        <v>0</v>
      </c>
      <c r="DU158" s="363">
        <v>0</v>
      </c>
      <c r="DV158" s="363">
        <v>0</v>
      </c>
      <c r="DW158" s="435">
        <v>0</v>
      </c>
      <c r="DX158" s="435">
        <v>0</v>
      </c>
      <c r="DY158" s="435">
        <v>0</v>
      </c>
      <c r="DZ158" s="435">
        <v>0</v>
      </c>
      <c r="EA158" s="363">
        <v>0</v>
      </c>
      <c r="EB158" s="435">
        <v>0</v>
      </c>
      <c r="EC158" s="435">
        <v>0</v>
      </c>
      <c r="ED158" s="435">
        <v>0</v>
      </c>
      <c r="EE158" s="435">
        <v>0</v>
      </c>
      <c r="EF158" s="363">
        <v>0</v>
      </c>
      <c r="EG158" s="364">
        <v>0</v>
      </c>
      <c r="EH158" s="364">
        <v>0</v>
      </c>
      <c r="EI158" s="364">
        <v>0</v>
      </c>
      <c r="EJ158" s="365">
        <v>0</v>
      </c>
      <c r="EK158" s="365">
        <v>0</v>
      </c>
      <c r="EL158" s="365">
        <v>0</v>
      </c>
      <c r="EM158" s="365">
        <v>0</v>
      </c>
      <c r="EN158" s="365">
        <v>0</v>
      </c>
      <c r="EO158" s="365">
        <v>0</v>
      </c>
      <c r="EP158" s="365">
        <v>0</v>
      </c>
      <c r="EQ158" s="365">
        <v>0</v>
      </c>
      <c r="ER158" s="365">
        <v>0</v>
      </c>
      <c r="ES158" s="365">
        <v>0</v>
      </c>
      <c r="ET158" s="365">
        <v>0</v>
      </c>
      <c r="EU158" s="365">
        <v>0</v>
      </c>
      <c r="EV158" s="436">
        <v>0</v>
      </c>
      <c r="EW158" s="436">
        <v>0</v>
      </c>
      <c r="EX158" s="436">
        <v>0</v>
      </c>
      <c r="EY158" s="436">
        <v>0</v>
      </c>
      <c r="EZ158" s="365">
        <v>0</v>
      </c>
      <c r="FA158" s="436">
        <v>0</v>
      </c>
      <c r="FB158" s="436">
        <v>0</v>
      </c>
      <c r="FC158" s="436">
        <v>0</v>
      </c>
      <c r="FD158" s="436">
        <v>0</v>
      </c>
      <c r="FE158" s="365">
        <v>0</v>
      </c>
      <c r="FF158" s="364">
        <v>0</v>
      </c>
      <c r="FG158" s="364">
        <v>0</v>
      </c>
      <c r="FH158" s="364">
        <v>0</v>
      </c>
      <c r="FI158" s="365">
        <v>0</v>
      </c>
      <c r="FJ158" s="365">
        <v>0</v>
      </c>
      <c r="FK158" s="365">
        <v>0</v>
      </c>
      <c r="FL158" s="365">
        <v>0</v>
      </c>
      <c r="FM158" s="365">
        <v>0</v>
      </c>
      <c r="FN158" s="365">
        <v>0</v>
      </c>
      <c r="FO158" s="365">
        <v>0</v>
      </c>
      <c r="FP158" s="365">
        <v>0</v>
      </c>
      <c r="FQ158" s="365">
        <v>0</v>
      </c>
      <c r="FR158" s="365">
        <v>0</v>
      </c>
      <c r="FS158" s="365">
        <v>0</v>
      </c>
      <c r="FT158" s="365">
        <v>0</v>
      </c>
      <c r="FU158" s="436">
        <v>0</v>
      </c>
      <c r="FV158" s="436">
        <v>0</v>
      </c>
      <c r="FW158" s="436">
        <v>0</v>
      </c>
      <c r="FX158" s="436">
        <v>0</v>
      </c>
      <c r="FY158" s="365">
        <v>0</v>
      </c>
      <c r="FZ158" s="436">
        <v>0</v>
      </c>
      <c r="GA158" s="436">
        <v>0</v>
      </c>
      <c r="GB158" s="436">
        <v>0</v>
      </c>
      <c r="GC158" s="436">
        <v>0</v>
      </c>
      <c r="GD158" s="365">
        <v>0</v>
      </c>
    </row>
    <row r="159" spans="1:186" ht="15" x14ac:dyDescent="0.25">
      <c r="A159" s="357">
        <v>98</v>
      </c>
      <c r="B159" s="357">
        <v>92</v>
      </c>
      <c r="C159" s="357" t="s">
        <v>1069</v>
      </c>
      <c r="D159" s="2">
        <v>99709</v>
      </c>
      <c r="E159" s="268" t="s">
        <v>19</v>
      </c>
      <c r="F159" s="358" t="s">
        <v>915</v>
      </c>
      <c r="G159" s="49">
        <v>2</v>
      </c>
      <c r="H159" s="49">
        <v>1</v>
      </c>
      <c r="I159" s="49">
        <v>1</v>
      </c>
      <c r="J159" s="49">
        <v>0</v>
      </c>
      <c r="K159" s="49">
        <v>0</v>
      </c>
      <c r="L159" s="49">
        <v>23</v>
      </c>
      <c r="M159" s="49">
        <v>23</v>
      </c>
      <c r="N159" s="49">
        <v>0</v>
      </c>
      <c r="O159" s="49">
        <v>0</v>
      </c>
      <c r="P159" s="49">
        <v>0</v>
      </c>
      <c r="Q159" s="49">
        <v>23</v>
      </c>
      <c r="R159" s="49">
        <v>0</v>
      </c>
      <c r="S159" s="49">
        <v>2423.5652173913045</v>
      </c>
      <c r="T159" s="49">
        <v>2423.5652173913045</v>
      </c>
      <c r="U159" s="49">
        <v>0</v>
      </c>
      <c r="V159" s="49">
        <v>0</v>
      </c>
      <c r="W159" s="49">
        <v>0</v>
      </c>
      <c r="X159" s="49">
        <v>2423.5652173913045</v>
      </c>
      <c r="Y159" s="434">
        <v>55742</v>
      </c>
      <c r="Z159" s="434">
        <v>0</v>
      </c>
      <c r="AA159" s="49">
        <v>0</v>
      </c>
      <c r="AB159" s="49">
        <v>1</v>
      </c>
      <c r="AC159" s="49">
        <v>0</v>
      </c>
      <c r="AD159" s="285">
        <v>0</v>
      </c>
      <c r="AE159" s="285">
        <v>0</v>
      </c>
      <c r="AF159" s="359">
        <v>1</v>
      </c>
      <c r="AG159" s="360">
        <v>0</v>
      </c>
      <c r="AH159" s="360">
        <v>1</v>
      </c>
      <c r="AI159" s="361">
        <v>1</v>
      </c>
      <c r="AJ159" s="360">
        <v>0</v>
      </c>
      <c r="AK159" s="360">
        <v>0</v>
      </c>
      <c r="AL159" s="360">
        <v>0.95215839500773936</v>
      </c>
      <c r="AM159" s="360">
        <v>0.95215839500773936</v>
      </c>
      <c r="AN159" s="360">
        <v>0</v>
      </c>
      <c r="AO159" s="360">
        <v>0</v>
      </c>
      <c r="AP159" s="360">
        <v>0.95395462889797633</v>
      </c>
      <c r="AQ159" s="360">
        <v>0.95395462889797633</v>
      </c>
      <c r="AR159" s="360">
        <v>0</v>
      </c>
      <c r="AS159" s="360">
        <v>0</v>
      </c>
      <c r="AT159" s="360">
        <v>0</v>
      </c>
      <c r="AU159" s="360">
        <v>0.90660560918371424</v>
      </c>
      <c r="AV159" s="360">
        <v>0.92910286930209141</v>
      </c>
      <c r="AW159" s="360">
        <v>0.95215839500773936</v>
      </c>
      <c r="AX159" s="360">
        <v>0.97578603956386833</v>
      </c>
      <c r="AY159" s="360">
        <v>1</v>
      </c>
      <c r="AZ159" s="360">
        <v>0.91002943399587566</v>
      </c>
      <c r="BA159" s="360">
        <v>0.93173321878838855</v>
      </c>
      <c r="BB159" s="360">
        <v>0.95395462889797633</v>
      </c>
      <c r="BC159" s="360">
        <v>0.97670600945114305</v>
      </c>
      <c r="BD159" s="360">
        <v>1</v>
      </c>
      <c r="BE159" s="360">
        <v>0</v>
      </c>
      <c r="BF159" s="360">
        <v>0</v>
      </c>
      <c r="BG159" s="360">
        <v>0</v>
      </c>
      <c r="BH159" s="360">
        <v>0</v>
      </c>
      <c r="BI159" s="360">
        <v>0</v>
      </c>
      <c r="BJ159" s="362">
        <v>1.005122629011173</v>
      </c>
      <c r="BK159" s="362">
        <v>1.0102714993503321</v>
      </c>
      <c r="BL159" s="362">
        <v>1.0154467454420653</v>
      </c>
      <c r="BM159" s="363">
        <v>1.0087706286131499</v>
      </c>
      <c r="BN159" s="363">
        <v>1.0021384043232706</v>
      </c>
      <c r="BO159" s="363">
        <v>0.99893825202696962</v>
      </c>
      <c r="BP159" s="363">
        <v>0.99574831885277337</v>
      </c>
      <c r="BQ159" s="363">
        <v>0.99256857216771699</v>
      </c>
      <c r="BR159" s="363">
        <v>0.98939897944304356</v>
      </c>
      <c r="BS159" s="363">
        <v>0.98623950825387119</v>
      </c>
      <c r="BT159" s="363">
        <v>0.99353469017054841</v>
      </c>
      <c r="BU159" s="363">
        <v>1.0008838343131881</v>
      </c>
      <c r="BV159" s="363">
        <v>1.0082873398386394</v>
      </c>
      <c r="BW159" s="363">
        <v>1.0157456088563031</v>
      </c>
      <c r="BX159" s="363">
        <v>1.0232590464499682</v>
      </c>
      <c r="BY159" s="435">
        <v>1.0273836162928924</v>
      </c>
      <c r="BZ159" s="435">
        <v>1.0315081861358164</v>
      </c>
      <c r="CA159" s="435">
        <v>1.0356327559787406</v>
      </c>
      <c r="CB159" s="435">
        <v>1.0397573258216646</v>
      </c>
      <c r="CC159" s="363">
        <v>1.0438818956645888</v>
      </c>
      <c r="CD159" s="435">
        <v>1.0472628238511039</v>
      </c>
      <c r="CE159" s="435">
        <v>1.0506437520376191</v>
      </c>
      <c r="CF159" s="435">
        <v>1.0540246802241342</v>
      </c>
      <c r="CG159" s="435">
        <v>1.0574056084106493</v>
      </c>
      <c r="CH159" s="363">
        <v>1.0607865365971645</v>
      </c>
      <c r="CI159" s="362">
        <v>1.005122629011173</v>
      </c>
      <c r="CJ159" s="362">
        <v>1.0102714993503321</v>
      </c>
      <c r="CK159" s="362">
        <v>1.0154467454420653</v>
      </c>
      <c r="CL159" s="363">
        <v>1.0087706286131499</v>
      </c>
      <c r="CM159" s="363">
        <v>1.0021384043232706</v>
      </c>
      <c r="CN159" s="363">
        <v>0.99893825202696962</v>
      </c>
      <c r="CO159" s="363">
        <v>0.99574831885277337</v>
      </c>
      <c r="CP159" s="363">
        <v>0.99256857216771699</v>
      </c>
      <c r="CQ159" s="363">
        <v>0.98939897944304356</v>
      </c>
      <c r="CR159" s="363">
        <v>0.98623950825387119</v>
      </c>
      <c r="CS159" s="363">
        <v>0.99353469017054841</v>
      </c>
      <c r="CT159" s="363">
        <v>1.0008838343131881</v>
      </c>
      <c r="CU159" s="363">
        <v>1.0082873398386394</v>
      </c>
      <c r="CV159" s="363">
        <v>1.0157456088563031</v>
      </c>
      <c r="CW159" s="363">
        <v>1.0232590464499682</v>
      </c>
      <c r="CX159" s="435">
        <v>1.0273836162928924</v>
      </c>
      <c r="CY159" s="435">
        <v>1.0315081861358164</v>
      </c>
      <c r="CZ159" s="435">
        <v>1.0356327559787406</v>
      </c>
      <c r="DA159" s="435">
        <v>1.0397573258216646</v>
      </c>
      <c r="DB159" s="363">
        <v>1.0438818956645888</v>
      </c>
      <c r="DC159" s="435">
        <v>1.0472628238511039</v>
      </c>
      <c r="DD159" s="435">
        <v>1.0506437520376191</v>
      </c>
      <c r="DE159" s="435">
        <v>1.0540246802241342</v>
      </c>
      <c r="DF159" s="435">
        <v>1.0574056084106493</v>
      </c>
      <c r="DG159" s="363">
        <v>1.0607865365971645</v>
      </c>
      <c r="DH159" s="362">
        <v>0</v>
      </c>
      <c r="DI159" s="362">
        <v>0</v>
      </c>
      <c r="DJ159" s="362">
        <v>0</v>
      </c>
      <c r="DK159" s="363">
        <v>0</v>
      </c>
      <c r="DL159" s="363">
        <v>0</v>
      </c>
      <c r="DM159" s="363">
        <v>0</v>
      </c>
      <c r="DN159" s="363">
        <v>0</v>
      </c>
      <c r="DO159" s="363">
        <v>0</v>
      </c>
      <c r="DP159" s="363">
        <v>0</v>
      </c>
      <c r="DQ159" s="363">
        <v>0</v>
      </c>
      <c r="DR159" s="363">
        <v>0</v>
      </c>
      <c r="DS159" s="363">
        <v>0</v>
      </c>
      <c r="DT159" s="363">
        <v>0</v>
      </c>
      <c r="DU159" s="363">
        <v>0</v>
      </c>
      <c r="DV159" s="363">
        <v>0</v>
      </c>
      <c r="DW159" s="435">
        <v>0</v>
      </c>
      <c r="DX159" s="435">
        <v>0</v>
      </c>
      <c r="DY159" s="435">
        <v>0</v>
      </c>
      <c r="DZ159" s="435">
        <v>0</v>
      </c>
      <c r="EA159" s="363">
        <v>0</v>
      </c>
      <c r="EB159" s="435">
        <v>0</v>
      </c>
      <c r="EC159" s="435">
        <v>0</v>
      </c>
      <c r="ED159" s="435">
        <v>0</v>
      </c>
      <c r="EE159" s="435">
        <v>0</v>
      </c>
      <c r="EF159" s="363">
        <v>0</v>
      </c>
      <c r="EG159" s="364">
        <v>0</v>
      </c>
      <c r="EH159" s="364">
        <v>0</v>
      </c>
      <c r="EI159" s="364">
        <v>0</v>
      </c>
      <c r="EJ159" s="365">
        <v>0</v>
      </c>
      <c r="EK159" s="365">
        <v>0</v>
      </c>
      <c r="EL159" s="365">
        <v>0</v>
      </c>
      <c r="EM159" s="365">
        <v>0</v>
      </c>
      <c r="EN159" s="365">
        <v>0</v>
      </c>
      <c r="EO159" s="365">
        <v>0</v>
      </c>
      <c r="EP159" s="365">
        <v>0</v>
      </c>
      <c r="EQ159" s="365">
        <v>0</v>
      </c>
      <c r="ER159" s="365">
        <v>0</v>
      </c>
      <c r="ES159" s="365">
        <v>0</v>
      </c>
      <c r="ET159" s="365">
        <v>0</v>
      </c>
      <c r="EU159" s="365">
        <v>0</v>
      </c>
      <c r="EV159" s="436">
        <v>0</v>
      </c>
      <c r="EW159" s="436">
        <v>0</v>
      </c>
      <c r="EX159" s="436">
        <v>0</v>
      </c>
      <c r="EY159" s="436">
        <v>0</v>
      </c>
      <c r="EZ159" s="365">
        <v>0</v>
      </c>
      <c r="FA159" s="436">
        <v>0</v>
      </c>
      <c r="FB159" s="436">
        <v>0</v>
      </c>
      <c r="FC159" s="436">
        <v>0</v>
      </c>
      <c r="FD159" s="436">
        <v>0</v>
      </c>
      <c r="FE159" s="365">
        <v>0</v>
      </c>
      <c r="FF159" s="364">
        <v>0</v>
      </c>
      <c r="FG159" s="364">
        <v>0</v>
      </c>
      <c r="FH159" s="364">
        <v>0</v>
      </c>
      <c r="FI159" s="365">
        <v>0</v>
      </c>
      <c r="FJ159" s="365">
        <v>0</v>
      </c>
      <c r="FK159" s="365">
        <v>0</v>
      </c>
      <c r="FL159" s="365">
        <v>0</v>
      </c>
      <c r="FM159" s="365">
        <v>0</v>
      </c>
      <c r="FN159" s="365">
        <v>0</v>
      </c>
      <c r="FO159" s="365">
        <v>0</v>
      </c>
      <c r="FP159" s="365">
        <v>0</v>
      </c>
      <c r="FQ159" s="365">
        <v>0</v>
      </c>
      <c r="FR159" s="365">
        <v>0</v>
      </c>
      <c r="FS159" s="365">
        <v>0</v>
      </c>
      <c r="FT159" s="365">
        <v>0</v>
      </c>
      <c r="FU159" s="436">
        <v>0</v>
      </c>
      <c r="FV159" s="436">
        <v>0</v>
      </c>
      <c r="FW159" s="436">
        <v>0</v>
      </c>
      <c r="FX159" s="436">
        <v>0</v>
      </c>
      <c r="FY159" s="365">
        <v>0</v>
      </c>
      <c r="FZ159" s="436">
        <v>0</v>
      </c>
      <c r="GA159" s="436">
        <v>0</v>
      </c>
      <c r="GB159" s="436">
        <v>0</v>
      </c>
      <c r="GC159" s="436">
        <v>0</v>
      </c>
      <c r="GD159" s="365">
        <v>0</v>
      </c>
    </row>
    <row r="160" spans="1:186" ht="15" x14ac:dyDescent="0.25">
      <c r="A160" s="357">
        <v>101</v>
      </c>
      <c r="B160" s="357">
        <v>92</v>
      </c>
      <c r="C160" s="357" t="s">
        <v>1070</v>
      </c>
      <c r="D160" s="2">
        <v>99709</v>
      </c>
      <c r="E160" s="268" t="s">
        <v>1527</v>
      </c>
      <c r="F160" s="358" t="s">
        <v>985</v>
      </c>
      <c r="G160" s="49">
        <v>487</v>
      </c>
      <c r="H160" s="49">
        <v>178</v>
      </c>
      <c r="I160" s="49">
        <v>173</v>
      </c>
      <c r="J160" s="49">
        <v>5</v>
      </c>
      <c r="K160" s="49">
        <v>0</v>
      </c>
      <c r="L160" s="49">
        <v>127</v>
      </c>
      <c r="M160" s="49">
        <v>127</v>
      </c>
      <c r="N160" s="49">
        <v>0</v>
      </c>
      <c r="O160" s="49">
        <v>0</v>
      </c>
      <c r="P160" s="49">
        <v>0</v>
      </c>
      <c r="Q160" s="49">
        <v>127</v>
      </c>
      <c r="R160" s="49">
        <v>0</v>
      </c>
      <c r="S160" s="49">
        <v>3062.748031496063</v>
      </c>
      <c r="T160" s="49">
        <v>3062.748031496063</v>
      </c>
      <c r="U160" s="49">
        <v>0</v>
      </c>
      <c r="V160" s="49">
        <v>0</v>
      </c>
      <c r="W160" s="49">
        <v>0</v>
      </c>
      <c r="X160" s="49">
        <v>3062.748031496063</v>
      </c>
      <c r="Y160" s="434">
        <v>388969</v>
      </c>
      <c r="Z160" s="434">
        <v>0</v>
      </c>
      <c r="AA160" s="49">
        <v>0</v>
      </c>
      <c r="AB160" s="49">
        <v>178</v>
      </c>
      <c r="AC160" s="49">
        <v>0</v>
      </c>
      <c r="AD160" s="285">
        <v>0</v>
      </c>
      <c r="AE160" s="285">
        <v>0</v>
      </c>
      <c r="AF160" s="359">
        <v>178</v>
      </c>
      <c r="AG160" s="360">
        <v>0</v>
      </c>
      <c r="AH160" s="360">
        <v>173</v>
      </c>
      <c r="AI160" s="361">
        <v>173</v>
      </c>
      <c r="AJ160" s="360">
        <v>0</v>
      </c>
      <c r="AK160" s="360">
        <v>0</v>
      </c>
      <c r="AL160" s="360">
        <v>169.48419431137759</v>
      </c>
      <c r="AM160" s="360">
        <v>169.48419431137759</v>
      </c>
      <c r="AN160" s="360">
        <v>0</v>
      </c>
      <c r="AO160" s="360">
        <v>0</v>
      </c>
      <c r="AP160" s="360">
        <v>165.0341507993499</v>
      </c>
      <c r="AQ160" s="360">
        <v>165.0341507993499</v>
      </c>
      <c r="AR160" s="360">
        <v>0</v>
      </c>
      <c r="AS160" s="360">
        <v>0</v>
      </c>
      <c r="AT160" s="360">
        <v>0</v>
      </c>
      <c r="AU160" s="360">
        <v>161.37579843470112</v>
      </c>
      <c r="AV160" s="360">
        <v>165.38031073577227</v>
      </c>
      <c r="AW160" s="360">
        <v>169.48419431137759</v>
      </c>
      <c r="AX160" s="360">
        <v>173.68991504236857</v>
      </c>
      <c r="AY160" s="360">
        <v>178</v>
      </c>
      <c r="AZ160" s="360">
        <v>157.43509208128648</v>
      </c>
      <c r="BA160" s="360">
        <v>161.18984685039123</v>
      </c>
      <c r="BB160" s="360">
        <v>165.0341507993499</v>
      </c>
      <c r="BC160" s="360">
        <v>168.97013963504773</v>
      </c>
      <c r="BD160" s="360">
        <v>173</v>
      </c>
      <c r="BE160" s="360">
        <v>0</v>
      </c>
      <c r="BF160" s="360">
        <v>0</v>
      </c>
      <c r="BG160" s="360">
        <v>0</v>
      </c>
      <c r="BH160" s="360">
        <v>0</v>
      </c>
      <c r="BI160" s="360">
        <v>0</v>
      </c>
      <c r="BJ160" s="362">
        <v>179.43875859760942</v>
      </c>
      <c r="BK160" s="362">
        <v>180.8891465564671</v>
      </c>
      <c r="BL160" s="362">
        <v>182.35125787569373</v>
      </c>
      <c r="BM160" s="363">
        <v>181.15237836089673</v>
      </c>
      <c r="BN160" s="363">
        <v>179.96138095290689</v>
      </c>
      <c r="BO160" s="363">
        <v>179.38670601377925</v>
      </c>
      <c r="BP160" s="363">
        <v>178.81386619774253</v>
      </c>
      <c r="BQ160" s="363">
        <v>178.2428556446547</v>
      </c>
      <c r="BR160" s="363">
        <v>177.67366851308711</v>
      </c>
      <c r="BS160" s="363">
        <v>177.1062989802646</v>
      </c>
      <c r="BT160" s="363">
        <v>178.41634857657206</v>
      </c>
      <c r="BU160" s="363">
        <v>179.73608856760103</v>
      </c>
      <c r="BV160" s="363">
        <v>181.06559063288955</v>
      </c>
      <c r="BW160" s="363">
        <v>182.40492698218694</v>
      </c>
      <c r="BX160" s="363">
        <v>183.75417035937548</v>
      </c>
      <c r="BY160" s="435">
        <v>184.49484977208652</v>
      </c>
      <c r="BZ160" s="435">
        <v>185.23552918479754</v>
      </c>
      <c r="CA160" s="435">
        <v>185.97620859750859</v>
      </c>
      <c r="CB160" s="435">
        <v>186.71688801021961</v>
      </c>
      <c r="CC160" s="363">
        <v>187.45756742293065</v>
      </c>
      <c r="CD160" s="435">
        <v>188.06470562133023</v>
      </c>
      <c r="CE160" s="435">
        <v>188.67184381972982</v>
      </c>
      <c r="CF160" s="435">
        <v>189.27898201812943</v>
      </c>
      <c r="CG160" s="435">
        <v>189.88612021652901</v>
      </c>
      <c r="CH160" s="363">
        <v>190.49325841492859</v>
      </c>
      <c r="CI160" s="362">
        <v>174.39834403026083</v>
      </c>
      <c r="CJ160" s="362">
        <v>175.80799075431915</v>
      </c>
      <c r="CK160" s="362">
        <v>177.22903153087088</v>
      </c>
      <c r="CL160" s="363">
        <v>176.06382840693897</v>
      </c>
      <c r="CM160" s="363">
        <v>174.90628598231962</v>
      </c>
      <c r="CN160" s="363">
        <v>174.34775359766186</v>
      </c>
      <c r="CO160" s="363">
        <v>173.79100478769359</v>
      </c>
      <c r="CP160" s="363">
        <v>173.23603385688352</v>
      </c>
      <c r="CQ160" s="363">
        <v>172.68283512788804</v>
      </c>
      <c r="CR160" s="363">
        <v>172.13140294149312</v>
      </c>
      <c r="CS160" s="363">
        <v>173.40465339183689</v>
      </c>
      <c r="CT160" s="363">
        <v>174.68732203480326</v>
      </c>
      <c r="CU160" s="363">
        <v>175.97947853646008</v>
      </c>
      <c r="CV160" s="363">
        <v>177.28119307819293</v>
      </c>
      <c r="CW160" s="363">
        <v>178.59253636051662</v>
      </c>
      <c r="CX160" s="435">
        <v>179.31241017174702</v>
      </c>
      <c r="CY160" s="435">
        <v>180.03228398297742</v>
      </c>
      <c r="CZ160" s="435">
        <v>180.75215779420779</v>
      </c>
      <c r="DA160" s="435">
        <v>181.47203160543819</v>
      </c>
      <c r="DB160" s="363">
        <v>182.19190541666859</v>
      </c>
      <c r="DC160" s="435">
        <v>182.78198917129291</v>
      </c>
      <c r="DD160" s="435">
        <v>183.37207292591722</v>
      </c>
      <c r="DE160" s="435">
        <v>183.96215668054154</v>
      </c>
      <c r="DF160" s="435">
        <v>184.55224043516586</v>
      </c>
      <c r="DG160" s="363">
        <v>185.14232418979017</v>
      </c>
      <c r="DH160" s="362">
        <v>0</v>
      </c>
      <c r="DI160" s="362">
        <v>0</v>
      </c>
      <c r="DJ160" s="362">
        <v>0</v>
      </c>
      <c r="DK160" s="363">
        <v>0</v>
      </c>
      <c r="DL160" s="363">
        <v>0</v>
      </c>
      <c r="DM160" s="363">
        <v>0</v>
      </c>
      <c r="DN160" s="363">
        <v>0</v>
      </c>
      <c r="DO160" s="363">
        <v>0</v>
      </c>
      <c r="DP160" s="363">
        <v>0</v>
      </c>
      <c r="DQ160" s="363">
        <v>0</v>
      </c>
      <c r="DR160" s="363">
        <v>0</v>
      </c>
      <c r="DS160" s="363">
        <v>0</v>
      </c>
      <c r="DT160" s="363">
        <v>0</v>
      </c>
      <c r="DU160" s="363">
        <v>0</v>
      </c>
      <c r="DV160" s="363">
        <v>0</v>
      </c>
      <c r="DW160" s="435">
        <v>0</v>
      </c>
      <c r="DX160" s="435">
        <v>0</v>
      </c>
      <c r="DY160" s="435">
        <v>0</v>
      </c>
      <c r="DZ160" s="435">
        <v>0</v>
      </c>
      <c r="EA160" s="363">
        <v>0</v>
      </c>
      <c r="EB160" s="435">
        <v>0</v>
      </c>
      <c r="EC160" s="435">
        <v>0</v>
      </c>
      <c r="ED160" s="435">
        <v>0</v>
      </c>
      <c r="EE160" s="435">
        <v>0</v>
      </c>
      <c r="EF160" s="363">
        <v>0</v>
      </c>
      <c r="EG160" s="364">
        <v>0</v>
      </c>
      <c r="EH160" s="364">
        <v>0</v>
      </c>
      <c r="EI160" s="364">
        <v>0</v>
      </c>
      <c r="EJ160" s="365">
        <v>0</v>
      </c>
      <c r="EK160" s="365">
        <v>0</v>
      </c>
      <c r="EL160" s="365">
        <v>0</v>
      </c>
      <c r="EM160" s="365">
        <v>0</v>
      </c>
      <c r="EN160" s="365">
        <v>0</v>
      </c>
      <c r="EO160" s="365">
        <v>0</v>
      </c>
      <c r="EP160" s="365">
        <v>0</v>
      </c>
      <c r="EQ160" s="365">
        <v>0</v>
      </c>
      <c r="ER160" s="365">
        <v>0</v>
      </c>
      <c r="ES160" s="365">
        <v>0</v>
      </c>
      <c r="ET160" s="365">
        <v>0</v>
      </c>
      <c r="EU160" s="365">
        <v>0</v>
      </c>
      <c r="EV160" s="436">
        <v>0</v>
      </c>
      <c r="EW160" s="436">
        <v>0</v>
      </c>
      <c r="EX160" s="436">
        <v>0</v>
      </c>
      <c r="EY160" s="436">
        <v>0</v>
      </c>
      <c r="EZ160" s="365">
        <v>0</v>
      </c>
      <c r="FA160" s="436">
        <v>0</v>
      </c>
      <c r="FB160" s="436">
        <v>0</v>
      </c>
      <c r="FC160" s="436">
        <v>0</v>
      </c>
      <c r="FD160" s="436">
        <v>0</v>
      </c>
      <c r="FE160" s="365">
        <v>0</v>
      </c>
      <c r="FF160" s="364">
        <v>0</v>
      </c>
      <c r="FG160" s="364">
        <v>0</v>
      </c>
      <c r="FH160" s="364">
        <v>0</v>
      </c>
      <c r="FI160" s="365">
        <v>0</v>
      </c>
      <c r="FJ160" s="365">
        <v>0</v>
      </c>
      <c r="FK160" s="365">
        <v>0</v>
      </c>
      <c r="FL160" s="365">
        <v>0</v>
      </c>
      <c r="FM160" s="365">
        <v>0</v>
      </c>
      <c r="FN160" s="365">
        <v>0</v>
      </c>
      <c r="FO160" s="365">
        <v>0</v>
      </c>
      <c r="FP160" s="365">
        <v>0</v>
      </c>
      <c r="FQ160" s="365">
        <v>0</v>
      </c>
      <c r="FR160" s="365">
        <v>0</v>
      </c>
      <c r="FS160" s="365">
        <v>0</v>
      </c>
      <c r="FT160" s="365">
        <v>0</v>
      </c>
      <c r="FU160" s="436">
        <v>0</v>
      </c>
      <c r="FV160" s="436">
        <v>0</v>
      </c>
      <c r="FW160" s="436">
        <v>0</v>
      </c>
      <c r="FX160" s="436">
        <v>0</v>
      </c>
      <c r="FY160" s="365">
        <v>0</v>
      </c>
      <c r="FZ160" s="436">
        <v>0</v>
      </c>
      <c r="GA160" s="436">
        <v>0</v>
      </c>
      <c r="GB160" s="436">
        <v>0</v>
      </c>
      <c r="GC160" s="436">
        <v>0</v>
      </c>
      <c r="GD160" s="365">
        <v>0</v>
      </c>
    </row>
    <row r="161" spans="1:186" ht="15" x14ac:dyDescent="0.25">
      <c r="A161" s="357">
        <v>102</v>
      </c>
      <c r="B161" s="357">
        <v>92</v>
      </c>
      <c r="C161" s="357" t="s">
        <v>1071</v>
      </c>
      <c r="D161" s="2">
        <v>99709</v>
      </c>
      <c r="E161" s="268" t="s">
        <v>1527</v>
      </c>
      <c r="F161" s="358" t="s">
        <v>985</v>
      </c>
      <c r="G161" s="49">
        <v>320</v>
      </c>
      <c r="H161" s="49">
        <v>172</v>
      </c>
      <c r="I161" s="49">
        <v>149</v>
      </c>
      <c r="J161" s="49">
        <v>23</v>
      </c>
      <c r="K161" s="49">
        <v>1</v>
      </c>
      <c r="L161" s="49">
        <v>89</v>
      </c>
      <c r="M161" s="49">
        <v>90</v>
      </c>
      <c r="N161" s="49">
        <v>12</v>
      </c>
      <c r="O161" s="49">
        <v>0</v>
      </c>
      <c r="P161" s="49">
        <v>0</v>
      </c>
      <c r="Q161" s="49">
        <v>102</v>
      </c>
      <c r="R161" s="49">
        <v>4000</v>
      </c>
      <c r="S161" s="49">
        <v>2038.6629213483145</v>
      </c>
      <c r="T161" s="49">
        <v>2060.4555555555557</v>
      </c>
      <c r="U161" s="49">
        <v>4407.75</v>
      </c>
      <c r="V161" s="49">
        <v>0</v>
      </c>
      <c r="W161" s="49">
        <v>0</v>
      </c>
      <c r="X161" s="49">
        <v>2336.6078431372548</v>
      </c>
      <c r="Y161" s="434">
        <v>185441.00000000003</v>
      </c>
      <c r="Z161" s="434">
        <v>52893</v>
      </c>
      <c r="AA161" s="49">
        <v>1.9111111111111112</v>
      </c>
      <c r="AB161" s="49">
        <v>170.0888888888889</v>
      </c>
      <c r="AC161" s="49">
        <v>0</v>
      </c>
      <c r="AD161" s="285">
        <v>12</v>
      </c>
      <c r="AE161" s="285">
        <v>0</v>
      </c>
      <c r="AF161" s="359">
        <v>184</v>
      </c>
      <c r="AG161" s="360">
        <v>1.6555555555555557</v>
      </c>
      <c r="AH161" s="360">
        <v>147.34444444444446</v>
      </c>
      <c r="AI161" s="361">
        <v>149.00000000000003</v>
      </c>
      <c r="AJ161" s="360">
        <v>0</v>
      </c>
      <c r="AK161" s="360">
        <v>1.819680488237013</v>
      </c>
      <c r="AL161" s="360">
        <v>161.95156345309417</v>
      </c>
      <c r="AM161" s="360">
        <v>163.77124394133119</v>
      </c>
      <c r="AN161" s="360">
        <v>0</v>
      </c>
      <c r="AO161" s="360">
        <v>1.5793248856199831</v>
      </c>
      <c r="AP161" s="360">
        <v>140.55991482017851</v>
      </c>
      <c r="AQ161" s="360">
        <v>142.1392397057985</v>
      </c>
      <c r="AR161" s="360">
        <v>0</v>
      </c>
      <c r="AS161" s="360">
        <v>11.51598886201489</v>
      </c>
      <c r="AT161" s="360">
        <v>0</v>
      </c>
      <c r="AU161" s="360">
        <v>155.93616477959884</v>
      </c>
      <c r="AV161" s="360">
        <v>159.8056935199597</v>
      </c>
      <c r="AW161" s="360">
        <v>163.77124394133116</v>
      </c>
      <c r="AX161" s="360">
        <v>167.83519880498537</v>
      </c>
      <c r="AY161" s="360">
        <v>172</v>
      </c>
      <c r="AZ161" s="360">
        <v>135.59438566538549</v>
      </c>
      <c r="BA161" s="360">
        <v>138.82824959946993</v>
      </c>
      <c r="BB161" s="360">
        <v>142.1392397057985</v>
      </c>
      <c r="BC161" s="360">
        <v>145.52919540822035</v>
      </c>
      <c r="BD161" s="360">
        <v>149.00000000000003</v>
      </c>
      <c r="BE161" s="360">
        <v>11.051499955837585</v>
      </c>
      <c r="BF161" s="360">
        <v>11.281354103120055</v>
      </c>
      <c r="BG161" s="360">
        <v>11.51598886201489</v>
      </c>
      <c r="BH161" s="360">
        <v>11.755503661867436</v>
      </c>
      <c r="BI161" s="360">
        <v>12</v>
      </c>
      <c r="BJ161" s="362">
        <v>173.39026111679112</v>
      </c>
      <c r="BK161" s="362">
        <v>174.79175959388954</v>
      </c>
      <c r="BL161" s="362">
        <v>176.20458626190631</v>
      </c>
      <c r="BM161" s="363">
        <v>175.04611841614741</v>
      </c>
      <c r="BN161" s="363">
        <v>173.89526698820217</v>
      </c>
      <c r="BO161" s="363">
        <v>173.33996311443838</v>
      </c>
      <c r="BP161" s="363">
        <v>172.78643250568379</v>
      </c>
      <c r="BQ161" s="363">
        <v>172.23466949932927</v>
      </c>
      <c r="BR161" s="363">
        <v>171.68466845084822</v>
      </c>
      <c r="BS161" s="363">
        <v>171.13642373373884</v>
      </c>
      <c r="BT161" s="363">
        <v>172.40231435488985</v>
      </c>
      <c r="BU161" s="363">
        <v>173.6775687282437</v>
      </c>
      <c r="BV161" s="363">
        <v>174.96225611717418</v>
      </c>
      <c r="BW161" s="363">
        <v>176.25644629739412</v>
      </c>
      <c r="BX161" s="363">
        <v>177.56020956074485</v>
      </c>
      <c r="BY161" s="435">
        <v>178.27592225167911</v>
      </c>
      <c r="BZ161" s="435">
        <v>178.99163494261336</v>
      </c>
      <c r="CA161" s="435">
        <v>179.70734763354764</v>
      </c>
      <c r="CB161" s="435">
        <v>180.4230603244819</v>
      </c>
      <c r="CC161" s="363">
        <v>181.13877301541615</v>
      </c>
      <c r="CD161" s="435">
        <v>181.72544588128542</v>
      </c>
      <c r="CE161" s="435">
        <v>182.3121187471547</v>
      </c>
      <c r="CF161" s="435">
        <v>182.89879161302395</v>
      </c>
      <c r="CG161" s="435">
        <v>183.48546447889322</v>
      </c>
      <c r="CH161" s="363">
        <v>184.0721373447625</v>
      </c>
      <c r="CI161" s="362">
        <v>150.20435410698769</v>
      </c>
      <c r="CJ161" s="362">
        <v>151.418442904009</v>
      </c>
      <c r="CK161" s="362">
        <v>152.64234507572118</v>
      </c>
      <c r="CL161" s="363">
        <v>151.63878862794166</v>
      </c>
      <c r="CM161" s="363">
        <v>150.64183012350074</v>
      </c>
      <c r="CN161" s="363">
        <v>150.16078200029838</v>
      </c>
      <c r="CO161" s="363">
        <v>149.68127001945865</v>
      </c>
      <c r="CP161" s="363">
        <v>149.20328927558177</v>
      </c>
      <c r="CQ161" s="363">
        <v>148.72683487893249</v>
      </c>
      <c r="CR161" s="363">
        <v>148.25190195539005</v>
      </c>
      <c r="CS161" s="363">
        <v>149.34851650510811</v>
      </c>
      <c r="CT161" s="363">
        <v>150.45324267737391</v>
      </c>
      <c r="CU161" s="363">
        <v>151.56614047359858</v>
      </c>
      <c r="CV161" s="363">
        <v>152.68727033902167</v>
      </c>
      <c r="CW161" s="363">
        <v>153.81669316599411</v>
      </c>
      <c r="CX161" s="435">
        <v>154.4367000901174</v>
      </c>
      <c r="CY161" s="435">
        <v>155.05670701424069</v>
      </c>
      <c r="CZ161" s="435">
        <v>155.67671393836395</v>
      </c>
      <c r="DA161" s="435">
        <v>156.29672086248723</v>
      </c>
      <c r="DB161" s="363">
        <v>156.91672778661052</v>
      </c>
      <c r="DC161" s="435">
        <v>157.42495021111355</v>
      </c>
      <c r="DD161" s="435">
        <v>157.93317263561659</v>
      </c>
      <c r="DE161" s="435">
        <v>158.44139506011959</v>
      </c>
      <c r="DF161" s="435">
        <v>158.94961748462262</v>
      </c>
      <c r="DG161" s="363">
        <v>159.45783990912565</v>
      </c>
      <c r="DH161" s="362">
        <v>12.096994961636589</v>
      </c>
      <c r="DI161" s="362">
        <v>12.194773925155085</v>
      </c>
      <c r="DJ161" s="362">
        <v>12.293343227574859</v>
      </c>
      <c r="DK161" s="363">
        <v>12.212519889498656</v>
      </c>
      <c r="DL161" s="363">
        <v>12.132227929409453</v>
      </c>
      <c r="DM161" s="363">
        <v>12.093485798681746</v>
      </c>
      <c r="DN161" s="363">
        <v>12.054867384117474</v>
      </c>
      <c r="DO161" s="363">
        <v>12.01637229065088</v>
      </c>
      <c r="DP161" s="363">
        <v>11.978000124477783</v>
      </c>
      <c r="DQ161" s="363">
        <v>11.939750493051546</v>
      </c>
      <c r="DR161" s="363">
        <v>12.028068443364409</v>
      </c>
      <c r="DS161" s="363">
        <v>12.117039678714676</v>
      </c>
      <c r="DT161" s="363">
        <v>12.206669031430756</v>
      </c>
      <c r="DU161" s="363">
        <v>12.296961369585636</v>
      </c>
      <c r="DV161" s="363">
        <v>12.387921597261268</v>
      </c>
      <c r="DW161" s="435">
        <v>12.437855040814821</v>
      </c>
      <c r="DX161" s="435">
        <v>12.487788484368375</v>
      </c>
      <c r="DY161" s="435">
        <v>12.537721927921927</v>
      </c>
      <c r="DZ161" s="435">
        <v>12.587655371475481</v>
      </c>
      <c r="EA161" s="363">
        <v>12.637588815029034</v>
      </c>
      <c r="EB161" s="435">
        <v>12.67851948008968</v>
      </c>
      <c r="EC161" s="435">
        <v>12.719450145150326</v>
      </c>
      <c r="ED161" s="435">
        <v>12.760380810210973</v>
      </c>
      <c r="EE161" s="435">
        <v>12.801311475271619</v>
      </c>
      <c r="EF161" s="363">
        <v>12.842242140332266</v>
      </c>
      <c r="EG161" s="364">
        <v>0</v>
      </c>
      <c r="EH161" s="364">
        <v>0</v>
      </c>
      <c r="EI161" s="364">
        <v>0</v>
      </c>
      <c r="EJ161" s="365">
        <v>0</v>
      </c>
      <c r="EK161" s="365">
        <v>0</v>
      </c>
      <c r="EL161" s="365">
        <v>0</v>
      </c>
      <c r="EM161" s="365">
        <v>0</v>
      </c>
      <c r="EN161" s="365">
        <v>0</v>
      </c>
      <c r="EO161" s="365">
        <v>0</v>
      </c>
      <c r="EP161" s="365">
        <v>0</v>
      </c>
      <c r="EQ161" s="365">
        <v>0</v>
      </c>
      <c r="ER161" s="365">
        <v>0</v>
      </c>
      <c r="ES161" s="365">
        <v>0</v>
      </c>
      <c r="ET161" s="365">
        <v>0</v>
      </c>
      <c r="EU161" s="365">
        <v>0</v>
      </c>
      <c r="EV161" s="436">
        <v>0</v>
      </c>
      <c r="EW161" s="436">
        <v>0</v>
      </c>
      <c r="EX161" s="436">
        <v>0</v>
      </c>
      <c r="EY161" s="436">
        <v>0</v>
      </c>
      <c r="EZ161" s="365">
        <v>0</v>
      </c>
      <c r="FA161" s="436">
        <v>0</v>
      </c>
      <c r="FB161" s="436">
        <v>0</v>
      </c>
      <c r="FC161" s="436">
        <v>0</v>
      </c>
      <c r="FD161" s="436">
        <v>0</v>
      </c>
      <c r="FE161" s="365">
        <v>0</v>
      </c>
      <c r="FF161" s="364">
        <v>0</v>
      </c>
      <c r="FG161" s="364">
        <v>0</v>
      </c>
      <c r="FH161" s="364">
        <v>0</v>
      </c>
      <c r="FI161" s="365">
        <v>0</v>
      </c>
      <c r="FJ161" s="365">
        <v>0</v>
      </c>
      <c r="FK161" s="365">
        <v>0</v>
      </c>
      <c r="FL161" s="365">
        <v>0</v>
      </c>
      <c r="FM161" s="365">
        <v>0</v>
      </c>
      <c r="FN161" s="365">
        <v>0</v>
      </c>
      <c r="FO161" s="365">
        <v>0</v>
      </c>
      <c r="FP161" s="365">
        <v>0</v>
      </c>
      <c r="FQ161" s="365">
        <v>0</v>
      </c>
      <c r="FR161" s="365">
        <v>0</v>
      </c>
      <c r="FS161" s="365">
        <v>0</v>
      </c>
      <c r="FT161" s="365">
        <v>0</v>
      </c>
      <c r="FU161" s="436">
        <v>0</v>
      </c>
      <c r="FV161" s="436">
        <v>0</v>
      </c>
      <c r="FW161" s="436">
        <v>0</v>
      </c>
      <c r="FX161" s="436">
        <v>0</v>
      </c>
      <c r="FY161" s="365">
        <v>0</v>
      </c>
      <c r="FZ161" s="436">
        <v>0</v>
      </c>
      <c r="GA161" s="436">
        <v>0</v>
      </c>
      <c r="GB161" s="436">
        <v>0</v>
      </c>
      <c r="GC161" s="436">
        <v>0</v>
      </c>
      <c r="GD161" s="365">
        <v>0</v>
      </c>
    </row>
    <row r="162" spans="1:186" ht="15" x14ac:dyDescent="0.25">
      <c r="A162" s="357">
        <v>103</v>
      </c>
      <c r="B162" s="357">
        <v>92</v>
      </c>
      <c r="C162" s="357" t="s">
        <v>1072</v>
      </c>
      <c r="D162" s="2">
        <v>99709</v>
      </c>
      <c r="E162" s="268" t="s">
        <v>1527</v>
      </c>
      <c r="F162" s="358" t="s">
        <v>985</v>
      </c>
      <c r="G162" s="49">
        <v>138</v>
      </c>
      <c r="H162" s="49">
        <v>55</v>
      </c>
      <c r="I162" s="49">
        <v>49</v>
      </c>
      <c r="J162" s="49">
        <v>6</v>
      </c>
      <c r="K162" s="49">
        <v>3</v>
      </c>
      <c r="L162" s="49">
        <v>127</v>
      </c>
      <c r="M162" s="49">
        <v>130</v>
      </c>
      <c r="N162" s="49">
        <v>5</v>
      </c>
      <c r="O162" s="49">
        <v>0</v>
      </c>
      <c r="P162" s="49">
        <v>0</v>
      </c>
      <c r="Q162" s="49">
        <v>135</v>
      </c>
      <c r="R162" s="49">
        <v>3599</v>
      </c>
      <c r="S162" s="49">
        <v>2650.1732283464567</v>
      </c>
      <c r="T162" s="49">
        <v>2672.0692307692307</v>
      </c>
      <c r="U162" s="49">
        <v>6711.2</v>
      </c>
      <c r="V162" s="49">
        <v>0</v>
      </c>
      <c r="W162" s="49">
        <v>0</v>
      </c>
      <c r="X162" s="49">
        <v>2821.6666666666665</v>
      </c>
      <c r="Y162" s="434">
        <v>347369</v>
      </c>
      <c r="Z162" s="434">
        <v>33556</v>
      </c>
      <c r="AA162" s="49">
        <v>1.2692307692307692</v>
      </c>
      <c r="AB162" s="49">
        <v>53.730769230769234</v>
      </c>
      <c r="AC162" s="49">
        <v>0</v>
      </c>
      <c r="AD162" s="285">
        <v>5</v>
      </c>
      <c r="AE162" s="285">
        <v>0</v>
      </c>
      <c r="AF162" s="359">
        <v>60</v>
      </c>
      <c r="AG162" s="360">
        <v>1.1307692307692307</v>
      </c>
      <c r="AH162" s="360">
        <v>47.869230769230768</v>
      </c>
      <c r="AI162" s="361">
        <v>49</v>
      </c>
      <c r="AJ162" s="360">
        <v>0</v>
      </c>
      <c r="AK162" s="360">
        <v>1.2085087321252075</v>
      </c>
      <c r="AL162" s="360">
        <v>51.160202993300459</v>
      </c>
      <c r="AM162" s="360">
        <v>52.368711725425669</v>
      </c>
      <c r="AN162" s="360">
        <v>0</v>
      </c>
      <c r="AO162" s="360">
        <v>1.0787025419077116</v>
      </c>
      <c r="AP162" s="360">
        <v>45.665074274093129</v>
      </c>
      <c r="AQ162" s="360">
        <v>46.743776816000839</v>
      </c>
      <c r="AR162" s="360">
        <v>0</v>
      </c>
      <c r="AS162" s="360">
        <v>4.7983286925062041</v>
      </c>
      <c r="AT162" s="360">
        <v>0</v>
      </c>
      <c r="AU162" s="360">
        <v>49.863308505104278</v>
      </c>
      <c r="AV162" s="360">
        <v>51.100657811615022</v>
      </c>
      <c r="AW162" s="360">
        <v>52.368711725425662</v>
      </c>
      <c r="AX162" s="360">
        <v>53.668232176012758</v>
      </c>
      <c r="AY162" s="360">
        <v>55</v>
      </c>
      <c r="AZ162" s="360">
        <v>44.591442265797909</v>
      </c>
      <c r="BA162" s="360">
        <v>45.654927720631036</v>
      </c>
      <c r="BB162" s="360">
        <v>46.743776816000839</v>
      </c>
      <c r="BC162" s="360">
        <v>47.858594463106009</v>
      </c>
      <c r="BD162" s="360">
        <v>49</v>
      </c>
      <c r="BE162" s="360">
        <v>4.6047916482656603</v>
      </c>
      <c r="BF162" s="360">
        <v>4.700564209633356</v>
      </c>
      <c r="BG162" s="360">
        <v>4.7983286925062041</v>
      </c>
      <c r="BH162" s="360">
        <v>4.8981265257780979</v>
      </c>
      <c r="BI162" s="360">
        <v>5</v>
      </c>
      <c r="BJ162" s="362">
        <v>55.44456024083437</v>
      </c>
      <c r="BK162" s="362">
        <v>55.892713823627474</v>
      </c>
      <c r="BL162" s="362">
        <v>56.344489793051437</v>
      </c>
      <c r="BM162" s="363">
        <v>55.97404949353551</v>
      </c>
      <c r="BN162" s="363">
        <v>55.606044676459994</v>
      </c>
      <c r="BO162" s="363">
        <v>55.428476577291342</v>
      </c>
      <c r="BP162" s="363">
        <v>55.251475510538427</v>
      </c>
      <c r="BQ162" s="363">
        <v>55.075039665483203</v>
      </c>
      <c r="BR162" s="363">
        <v>54.899167237189836</v>
      </c>
      <c r="BS162" s="363">
        <v>54.72385642648625</v>
      </c>
      <c r="BT162" s="363">
        <v>55.128647032086874</v>
      </c>
      <c r="BU162" s="363">
        <v>55.5364318607756</v>
      </c>
      <c r="BV162" s="363">
        <v>55.947233060724301</v>
      </c>
      <c r="BW162" s="363">
        <v>56.361072943934161</v>
      </c>
      <c r="BX162" s="363">
        <v>56.777973987447481</v>
      </c>
      <c r="BY162" s="435">
        <v>57.006835603734601</v>
      </c>
      <c r="BZ162" s="435">
        <v>57.23569722002172</v>
      </c>
      <c r="CA162" s="435">
        <v>57.464558836308832</v>
      </c>
      <c r="CB162" s="435">
        <v>57.693420452595952</v>
      </c>
      <c r="CC162" s="363">
        <v>57.922282068883071</v>
      </c>
      <c r="CD162" s="435">
        <v>58.109880950411032</v>
      </c>
      <c r="CE162" s="435">
        <v>58.297479831938993</v>
      </c>
      <c r="CF162" s="435">
        <v>58.485078713466962</v>
      </c>
      <c r="CG162" s="435">
        <v>58.672677594994923</v>
      </c>
      <c r="CH162" s="363">
        <v>58.860276476522884</v>
      </c>
      <c r="CI162" s="362">
        <v>49.396062760016072</v>
      </c>
      <c r="CJ162" s="362">
        <v>49.795326861049929</v>
      </c>
      <c r="CK162" s="362">
        <v>50.197818179264004</v>
      </c>
      <c r="CL162" s="363">
        <v>49.867789548786178</v>
      </c>
      <c r="CM162" s="363">
        <v>49.539930711755268</v>
      </c>
      <c r="CN162" s="363">
        <v>49.381733677950464</v>
      </c>
      <c r="CO162" s="363">
        <v>49.224041818479684</v>
      </c>
      <c r="CP162" s="363">
        <v>49.066853520157757</v>
      </c>
      <c r="CQ162" s="363">
        <v>48.910167174950942</v>
      </c>
      <c r="CR162" s="363">
        <v>48.753981179960476</v>
      </c>
      <c r="CS162" s="363">
        <v>49.114612810404665</v>
      </c>
      <c r="CT162" s="363">
        <v>49.477912021418263</v>
      </c>
      <c r="CU162" s="363">
        <v>49.843898545008919</v>
      </c>
      <c r="CV162" s="363">
        <v>50.212592259141346</v>
      </c>
      <c r="CW162" s="363">
        <v>50.584013188816847</v>
      </c>
      <c r="CX162" s="435">
        <v>50.787908083327189</v>
      </c>
      <c r="CY162" s="435">
        <v>50.99180297783753</v>
      </c>
      <c r="CZ162" s="435">
        <v>51.195697872347871</v>
      </c>
      <c r="DA162" s="435">
        <v>51.399592766858213</v>
      </c>
      <c r="DB162" s="363">
        <v>51.603487661368554</v>
      </c>
      <c r="DC162" s="435">
        <v>51.770621210366194</v>
      </c>
      <c r="DD162" s="435">
        <v>51.937754759363834</v>
      </c>
      <c r="DE162" s="435">
        <v>52.104888308361467</v>
      </c>
      <c r="DF162" s="435">
        <v>52.272021857359107</v>
      </c>
      <c r="DG162" s="363">
        <v>52.439155406356747</v>
      </c>
      <c r="DH162" s="362">
        <v>5.040414567348579</v>
      </c>
      <c r="DI162" s="362">
        <v>5.0811558021479524</v>
      </c>
      <c r="DJ162" s="362">
        <v>5.1222263448228578</v>
      </c>
      <c r="DK162" s="363">
        <v>5.0885499539577737</v>
      </c>
      <c r="DL162" s="363">
        <v>5.0550949705872723</v>
      </c>
      <c r="DM162" s="363">
        <v>5.038952416117394</v>
      </c>
      <c r="DN162" s="363">
        <v>5.0228614100489475</v>
      </c>
      <c r="DO162" s="363">
        <v>5.0068217877711998</v>
      </c>
      <c r="DP162" s="363">
        <v>4.9908333851990756</v>
      </c>
      <c r="DQ162" s="363">
        <v>4.9748960387714778</v>
      </c>
      <c r="DR162" s="363">
        <v>5.0116951847351707</v>
      </c>
      <c r="DS162" s="363">
        <v>5.0487665327977815</v>
      </c>
      <c r="DT162" s="363">
        <v>5.0861120964294813</v>
      </c>
      <c r="DU162" s="363">
        <v>5.1237339039940144</v>
      </c>
      <c r="DV162" s="363">
        <v>5.1616339988588615</v>
      </c>
      <c r="DW162" s="435">
        <v>5.1824396003395083</v>
      </c>
      <c r="DX162" s="435">
        <v>5.203245201820156</v>
      </c>
      <c r="DY162" s="435">
        <v>5.2240508033008028</v>
      </c>
      <c r="DZ162" s="435">
        <v>5.2448564047814505</v>
      </c>
      <c r="EA162" s="363">
        <v>5.2656620062620973</v>
      </c>
      <c r="EB162" s="435">
        <v>5.2827164500373671</v>
      </c>
      <c r="EC162" s="435">
        <v>5.299770893812636</v>
      </c>
      <c r="ED162" s="435">
        <v>5.3168253375879058</v>
      </c>
      <c r="EE162" s="435">
        <v>5.3338797813631746</v>
      </c>
      <c r="EF162" s="363">
        <v>5.3509342251384444</v>
      </c>
      <c r="EG162" s="364">
        <v>0</v>
      </c>
      <c r="EH162" s="364">
        <v>0</v>
      </c>
      <c r="EI162" s="364">
        <v>0</v>
      </c>
      <c r="EJ162" s="365">
        <v>0</v>
      </c>
      <c r="EK162" s="365">
        <v>0</v>
      </c>
      <c r="EL162" s="365">
        <v>0</v>
      </c>
      <c r="EM162" s="365">
        <v>0</v>
      </c>
      <c r="EN162" s="365">
        <v>0</v>
      </c>
      <c r="EO162" s="365">
        <v>0</v>
      </c>
      <c r="EP162" s="365">
        <v>0</v>
      </c>
      <c r="EQ162" s="365">
        <v>0</v>
      </c>
      <c r="ER162" s="365">
        <v>0</v>
      </c>
      <c r="ES162" s="365">
        <v>0</v>
      </c>
      <c r="ET162" s="365">
        <v>0</v>
      </c>
      <c r="EU162" s="365">
        <v>0</v>
      </c>
      <c r="EV162" s="436">
        <v>0</v>
      </c>
      <c r="EW162" s="436">
        <v>0</v>
      </c>
      <c r="EX162" s="436">
        <v>0</v>
      </c>
      <c r="EY162" s="436">
        <v>0</v>
      </c>
      <c r="EZ162" s="365">
        <v>0</v>
      </c>
      <c r="FA162" s="436">
        <v>0</v>
      </c>
      <c r="FB162" s="436">
        <v>0</v>
      </c>
      <c r="FC162" s="436">
        <v>0</v>
      </c>
      <c r="FD162" s="436">
        <v>0</v>
      </c>
      <c r="FE162" s="365">
        <v>0</v>
      </c>
      <c r="FF162" s="364">
        <v>0</v>
      </c>
      <c r="FG162" s="364">
        <v>0</v>
      </c>
      <c r="FH162" s="364">
        <v>0</v>
      </c>
      <c r="FI162" s="365">
        <v>0</v>
      </c>
      <c r="FJ162" s="365">
        <v>0</v>
      </c>
      <c r="FK162" s="365">
        <v>0</v>
      </c>
      <c r="FL162" s="365">
        <v>0</v>
      </c>
      <c r="FM162" s="365">
        <v>0</v>
      </c>
      <c r="FN162" s="365">
        <v>0</v>
      </c>
      <c r="FO162" s="365">
        <v>0</v>
      </c>
      <c r="FP162" s="365">
        <v>0</v>
      </c>
      <c r="FQ162" s="365">
        <v>0</v>
      </c>
      <c r="FR162" s="365">
        <v>0</v>
      </c>
      <c r="FS162" s="365">
        <v>0</v>
      </c>
      <c r="FT162" s="365">
        <v>0</v>
      </c>
      <c r="FU162" s="436">
        <v>0</v>
      </c>
      <c r="FV162" s="436">
        <v>0</v>
      </c>
      <c r="FW162" s="436">
        <v>0</v>
      </c>
      <c r="FX162" s="436">
        <v>0</v>
      </c>
      <c r="FY162" s="365">
        <v>0</v>
      </c>
      <c r="FZ162" s="436">
        <v>0</v>
      </c>
      <c r="GA162" s="436">
        <v>0</v>
      </c>
      <c r="GB162" s="436">
        <v>0</v>
      </c>
      <c r="GC162" s="436">
        <v>0</v>
      </c>
      <c r="GD162" s="365">
        <v>0</v>
      </c>
    </row>
    <row r="163" spans="1:186" ht="15" x14ac:dyDescent="0.25">
      <c r="A163" s="357">
        <v>104</v>
      </c>
      <c r="B163" s="357">
        <v>92</v>
      </c>
      <c r="C163" s="357" t="s">
        <v>1073</v>
      </c>
      <c r="D163" s="2">
        <v>99709</v>
      </c>
      <c r="E163" s="268" t="s">
        <v>1527</v>
      </c>
      <c r="F163" s="358" t="s">
        <v>985</v>
      </c>
      <c r="G163" s="49">
        <v>100</v>
      </c>
      <c r="H163" s="49">
        <v>47</v>
      </c>
      <c r="I163" s="49">
        <v>43</v>
      </c>
      <c r="J163" s="49">
        <v>4</v>
      </c>
      <c r="K163" s="49">
        <v>1</v>
      </c>
      <c r="L163" s="49">
        <v>44</v>
      </c>
      <c r="M163" s="49">
        <v>45</v>
      </c>
      <c r="N163" s="49">
        <v>17</v>
      </c>
      <c r="O163" s="49">
        <v>0</v>
      </c>
      <c r="P163" s="49">
        <v>0</v>
      </c>
      <c r="Q163" s="49">
        <v>62</v>
      </c>
      <c r="R163" s="49">
        <v>4608</v>
      </c>
      <c r="S163" s="49">
        <v>2256.7727272727275</v>
      </c>
      <c r="T163" s="49">
        <v>2309.0222222222224</v>
      </c>
      <c r="U163" s="49">
        <v>10169.117647058823</v>
      </c>
      <c r="V163" s="49">
        <v>0</v>
      </c>
      <c r="W163" s="49">
        <v>0</v>
      </c>
      <c r="X163" s="49">
        <v>4464.2096774193551</v>
      </c>
      <c r="Y163" s="434">
        <v>103906</v>
      </c>
      <c r="Z163" s="434">
        <v>172875</v>
      </c>
      <c r="AA163" s="49">
        <v>1.0444444444444445</v>
      </c>
      <c r="AB163" s="49">
        <v>45.955555555555556</v>
      </c>
      <c r="AC163" s="49">
        <v>0</v>
      </c>
      <c r="AD163" s="285">
        <v>17</v>
      </c>
      <c r="AE163" s="285">
        <v>0</v>
      </c>
      <c r="AF163" s="359">
        <v>64</v>
      </c>
      <c r="AG163" s="360">
        <v>0.9555555555555556</v>
      </c>
      <c r="AH163" s="360">
        <v>42.044444444444444</v>
      </c>
      <c r="AI163" s="361">
        <v>43</v>
      </c>
      <c r="AJ163" s="360">
        <v>0</v>
      </c>
      <c r="AK163" s="360">
        <v>0.99447654589697232</v>
      </c>
      <c r="AL163" s="360">
        <v>43.756968019466775</v>
      </c>
      <c r="AM163" s="360">
        <v>44.751444565363748</v>
      </c>
      <c r="AN163" s="360">
        <v>0</v>
      </c>
      <c r="AO163" s="360">
        <v>0.91155664539139958</v>
      </c>
      <c r="AP163" s="360">
        <v>40.108492397221582</v>
      </c>
      <c r="AQ163" s="360">
        <v>41.020049042612982</v>
      </c>
      <c r="AR163" s="360">
        <v>0</v>
      </c>
      <c r="AS163" s="360">
        <v>16.314317554521097</v>
      </c>
      <c r="AT163" s="360">
        <v>0</v>
      </c>
      <c r="AU163" s="360">
        <v>42.610463631634566</v>
      </c>
      <c r="AV163" s="360">
        <v>43.667834857198294</v>
      </c>
      <c r="AW163" s="360">
        <v>44.751444565363748</v>
      </c>
      <c r="AX163" s="360">
        <v>45.861943859501814</v>
      </c>
      <c r="AY163" s="360">
        <v>47</v>
      </c>
      <c r="AZ163" s="360">
        <v>39.131265661822653</v>
      </c>
      <c r="BA163" s="360">
        <v>40.06452840790071</v>
      </c>
      <c r="BB163" s="360">
        <v>41.020049042612982</v>
      </c>
      <c r="BC163" s="360">
        <v>41.998358406399149</v>
      </c>
      <c r="BD163" s="360">
        <v>43</v>
      </c>
      <c r="BE163" s="360">
        <v>15.656291604103245</v>
      </c>
      <c r="BF163" s="360">
        <v>15.981918312753411</v>
      </c>
      <c r="BG163" s="360">
        <v>16.314317554521097</v>
      </c>
      <c r="BH163" s="360">
        <v>16.653630187645533</v>
      </c>
      <c r="BI163" s="360">
        <v>17</v>
      </c>
      <c r="BJ163" s="362">
        <v>48.102708341346109</v>
      </c>
      <c r="BK163" s="362">
        <v>49.231288293034225</v>
      </c>
      <c r="BL163" s="362">
        <v>50.386346851671334</v>
      </c>
      <c r="BM163" s="363">
        <v>50.055078727888471</v>
      </c>
      <c r="BN163" s="363">
        <v>49.725988546677193</v>
      </c>
      <c r="BO163" s="363">
        <v>49.567197369982445</v>
      </c>
      <c r="BP163" s="363">
        <v>49.408913264912279</v>
      </c>
      <c r="BQ163" s="363">
        <v>49.251134612222863</v>
      </c>
      <c r="BR163" s="363">
        <v>49.093859797841134</v>
      </c>
      <c r="BS163" s="363">
        <v>48.937087212848311</v>
      </c>
      <c r="BT163" s="363">
        <v>49.299073272727519</v>
      </c>
      <c r="BU163" s="363">
        <v>49.663736931847097</v>
      </c>
      <c r="BV163" s="363">
        <v>50.03109799632248</v>
      </c>
      <c r="BW163" s="363">
        <v>50.401176418774341</v>
      </c>
      <c r="BX163" s="363">
        <v>50.773992299412171</v>
      </c>
      <c r="BY163" s="435">
        <v>50.978652964929438</v>
      </c>
      <c r="BZ163" s="435">
        <v>51.183313630446705</v>
      </c>
      <c r="CA163" s="435">
        <v>51.387974295963978</v>
      </c>
      <c r="CB163" s="435">
        <v>51.592634961481245</v>
      </c>
      <c r="CC163" s="363">
        <v>51.797295626998512</v>
      </c>
      <c r="CD163" s="435">
        <v>51.965056881885573</v>
      </c>
      <c r="CE163" s="435">
        <v>52.132818136772634</v>
      </c>
      <c r="CF163" s="435">
        <v>52.300579391659696</v>
      </c>
      <c r="CG163" s="435">
        <v>52.468340646546757</v>
      </c>
      <c r="CH163" s="363">
        <v>52.636101901433818</v>
      </c>
      <c r="CI163" s="362">
        <v>44.008860822933677</v>
      </c>
      <c r="CJ163" s="362">
        <v>45.041391417031313</v>
      </c>
      <c r="CK163" s="362">
        <v>46.098147119614197</v>
      </c>
      <c r="CL163" s="363">
        <v>45.795072027642647</v>
      </c>
      <c r="CM163" s="363">
        <v>45.493989521428063</v>
      </c>
      <c r="CN163" s="363">
        <v>45.348712487430745</v>
      </c>
      <c r="CO163" s="363">
        <v>45.203899370026122</v>
      </c>
      <c r="CP163" s="363">
        <v>45.05954868777836</v>
      </c>
      <c r="CQ163" s="363">
        <v>44.915658963982317</v>
      </c>
      <c r="CR163" s="363">
        <v>44.772228726648457</v>
      </c>
      <c r="CS163" s="363">
        <v>45.103407462282625</v>
      </c>
      <c r="CT163" s="363">
        <v>45.437035916370746</v>
      </c>
      <c r="CU163" s="363">
        <v>45.773132209401417</v>
      </c>
      <c r="CV163" s="363">
        <v>46.111714595899926</v>
      </c>
      <c r="CW163" s="363">
        <v>46.452801465419647</v>
      </c>
      <c r="CX163" s="435">
        <v>46.640044201956719</v>
      </c>
      <c r="CY163" s="435">
        <v>46.827286938493799</v>
      </c>
      <c r="CZ163" s="435">
        <v>47.014529675030872</v>
      </c>
      <c r="DA163" s="435">
        <v>47.201772411567951</v>
      </c>
      <c r="DB163" s="363">
        <v>47.389015148105024</v>
      </c>
      <c r="DC163" s="435">
        <v>47.542498849384678</v>
      </c>
      <c r="DD163" s="435">
        <v>47.695982550664326</v>
      </c>
      <c r="DE163" s="435">
        <v>47.84946625194398</v>
      </c>
      <c r="DF163" s="435">
        <v>48.002949953223627</v>
      </c>
      <c r="DG163" s="363">
        <v>48.156433654503282</v>
      </c>
      <c r="DH163" s="362">
        <v>17.398851953252848</v>
      </c>
      <c r="DI163" s="362">
        <v>17.807061723012382</v>
      </c>
      <c r="DJ163" s="362">
        <v>18.224848861242823</v>
      </c>
      <c r="DK163" s="363">
        <v>18.105028476044765</v>
      </c>
      <c r="DL163" s="363">
        <v>17.985995857308769</v>
      </c>
      <c r="DM163" s="363">
        <v>17.928560750844714</v>
      </c>
      <c r="DN163" s="363">
        <v>17.871309053266142</v>
      </c>
      <c r="DO163" s="363">
        <v>17.814240178889118</v>
      </c>
      <c r="DP163" s="363">
        <v>17.757353543899985</v>
      </c>
      <c r="DQ163" s="363">
        <v>17.70064856634939</v>
      </c>
      <c r="DR163" s="363">
        <v>17.831579694390804</v>
      </c>
      <c r="DS163" s="363">
        <v>17.963479315774482</v>
      </c>
      <c r="DT163" s="363">
        <v>18.096354594414514</v>
      </c>
      <c r="DU163" s="363">
        <v>18.23021274721625</v>
      </c>
      <c r="DV163" s="363">
        <v>18.365061044468231</v>
      </c>
      <c r="DW163" s="435">
        <v>18.439087242634052</v>
      </c>
      <c r="DX163" s="435">
        <v>18.513113440799874</v>
      </c>
      <c r="DY163" s="435">
        <v>18.587139638965692</v>
      </c>
      <c r="DZ163" s="435">
        <v>18.661165837131513</v>
      </c>
      <c r="EA163" s="363">
        <v>18.735192035297334</v>
      </c>
      <c r="EB163" s="435">
        <v>18.795871638128826</v>
      </c>
      <c r="EC163" s="435">
        <v>18.856551240960314</v>
      </c>
      <c r="ED163" s="435">
        <v>18.917230843791806</v>
      </c>
      <c r="EE163" s="435">
        <v>18.977910446623294</v>
      </c>
      <c r="EF163" s="363">
        <v>19.038590049454786</v>
      </c>
      <c r="EG163" s="364">
        <v>0</v>
      </c>
      <c r="EH163" s="364">
        <v>0</v>
      </c>
      <c r="EI163" s="364">
        <v>0</v>
      </c>
      <c r="EJ163" s="365">
        <v>0</v>
      </c>
      <c r="EK163" s="365">
        <v>0</v>
      </c>
      <c r="EL163" s="365">
        <v>0</v>
      </c>
      <c r="EM163" s="365">
        <v>0</v>
      </c>
      <c r="EN163" s="365">
        <v>0</v>
      </c>
      <c r="EO163" s="365">
        <v>0</v>
      </c>
      <c r="EP163" s="365">
        <v>0</v>
      </c>
      <c r="EQ163" s="365">
        <v>0</v>
      </c>
      <c r="ER163" s="365">
        <v>0</v>
      </c>
      <c r="ES163" s="365">
        <v>0</v>
      </c>
      <c r="ET163" s="365">
        <v>0</v>
      </c>
      <c r="EU163" s="365">
        <v>0</v>
      </c>
      <c r="EV163" s="436">
        <v>0</v>
      </c>
      <c r="EW163" s="436">
        <v>0</v>
      </c>
      <c r="EX163" s="436">
        <v>0</v>
      </c>
      <c r="EY163" s="436">
        <v>0</v>
      </c>
      <c r="EZ163" s="365">
        <v>0</v>
      </c>
      <c r="FA163" s="436">
        <v>0</v>
      </c>
      <c r="FB163" s="436">
        <v>0</v>
      </c>
      <c r="FC163" s="436">
        <v>0</v>
      </c>
      <c r="FD163" s="436">
        <v>0</v>
      </c>
      <c r="FE163" s="365">
        <v>0</v>
      </c>
      <c r="FF163" s="364">
        <v>0</v>
      </c>
      <c r="FG163" s="364">
        <v>0</v>
      </c>
      <c r="FH163" s="364">
        <v>0</v>
      </c>
      <c r="FI163" s="365">
        <v>0</v>
      </c>
      <c r="FJ163" s="365">
        <v>0</v>
      </c>
      <c r="FK163" s="365">
        <v>0</v>
      </c>
      <c r="FL163" s="365">
        <v>0</v>
      </c>
      <c r="FM163" s="365">
        <v>0</v>
      </c>
      <c r="FN163" s="365">
        <v>0</v>
      </c>
      <c r="FO163" s="365">
        <v>0</v>
      </c>
      <c r="FP163" s="365">
        <v>0</v>
      </c>
      <c r="FQ163" s="365">
        <v>0</v>
      </c>
      <c r="FR163" s="365">
        <v>0</v>
      </c>
      <c r="FS163" s="365">
        <v>0</v>
      </c>
      <c r="FT163" s="365">
        <v>0</v>
      </c>
      <c r="FU163" s="436">
        <v>0</v>
      </c>
      <c r="FV163" s="436">
        <v>0</v>
      </c>
      <c r="FW163" s="436">
        <v>0</v>
      </c>
      <c r="FX163" s="436">
        <v>0</v>
      </c>
      <c r="FY163" s="365">
        <v>0</v>
      </c>
      <c r="FZ163" s="436">
        <v>0</v>
      </c>
      <c r="GA163" s="436">
        <v>0</v>
      </c>
      <c r="GB163" s="436">
        <v>0</v>
      </c>
      <c r="GC163" s="436">
        <v>0</v>
      </c>
      <c r="GD163" s="365">
        <v>0</v>
      </c>
    </row>
    <row r="164" spans="1:186" ht="15" x14ac:dyDescent="0.25">
      <c r="A164" s="357">
        <v>105</v>
      </c>
      <c r="B164" s="357">
        <v>92</v>
      </c>
      <c r="C164" s="357" t="s">
        <v>1074</v>
      </c>
      <c r="D164" s="2">
        <v>99709</v>
      </c>
      <c r="E164" s="268" t="s">
        <v>1527</v>
      </c>
      <c r="F164" s="358" t="s">
        <v>985</v>
      </c>
      <c r="G164" s="49">
        <v>0</v>
      </c>
      <c r="H164" s="49">
        <v>1</v>
      </c>
      <c r="I164" s="49">
        <v>0</v>
      </c>
      <c r="J164" s="49">
        <v>1</v>
      </c>
      <c r="K164" s="49">
        <v>0</v>
      </c>
      <c r="L164" s="49">
        <v>0</v>
      </c>
      <c r="M164" s="49">
        <v>0</v>
      </c>
      <c r="N164" s="49">
        <v>32</v>
      </c>
      <c r="O164" s="49">
        <v>0</v>
      </c>
      <c r="P164" s="49">
        <v>0</v>
      </c>
      <c r="Q164" s="49">
        <v>32</v>
      </c>
      <c r="R164" s="49">
        <v>0</v>
      </c>
      <c r="S164" s="49">
        <v>0</v>
      </c>
      <c r="T164" s="49">
        <v>0</v>
      </c>
      <c r="U164" s="49">
        <v>3682.09375</v>
      </c>
      <c r="V164" s="49">
        <v>0</v>
      </c>
      <c r="W164" s="49">
        <v>0</v>
      </c>
      <c r="X164" s="49">
        <v>3682.09375</v>
      </c>
      <c r="Y164" s="434">
        <v>0</v>
      </c>
      <c r="Z164" s="434">
        <v>117827</v>
      </c>
      <c r="AA164" s="49">
        <v>2.2912335412335411E-2</v>
      </c>
      <c r="AB164" s="49">
        <v>0.97578828828828834</v>
      </c>
      <c r="AC164" s="49">
        <v>1.2993762993762994E-3</v>
      </c>
      <c r="AD164" s="285">
        <v>32</v>
      </c>
      <c r="AE164" s="285">
        <v>0</v>
      </c>
      <c r="AF164" s="359">
        <v>33</v>
      </c>
      <c r="AG164" s="360">
        <v>0</v>
      </c>
      <c r="AH164" s="360">
        <v>0</v>
      </c>
      <c r="AI164" s="361">
        <v>0</v>
      </c>
      <c r="AJ164" s="360">
        <v>0</v>
      </c>
      <c r="AK164" s="360">
        <v>2.1816172512088276E-2</v>
      </c>
      <c r="AL164" s="360">
        <v>0.9291050104439259</v>
      </c>
      <c r="AM164" s="360">
        <v>0.95092118295601413</v>
      </c>
      <c r="AN164" s="360">
        <v>1.2372120517252332E-3</v>
      </c>
      <c r="AO164" s="360">
        <v>0</v>
      </c>
      <c r="AP164" s="360">
        <v>0</v>
      </c>
      <c r="AQ164" s="360">
        <v>0</v>
      </c>
      <c r="AR164" s="360">
        <v>0</v>
      </c>
      <c r="AS164" s="360">
        <v>30.709303632039706</v>
      </c>
      <c r="AT164" s="360">
        <v>0</v>
      </c>
      <c r="AU164" s="360">
        <v>0.90542758734225925</v>
      </c>
      <c r="AV164" s="360">
        <v>0.92789561505403773</v>
      </c>
      <c r="AW164" s="360">
        <v>0.95092118295601413</v>
      </c>
      <c r="AX164" s="360">
        <v>0.97451812631079682</v>
      </c>
      <c r="AY164" s="360">
        <v>0.99870062370062374</v>
      </c>
      <c r="AZ164" s="360">
        <v>0</v>
      </c>
      <c r="BA164" s="360">
        <v>0</v>
      </c>
      <c r="BB164" s="360">
        <v>0</v>
      </c>
      <c r="BC164" s="360">
        <v>0</v>
      </c>
      <c r="BD164" s="360">
        <v>0</v>
      </c>
      <c r="BE164" s="360">
        <v>29.470666548900226</v>
      </c>
      <c r="BF164" s="360">
        <v>30.083610941653479</v>
      </c>
      <c r="BG164" s="360">
        <v>30.709303632039706</v>
      </c>
      <c r="BH164" s="360">
        <v>31.348009764979828</v>
      </c>
      <c r="BI164" s="360">
        <v>32</v>
      </c>
      <c r="BJ164" s="362">
        <v>1.0221320174934374</v>
      </c>
      <c r="BK164" s="362">
        <v>1.046113155826351</v>
      </c>
      <c r="BL164" s="362">
        <v>1.0706569367395771</v>
      </c>
      <c r="BM164" s="363">
        <v>1.063617837126086</v>
      </c>
      <c r="BN164" s="363">
        <v>1.0566250165041826</v>
      </c>
      <c r="BO164" s="363">
        <v>1.0532508708190083</v>
      </c>
      <c r="BP164" s="363">
        <v>1.0498874998731471</v>
      </c>
      <c r="BQ164" s="363">
        <v>1.0465348692593692</v>
      </c>
      <c r="BR164" s="363">
        <v>1.0431929446803174</v>
      </c>
      <c r="BS164" s="363">
        <v>1.039861691948158</v>
      </c>
      <c r="BT164" s="363">
        <v>1.0475535154326752</v>
      </c>
      <c r="BU164" s="363">
        <v>1.0553022350880723</v>
      </c>
      <c r="BV164" s="363">
        <v>1.0631082717734954</v>
      </c>
      <c r="BW164" s="363">
        <v>1.0709720494611725</v>
      </c>
      <c r="BX164" s="363">
        <v>1.0788939952594383</v>
      </c>
      <c r="BY164" s="435">
        <v>1.0832428193934613</v>
      </c>
      <c r="BZ164" s="435">
        <v>1.0875916435274844</v>
      </c>
      <c r="CA164" s="435">
        <v>1.0919404676615072</v>
      </c>
      <c r="CB164" s="435">
        <v>1.0962892917955303</v>
      </c>
      <c r="CC164" s="363">
        <v>1.1006381159295533</v>
      </c>
      <c r="CD164" s="435">
        <v>1.104202866352713</v>
      </c>
      <c r="CE164" s="435">
        <v>1.1077676167758728</v>
      </c>
      <c r="CF164" s="435">
        <v>1.1113323671990325</v>
      </c>
      <c r="CG164" s="435">
        <v>1.1148971176221922</v>
      </c>
      <c r="CH164" s="363">
        <v>1.118461868045352</v>
      </c>
      <c r="CI164" s="362">
        <v>0</v>
      </c>
      <c r="CJ164" s="362">
        <v>0</v>
      </c>
      <c r="CK164" s="362">
        <v>0</v>
      </c>
      <c r="CL164" s="363">
        <v>0</v>
      </c>
      <c r="CM164" s="363">
        <v>0</v>
      </c>
      <c r="CN164" s="363">
        <v>0</v>
      </c>
      <c r="CO164" s="363">
        <v>0</v>
      </c>
      <c r="CP164" s="363">
        <v>0</v>
      </c>
      <c r="CQ164" s="363">
        <v>0</v>
      </c>
      <c r="CR164" s="363">
        <v>0</v>
      </c>
      <c r="CS164" s="363">
        <v>0</v>
      </c>
      <c r="CT164" s="363">
        <v>0</v>
      </c>
      <c r="CU164" s="363">
        <v>0</v>
      </c>
      <c r="CV164" s="363">
        <v>0</v>
      </c>
      <c r="CW164" s="363">
        <v>0</v>
      </c>
      <c r="CX164" s="435">
        <v>0</v>
      </c>
      <c r="CY164" s="435">
        <v>0</v>
      </c>
      <c r="CZ164" s="435">
        <v>0</v>
      </c>
      <c r="DA164" s="435">
        <v>0</v>
      </c>
      <c r="DB164" s="363">
        <v>0</v>
      </c>
      <c r="DC164" s="435">
        <v>0</v>
      </c>
      <c r="DD164" s="435">
        <v>0</v>
      </c>
      <c r="DE164" s="435">
        <v>0</v>
      </c>
      <c r="DF164" s="435">
        <v>0</v>
      </c>
      <c r="DG164" s="363">
        <v>0</v>
      </c>
      <c r="DH164" s="362">
        <v>32.75078014729948</v>
      </c>
      <c r="DI164" s="362">
        <v>33.519175008023304</v>
      </c>
      <c r="DJ164" s="362">
        <v>34.305597856457076</v>
      </c>
      <c r="DK164" s="363">
        <v>34.080053601966618</v>
      </c>
      <c r="DL164" s="363">
        <v>33.855992201992976</v>
      </c>
      <c r="DM164" s="363">
        <v>33.747879060413574</v>
      </c>
      <c r="DN164" s="363">
        <v>33.640111159089209</v>
      </c>
      <c r="DO164" s="363">
        <v>33.532687395555989</v>
      </c>
      <c r="DP164" s="363">
        <v>33.425606670870557</v>
      </c>
      <c r="DQ164" s="363">
        <v>33.318867889598849</v>
      </c>
      <c r="DR164" s="363">
        <v>33.565326483559161</v>
      </c>
      <c r="DS164" s="363">
        <v>33.813608123810788</v>
      </c>
      <c r="DT164" s="363">
        <v>34.063726295368497</v>
      </c>
      <c r="DU164" s="363">
        <v>34.315694582995292</v>
      </c>
      <c r="DV164" s="363">
        <v>34.569526671940203</v>
      </c>
      <c r="DW164" s="435">
        <v>34.708870103781749</v>
      </c>
      <c r="DX164" s="435">
        <v>34.848213535623294</v>
      </c>
      <c r="DY164" s="435">
        <v>34.987556967464833</v>
      </c>
      <c r="DZ164" s="435">
        <v>35.126900399306379</v>
      </c>
      <c r="EA164" s="363">
        <v>35.266243831147925</v>
      </c>
      <c r="EB164" s="435">
        <v>35.380464260007201</v>
      </c>
      <c r="EC164" s="435">
        <v>35.494684688866478</v>
      </c>
      <c r="ED164" s="435">
        <v>35.608905117725747</v>
      </c>
      <c r="EE164" s="435">
        <v>35.723125546585024</v>
      </c>
      <c r="EF164" s="363">
        <v>35.8373459754443</v>
      </c>
      <c r="EG164" s="364">
        <v>1.3298621096713991E-3</v>
      </c>
      <c r="EH164" s="364">
        <v>1.3610631743772457E-3</v>
      </c>
      <c r="EI164" s="364">
        <v>1.3929962747067095E-3</v>
      </c>
      <c r="EJ164" s="365">
        <v>1.3838379353709159E-3</v>
      </c>
      <c r="EK164" s="365">
        <v>1.3747398080980776E-3</v>
      </c>
      <c r="EL164" s="365">
        <v>1.3703498189162218E-3</v>
      </c>
      <c r="EM164" s="365">
        <v>1.3659738483907714E-3</v>
      </c>
      <c r="EN164" s="365">
        <v>1.3616118517556194E-3</v>
      </c>
      <c r="EO164" s="365">
        <v>1.3572637843876105E-3</v>
      </c>
      <c r="EP164" s="365">
        <v>1.3529296018060864E-3</v>
      </c>
      <c r="EQ164" s="365">
        <v>1.3629371785488875E-3</v>
      </c>
      <c r="ER164" s="365">
        <v>1.3730187810149261E-3</v>
      </c>
      <c r="ES164" s="365">
        <v>1.3831749567700955E-3</v>
      </c>
      <c r="ET164" s="365">
        <v>1.393406257430617E-3</v>
      </c>
      <c r="EU164" s="365">
        <v>1.4037132386929979E-3</v>
      </c>
      <c r="EV164" s="436">
        <v>1.4093713497182684E-3</v>
      </c>
      <c r="EW164" s="436">
        <v>1.4150294607435392E-3</v>
      </c>
      <c r="EX164" s="436">
        <v>1.4206875717688097E-3</v>
      </c>
      <c r="EY164" s="436">
        <v>1.4263456827940805E-3</v>
      </c>
      <c r="EZ164" s="365">
        <v>1.432003793819351E-3</v>
      </c>
      <c r="FA164" s="436">
        <v>1.4366417725119867E-3</v>
      </c>
      <c r="FB164" s="436">
        <v>1.4412797512046223E-3</v>
      </c>
      <c r="FC164" s="436">
        <v>1.4459177298972578E-3</v>
      </c>
      <c r="FD164" s="436">
        <v>1.4505557085898934E-3</v>
      </c>
      <c r="FE164" s="365">
        <v>1.4551936872825291E-3</v>
      </c>
      <c r="FF164" s="364">
        <v>0</v>
      </c>
      <c r="FG164" s="364">
        <v>0</v>
      </c>
      <c r="FH164" s="364">
        <v>0</v>
      </c>
      <c r="FI164" s="365">
        <v>0</v>
      </c>
      <c r="FJ164" s="365">
        <v>0</v>
      </c>
      <c r="FK164" s="365">
        <v>0</v>
      </c>
      <c r="FL164" s="365">
        <v>0</v>
      </c>
      <c r="FM164" s="365">
        <v>0</v>
      </c>
      <c r="FN164" s="365">
        <v>0</v>
      </c>
      <c r="FO164" s="365">
        <v>0</v>
      </c>
      <c r="FP164" s="365">
        <v>0</v>
      </c>
      <c r="FQ164" s="365">
        <v>0</v>
      </c>
      <c r="FR164" s="365">
        <v>0</v>
      </c>
      <c r="FS164" s="365">
        <v>0</v>
      </c>
      <c r="FT164" s="365">
        <v>0</v>
      </c>
      <c r="FU164" s="436">
        <v>0</v>
      </c>
      <c r="FV164" s="436">
        <v>0</v>
      </c>
      <c r="FW164" s="436">
        <v>0</v>
      </c>
      <c r="FX164" s="436">
        <v>0</v>
      </c>
      <c r="FY164" s="365">
        <v>0</v>
      </c>
      <c r="FZ164" s="436">
        <v>0</v>
      </c>
      <c r="GA164" s="436">
        <v>0</v>
      </c>
      <c r="GB164" s="436">
        <v>0</v>
      </c>
      <c r="GC164" s="436">
        <v>0</v>
      </c>
      <c r="GD164" s="365">
        <v>0</v>
      </c>
    </row>
    <row r="165" spans="1:186" ht="15" x14ac:dyDescent="0.25">
      <c r="A165" s="357">
        <v>106</v>
      </c>
      <c r="B165" s="357">
        <v>92</v>
      </c>
      <c r="C165" s="357" t="s">
        <v>1075</v>
      </c>
      <c r="D165" s="2">
        <v>99709</v>
      </c>
      <c r="E165" s="268" t="s">
        <v>1527</v>
      </c>
      <c r="F165" s="358" t="s">
        <v>985</v>
      </c>
      <c r="G165" s="49">
        <v>15</v>
      </c>
      <c r="H165" s="49">
        <v>14</v>
      </c>
      <c r="I165" s="49">
        <v>8</v>
      </c>
      <c r="J165" s="49">
        <v>6</v>
      </c>
      <c r="K165" s="49">
        <v>0</v>
      </c>
      <c r="L165" s="49">
        <v>5</v>
      </c>
      <c r="M165" s="49">
        <v>5</v>
      </c>
      <c r="N165" s="49">
        <v>2</v>
      </c>
      <c r="O165" s="49">
        <v>0</v>
      </c>
      <c r="P165" s="49">
        <v>0</v>
      </c>
      <c r="Q165" s="49">
        <v>7</v>
      </c>
      <c r="R165" s="49">
        <v>0</v>
      </c>
      <c r="S165" s="49">
        <v>971.8</v>
      </c>
      <c r="T165" s="49">
        <v>971.8</v>
      </c>
      <c r="U165" s="49">
        <v>13200.5</v>
      </c>
      <c r="V165" s="49">
        <v>0</v>
      </c>
      <c r="W165" s="49">
        <v>0</v>
      </c>
      <c r="X165" s="49">
        <v>4465.7142857142853</v>
      </c>
      <c r="Y165" s="434">
        <v>4859</v>
      </c>
      <c r="Z165" s="434">
        <v>26401</v>
      </c>
      <c r="AA165" s="49">
        <v>0</v>
      </c>
      <c r="AB165" s="49">
        <v>14</v>
      </c>
      <c r="AC165" s="49">
        <v>0</v>
      </c>
      <c r="AD165" s="285">
        <v>2</v>
      </c>
      <c r="AE165" s="285">
        <v>0</v>
      </c>
      <c r="AF165" s="359">
        <v>16</v>
      </c>
      <c r="AG165" s="360">
        <v>0</v>
      </c>
      <c r="AH165" s="360">
        <v>8</v>
      </c>
      <c r="AI165" s="361">
        <v>8</v>
      </c>
      <c r="AJ165" s="360">
        <v>0</v>
      </c>
      <c r="AK165" s="360">
        <v>0</v>
      </c>
      <c r="AL165" s="360">
        <v>13.330217530108351</v>
      </c>
      <c r="AM165" s="360">
        <v>13.330217530108351</v>
      </c>
      <c r="AN165" s="360">
        <v>0</v>
      </c>
      <c r="AO165" s="360">
        <v>0</v>
      </c>
      <c r="AP165" s="360">
        <v>7.6316370311838106</v>
      </c>
      <c r="AQ165" s="360">
        <v>7.6316370311838106</v>
      </c>
      <c r="AR165" s="360">
        <v>0</v>
      </c>
      <c r="AS165" s="360">
        <v>1.9193314770024816</v>
      </c>
      <c r="AT165" s="360">
        <v>0</v>
      </c>
      <c r="AU165" s="360">
        <v>12.692478528571998</v>
      </c>
      <c r="AV165" s="360">
        <v>13.007440170229279</v>
      </c>
      <c r="AW165" s="360">
        <v>13.330217530108351</v>
      </c>
      <c r="AX165" s="360">
        <v>13.661004553894157</v>
      </c>
      <c r="AY165" s="360">
        <v>14</v>
      </c>
      <c r="AZ165" s="360">
        <v>7.2802354719670053</v>
      </c>
      <c r="BA165" s="360">
        <v>7.4538657503071084</v>
      </c>
      <c r="BB165" s="360">
        <v>7.6316370311838106</v>
      </c>
      <c r="BC165" s="360">
        <v>7.8136480756091444</v>
      </c>
      <c r="BD165" s="360">
        <v>8</v>
      </c>
      <c r="BE165" s="360">
        <v>1.8419166593062641</v>
      </c>
      <c r="BF165" s="360">
        <v>1.8802256838533424</v>
      </c>
      <c r="BG165" s="360">
        <v>1.9193314770024816</v>
      </c>
      <c r="BH165" s="360">
        <v>1.9592506103112393</v>
      </c>
      <c r="BI165" s="360">
        <v>2</v>
      </c>
      <c r="BJ165" s="362">
        <v>14.255258368998255</v>
      </c>
      <c r="BK165" s="362">
        <v>14.515170797635342</v>
      </c>
      <c r="BL165" s="362">
        <v>14.779822142173591</v>
      </c>
      <c r="BM165" s="363">
        <v>14.682651296164543</v>
      </c>
      <c r="BN165" s="363">
        <v>14.586119305834764</v>
      </c>
      <c r="BO165" s="363">
        <v>14.539541105668681</v>
      </c>
      <c r="BP165" s="363">
        <v>14.493111644772123</v>
      </c>
      <c r="BQ165" s="363">
        <v>14.446830448172452</v>
      </c>
      <c r="BR165" s="363">
        <v>14.400697042413782</v>
      </c>
      <c r="BS165" s="363">
        <v>14.354710955552122</v>
      </c>
      <c r="BT165" s="363">
        <v>14.460892290720368</v>
      </c>
      <c r="BU165" s="363">
        <v>14.567859045809158</v>
      </c>
      <c r="BV165" s="363">
        <v>14.675617030544375</v>
      </c>
      <c r="BW165" s="363">
        <v>14.784172097626268</v>
      </c>
      <c r="BX165" s="363">
        <v>14.8935301430473</v>
      </c>
      <c r="BY165" s="435">
        <v>14.953563235836279</v>
      </c>
      <c r="BZ165" s="435">
        <v>15.01359632862526</v>
      </c>
      <c r="CA165" s="435">
        <v>15.073629421414239</v>
      </c>
      <c r="CB165" s="435">
        <v>15.13366251420322</v>
      </c>
      <c r="CC165" s="363">
        <v>15.193695606992199</v>
      </c>
      <c r="CD165" s="435">
        <v>15.242904999307894</v>
      </c>
      <c r="CE165" s="435">
        <v>15.29211439162359</v>
      </c>
      <c r="CF165" s="435">
        <v>15.341323783939286</v>
      </c>
      <c r="CG165" s="435">
        <v>15.390533176254982</v>
      </c>
      <c r="CH165" s="363">
        <v>15.439742568570678</v>
      </c>
      <c r="CI165" s="362">
        <v>8.14586192514186</v>
      </c>
      <c r="CJ165" s="362">
        <v>8.2943833129344817</v>
      </c>
      <c r="CK165" s="362">
        <v>8.4456126526706239</v>
      </c>
      <c r="CL165" s="363">
        <v>8.3900864549511684</v>
      </c>
      <c r="CM165" s="363">
        <v>8.3349253176198648</v>
      </c>
      <c r="CN165" s="363">
        <v>8.3083092032392472</v>
      </c>
      <c r="CO165" s="363">
        <v>8.2817780827269267</v>
      </c>
      <c r="CP165" s="363">
        <v>8.2553316846699722</v>
      </c>
      <c r="CQ165" s="363">
        <v>8.2289697385221618</v>
      </c>
      <c r="CR165" s="363">
        <v>8.2026919746012119</v>
      </c>
      <c r="CS165" s="363">
        <v>8.263367023268783</v>
      </c>
      <c r="CT165" s="363">
        <v>8.3244908833195197</v>
      </c>
      <c r="CU165" s="363">
        <v>8.3860668745967857</v>
      </c>
      <c r="CV165" s="363">
        <v>8.4480983415007245</v>
      </c>
      <c r="CW165" s="363">
        <v>8.5105886531698864</v>
      </c>
      <c r="CX165" s="435">
        <v>8.5448932776207318</v>
      </c>
      <c r="CY165" s="435">
        <v>8.5791979020715772</v>
      </c>
      <c r="CZ165" s="435">
        <v>8.6135025265224225</v>
      </c>
      <c r="DA165" s="435">
        <v>8.6478071509732679</v>
      </c>
      <c r="DB165" s="363">
        <v>8.6821117754241133</v>
      </c>
      <c r="DC165" s="435">
        <v>8.7102314281759394</v>
      </c>
      <c r="DD165" s="435">
        <v>8.7383510809277656</v>
      </c>
      <c r="DE165" s="435">
        <v>8.7664707336795917</v>
      </c>
      <c r="DF165" s="435">
        <v>8.7945903864314179</v>
      </c>
      <c r="DG165" s="363">
        <v>8.822710039183244</v>
      </c>
      <c r="DH165" s="362">
        <v>2.036465481285465</v>
      </c>
      <c r="DI165" s="362">
        <v>2.0735958282336204</v>
      </c>
      <c r="DJ165" s="362">
        <v>2.111403163167656</v>
      </c>
      <c r="DK165" s="363">
        <v>2.0975216137377921</v>
      </c>
      <c r="DL165" s="363">
        <v>2.0837313294049662</v>
      </c>
      <c r="DM165" s="363">
        <v>2.0770773008098118</v>
      </c>
      <c r="DN165" s="363">
        <v>2.0704445206817317</v>
      </c>
      <c r="DO165" s="363">
        <v>2.0638329211674931</v>
      </c>
      <c r="DP165" s="363">
        <v>2.0572424346305405</v>
      </c>
      <c r="DQ165" s="363">
        <v>2.050672993650303</v>
      </c>
      <c r="DR165" s="363">
        <v>2.0658417558171958</v>
      </c>
      <c r="DS165" s="363">
        <v>2.0811227208298799</v>
      </c>
      <c r="DT165" s="363">
        <v>2.0965167186491964</v>
      </c>
      <c r="DU165" s="363">
        <v>2.1120245853751811</v>
      </c>
      <c r="DV165" s="363">
        <v>2.1276471632924716</v>
      </c>
      <c r="DW165" s="435">
        <v>2.136223319405183</v>
      </c>
      <c r="DX165" s="435">
        <v>2.1447994755178943</v>
      </c>
      <c r="DY165" s="435">
        <v>2.1533756316306056</v>
      </c>
      <c r="DZ165" s="435">
        <v>2.161951787743317</v>
      </c>
      <c r="EA165" s="363">
        <v>2.1705279438560283</v>
      </c>
      <c r="EB165" s="435">
        <v>2.1775578570439849</v>
      </c>
      <c r="EC165" s="435">
        <v>2.1845877702319414</v>
      </c>
      <c r="ED165" s="435">
        <v>2.1916176834198979</v>
      </c>
      <c r="EE165" s="435">
        <v>2.1986475966078545</v>
      </c>
      <c r="EF165" s="363">
        <v>2.205677509795811</v>
      </c>
      <c r="EG165" s="364">
        <v>0</v>
      </c>
      <c r="EH165" s="364">
        <v>0</v>
      </c>
      <c r="EI165" s="364">
        <v>0</v>
      </c>
      <c r="EJ165" s="365">
        <v>0</v>
      </c>
      <c r="EK165" s="365">
        <v>0</v>
      </c>
      <c r="EL165" s="365">
        <v>0</v>
      </c>
      <c r="EM165" s="365">
        <v>0</v>
      </c>
      <c r="EN165" s="365">
        <v>0</v>
      </c>
      <c r="EO165" s="365">
        <v>0</v>
      </c>
      <c r="EP165" s="365">
        <v>0</v>
      </c>
      <c r="EQ165" s="365">
        <v>0</v>
      </c>
      <c r="ER165" s="365">
        <v>0</v>
      </c>
      <c r="ES165" s="365">
        <v>0</v>
      </c>
      <c r="ET165" s="365">
        <v>0</v>
      </c>
      <c r="EU165" s="365">
        <v>0</v>
      </c>
      <c r="EV165" s="436">
        <v>0</v>
      </c>
      <c r="EW165" s="436">
        <v>0</v>
      </c>
      <c r="EX165" s="436">
        <v>0</v>
      </c>
      <c r="EY165" s="436">
        <v>0</v>
      </c>
      <c r="EZ165" s="365">
        <v>0</v>
      </c>
      <c r="FA165" s="436">
        <v>0</v>
      </c>
      <c r="FB165" s="436">
        <v>0</v>
      </c>
      <c r="FC165" s="436">
        <v>0</v>
      </c>
      <c r="FD165" s="436">
        <v>0</v>
      </c>
      <c r="FE165" s="365">
        <v>0</v>
      </c>
      <c r="FF165" s="364">
        <v>0</v>
      </c>
      <c r="FG165" s="364">
        <v>0</v>
      </c>
      <c r="FH165" s="364">
        <v>0</v>
      </c>
      <c r="FI165" s="365">
        <v>0</v>
      </c>
      <c r="FJ165" s="365">
        <v>0</v>
      </c>
      <c r="FK165" s="365">
        <v>0</v>
      </c>
      <c r="FL165" s="365">
        <v>0</v>
      </c>
      <c r="FM165" s="365">
        <v>0</v>
      </c>
      <c r="FN165" s="365">
        <v>0</v>
      </c>
      <c r="FO165" s="365">
        <v>0</v>
      </c>
      <c r="FP165" s="365">
        <v>0</v>
      </c>
      <c r="FQ165" s="365">
        <v>0</v>
      </c>
      <c r="FR165" s="365">
        <v>0</v>
      </c>
      <c r="FS165" s="365">
        <v>0</v>
      </c>
      <c r="FT165" s="365">
        <v>0</v>
      </c>
      <c r="FU165" s="436">
        <v>0</v>
      </c>
      <c r="FV165" s="436">
        <v>0</v>
      </c>
      <c r="FW165" s="436">
        <v>0</v>
      </c>
      <c r="FX165" s="436">
        <v>0</v>
      </c>
      <c r="FY165" s="365">
        <v>0</v>
      </c>
      <c r="FZ165" s="436">
        <v>0</v>
      </c>
      <c r="GA165" s="436">
        <v>0</v>
      </c>
      <c r="GB165" s="436">
        <v>0</v>
      </c>
      <c r="GC165" s="436">
        <v>0</v>
      </c>
      <c r="GD165" s="365">
        <v>0</v>
      </c>
    </row>
    <row r="166" spans="1:186" ht="15" x14ac:dyDescent="0.25">
      <c r="A166" s="357">
        <v>107</v>
      </c>
      <c r="B166" s="357">
        <v>92</v>
      </c>
      <c r="C166" s="357" t="s">
        <v>1076</v>
      </c>
      <c r="D166" s="2">
        <v>99709</v>
      </c>
      <c r="E166" s="268" t="s">
        <v>1527</v>
      </c>
      <c r="F166" s="358" t="s">
        <v>985</v>
      </c>
      <c r="G166" s="49">
        <v>150</v>
      </c>
      <c r="H166" s="49">
        <v>69</v>
      </c>
      <c r="I166" s="49">
        <v>59</v>
      </c>
      <c r="J166" s="49">
        <v>10</v>
      </c>
      <c r="K166" s="49">
        <v>0</v>
      </c>
      <c r="L166" s="49">
        <v>7</v>
      </c>
      <c r="M166" s="49">
        <v>7</v>
      </c>
      <c r="N166" s="49">
        <v>56</v>
      </c>
      <c r="O166" s="49">
        <v>0</v>
      </c>
      <c r="P166" s="49">
        <v>0</v>
      </c>
      <c r="Q166" s="49">
        <v>63</v>
      </c>
      <c r="R166" s="49">
        <v>0</v>
      </c>
      <c r="S166" s="49">
        <v>2052.8571428571427</v>
      </c>
      <c r="T166" s="49">
        <v>2052.8571428571427</v>
      </c>
      <c r="U166" s="49">
        <v>8787.3214285714294</v>
      </c>
      <c r="V166" s="49">
        <v>0</v>
      </c>
      <c r="W166" s="49">
        <v>0</v>
      </c>
      <c r="X166" s="49">
        <v>8039.0476190476193</v>
      </c>
      <c r="Y166" s="434">
        <v>14369.999999999998</v>
      </c>
      <c r="Z166" s="434">
        <v>492090.00000000006</v>
      </c>
      <c r="AA166" s="49">
        <v>0</v>
      </c>
      <c r="AB166" s="49">
        <v>69</v>
      </c>
      <c r="AC166" s="49">
        <v>0</v>
      </c>
      <c r="AD166" s="285">
        <v>56</v>
      </c>
      <c r="AE166" s="285">
        <v>0</v>
      </c>
      <c r="AF166" s="359">
        <v>125</v>
      </c>
      <c r="AG166" s="360">
        <v>0</v>
      </c>
      <c r="AH166" s="360">
        <v>59</v>
      </c>
      <c r="AI166" s="361">
        <v>59</v>
      </c>
      <c r="AJ166" s="360">
        <v>0</v>
      </c>
      <c r="AK166" s="360">
        <v>0</v>
      </c>
      <c r="AL166" s="360">
        <v>65.698929255534011</v>
      </c>
      <c r="AM166" s="360">
        <v>65.698929255534011</v>
      </c>
      <c r="AN166" s="360">
        <v>0</v>
      </c>
      <c r="AO166" s="360">
        <v>0</v>
      </c>
      <c r="AP166" s="360">
        <v>56.283323104980603</v>
      </c>
      <c r="AQ166" s="360">
        <v>56.283323104980603</v>
      </c>
      <c r="AR166" s="360">
        <v>0</v>
      </c>
      <c r="AS166" s="360">
        <v>53.741281356069486</v>
      </c>
      <c r="AT166" s="360">
        <v>0</v>
      </c>
      <c r="AU166" s="360">
        <v>62.555787033676282</v>
      </c>
      <c r="AV166" s="360">
        <v>64.10809798184431</v>
      </c>
      <c r="AW166" s="360">
        <v>65.698929255534011</v>
      </c>
      <c r="AX166" s="360">
        <v>67.329236729906924</v>
      </c>
      <c r="AY166" s="360">
        <v>69</v>
      </c>
      <c r="AZ166" s="360">
        <v>53.69173660575666</v>
      </c>
      <c r="BA166" s="360">
        <v>54.972259908514921</v>
      </c>
      <c r="BB166" s="360">
        <v>56.283323104980603</v>
      </c>
      <c r="BC166" s="360">
        <v>57.625654557617437</v>
      </c>
      <c r="BD166" s="360">
        <v>59</v>
      </c>
      <c r="BE166" s="360">
        <v>51.573666460575396</v>
      </c>
      <c r="BF166" s="360">
        <v>52.646319147893585</v>
      </c>
      <c r="BG166" s="360">
        <v>53.741281356069486</v>
      </c>
      <c r="BH166" s="360">
        <v>54.859017088714701</v>
      </c>
      <c r="BI166" s="360">
        <v>56</v>
      </c>
      <c r="BJ166" s="362">
        <v>70.258059104348547</v>
      </c>
      <c r="BK166" s="362">
        <v>71.5390560740599</v>
      </c>
      <c r="BL166" s="362">
        <v>72.843409129284126</v>
      </c>
      <c r="BM166" s="363">
        <v>72.364495673953826</v>
      </c>
      <c r="BN166" s="363">
        <v>71.888730864471341</v>
      </c>
      <c r="BO166" s="363">
        <v>71.659166877938503</v>
      </c>
      <c r="BP166" s="363">
        <v>71.430335963519738</v>
      </c>
      <c r="BQ166" s="363">
        <v>71.202235780278514</v>
      </c>
      <c r="BR166" s="363">
        <v>70.974863994753633</v>
      </c>
      <c r="BS166" s="363">
        <v>70.748218280935447</v>
      </c>
      <c r="BT166" s="363">
        <v>71.271540575693237</v>
      </c>
      <c r="BU166" s="363">
        <v>71.798733868630848</v>
      </c>
      <c r="BV166" s="363">
        <v>72.329826793397274</v>
      </c>
      <c r="BW166" s="363">
        <v>72.864848195443741</v>
      </c>
      <c r="BX166" s="363">
        <v>73.403827133590255</v>
      </c>
      <c r="BY166" s="435">
        <v>73.6997045194788</v>
      </c>
      <c r="BZ166" s="435">
        <v>73.995581905367345</v>
      </c>
      <c r="CA166" s="435">
        <v>74.29145929125589</v>
      </c>
      <c r="CB166" s="435">
        <v>74.587336677144435</v>
      </c>
      <c r="CC166" s="363">
        <v>74.88321406303298</v>
      </c>
      <c r="CD166" s="435">
        <v>75.125746068017477</v>
      </c>
      <c r="CE166" s="435">
        <v>75.368278073001974</v>
      </c>
      <c r="CF166" s="435">
        <v>75.610810077986486</v>
      </c>
      <c r="CG166" s="435">
        <v>75.853342082970983</v>
      </c>
      <c r="CH166" s="363">
        <v>76.09587408795548</v>
      </c>
      <c r="CI166" s="362">
        <v>60.075731697921221</v>
      </c>
      <c r="CJ166" s="362">
        <v>61.1710769328918</v>
      </c>
      <c r="CK166" s="362">
        <v>62.286393313445849</v>
      </c>
      <c r="CL166" s="363">
        <v>61.876887605264862</v>
      </c>
      <c r="CM166" s="363">
        <v>61.470074217446509</v>
      </c>
      <c r="CN166" s="363">
        <v>61.273780373889444</v>
      </c>
      <c r="CO166" s="363">
        <v>61.078113360111082</v>
      </c>
      <c r="CP166" s="363">
        <v>60.883071174441049</v>
      </c>
      <c r="CQ166" s="363">
        <v>60.688651821600935</v>
      </c>
      <c r="CR166" s="363">
        <v>60.494853312683937</v>
      </c>
      <c r="CS166" s="363">
        <v>60.94233179660727</v>
      </c>
      <c r="CT166" s="363">
        <v>61.393120264481453</v>
      </c>
      <c r="CU166" s="363">
        <v>61.847243200151297</v>
      </c>
      <c r="CV166" s="363">
        <v>62.304725268567843</v>
      </c>
      <c r="CW166" s="363">
        <v>62.765591317127907</v>
      </c>
      <c r="CX166" s="435">
        <v>63.018587922452895</v>
      </c>
      <c r="CY166" s="435">
        <v>63.271584527777875</v>
      </c>
      <c r="CZ166" s="435">
        <v>63.524581133102863</v>
      </c>
      <c r="DA166" s="435">
        <v>63.777577738427844</v>
      </c>
      <c r="DB166" s="363">
        <v>64.030574343752832</v>
      </c>
      <c r="DC166" s="435">
        <v>64.237956782797554</v>
      </c>
      <c r="DD166" s="435">
        <v>64.445339221842275</v>
      </c>
      <c r="DE166" s="435">
        <v>64.652721660886982</v>
      </c>
      <c r="DF166" s="435">
        <v>64.860104099931704</v>
      </c>
      <c r="DG166" s="363">
        <v>65.067486538976425</v>
      </c>
      <c r="DH166" s="362">
        <v>57.021033475993022</v>
      </c>
      <c r="DI166" s="362">
        <v>58.060683190541369</v>
      </c>
      <c r="DJ166" s="362">
        <v>59.119288568694365</v>
      </c>
      <c r="DK166" s="363">
        <v>58.730605184658174</v>
      </c>
      <c r="DL166" s="363">
        <v>58.344477223339055</v>
      </c>
      <c r="DM166" s="363">
        <v>58.158164422674723</v>
      </c>
      <c r="DN166" s="363">
        <v>57.972446579088491</v>
      </c>
      <c r="DO166" s="363">
        <v>57.787321792689809</v>
      </c>
      <c r="DP166" s="363">
        <v>57.602788169655128</v>
      </c>
      <c r="DQ166" s="363">
        <v>57.418843822208487</v>
      </c>
      <c r="DR166" s="363">
        <v>57.843569162881472</v>
      </c>
      <c r="DS166" s="363">
        <v>58.271436183236631</v>
      </c>
      <c r="DT166" s="363">
        <v>58.7024681221775</v>
      </c>
      <c r="DU166" s="363">
        <v>59.136688390505071</v>
      </c>
      <c r="DV166" s="363">
        <v>59.574120572189202</v>
      </c>
      <c r="DW166" s="435">
        <v>59.814252943345117</v>
      </c>
      <c r="DX166" s="435">
        <v>60.05438531450104</v>
      </c>
      <c r="DY166" s="435">
        <v>60.294517685656956</v>
      </c>
      <c r="DZ166" s="435">
        <v>60.534650056812879</v>
      </c>
      <c r="EA166" s="363">
        <v>60.774782427968795</v>
      </c>
      <c r="EB166" s="435">
        <v>60.971619997231578</v>
      </c>
      <c r="EC166" s="435">
        <v>61.168457566494361</v>
      </c>
      <c r="ED166" s="435">
        <v>61.365295135757144</v>
      </c>
      <c r="EE166" s="435">
        <v>61.562132705019927</v>
      </c>
      <c r="EF166" s="363">
        <v>61.75897027428271</v>
      </c>
      <c r="EG166" s="364">
        <v>0</v>
      </c>
      <c r="EH166" s="364">
        <v>0</v>
      </c>
      <c r="EI166" s="364">
        <v>0</v>
      </c>
      <c r="EJ166" s="365">
        <v>0</v>
      </c>
      <c r="EK166" s="365">
        <v>0</v>
      </c>
      <c r="EL166" s="365">
        <v>0</v>
      </c>
      <c r="EM166" s="365">
        <v>0</v>
      </c>
      <c r="EN166" s="365">
        <v>0</v>
      </c>
      <c r="EO166" s="365">
        <v>0</v>
      </c>
      <c r="EP166" s="365">
        <v>0</v>
      </c>
      <c r="EQ166" s="365">
        <v>0</v>
      </c>
      <c r="ER166" s="365">
        <v>0</v>
      </c>
      <c r="ES166" s="365">
        <v>0</v>
      </c>
      <c r="ET166" s="365">
        <v>0</v>
      </c>
      <c r="EU166" s="365">
        <v>0</v>
      </c>
      <c r="EV166" s="436">
        <v>0</v>
      </c>
      <c r="EW166" s="436">
        <v>0</v>
      </c>
      <c r="EX166" s="436">
        <v>0</v>
      </c>
      <c r="EY166" s="436">
        <v>0</v>
      </c>
      <c r="EZ166" s="365">
        <v>0</v>
      </c>
      <c r="FA166" s="436">
        <v>0</v>
      </c>
      <c r="FB166" s="436">
        <v>0</v>
      </c>
      <c r="FC166" s="436">
        <v>0</v>
      </c>
      <c r="FD166" s="436">
        <v>0</v>
      </c>
      <c r="FE166" s="365">
        <v>0</v>
      </c>
      <c r="FF166" s="364">
        <v>0</v>
      </c>
      <c r="FG166" s="364">
        <v>0</v>
      </c>
      <c r="FH166" s="364">
        <v>0</v>
      </c>
      <c r="FI166" s="365">
        <v>0</v>
      </c>
      <c r="FJ166" s="365">
        <v>0</v>
      </c>
      <c r="FK166" s="365">
        <v>0</v>
      </c>
      <c r="FL166" s="365">
        <v>0</v>
      </c>
      <c r="FM166" s="365">
        <v>0</v>
      </c>
      <c r="FN166" s="365">
        <v>0</v>
      </c>
      <c r="FO166" s="365">
        <v>0</v>
      </c>
      <c r="FP166" s="365">
        <v>0</v>
      </c>
      <c r="FQ166" s="365">
        <v>0</v>
      </c>
      <c r="FR166" s="365">
        <v>0</v>
      </c>
      <c r="FS166" s="365">
        <v>0</v>
      </c>
      <c r="FT166" s="365">
        <v>0</v>
      </c>
      <c r="FU166" s="436">
        <v>0</v>
      </c>
      <c r="FV166" s="436">
        <v>0</v>
      </c>
      <c r="FW166" s="436">
        <v>0</v>
      </c>
      <c r="FX166" s="436">
        <v>0</v>
      </c>
      <c r="FY166" s="365">
        <v>0</v>
      </c>
      <c r="FZ166" s="436">
        <v>0</v>
      </c>
      <c r="GA166" s="436">
        <v>0</v>
      </c>
      <c r="GB166" s="436">
        <v>0</v>
      </c>
      <c r="GC166" s="436">
        <v>0</v>
      </c>
      <c r="GD166" s="365">
        <v>0</v>
      </c>
    </row>
    <row r="167" spans="1:186" ht="15" x14ac:dyDescent="0.25">
      <c r="A167" s="357">
        <v>108</v>
      </c>
      <c r="B167" s="357">
        <v>92</v>
      </c>
      <c r="C167" s="357" t="s">
        <v>1077</v>
      </c>
      <c r="D167" s="2">
        <v>99701</v>
      </c>
      <c r="E167" s="268" t="s">
        <v>1527</v>
      </c>
      <c r="F167" s="358" t="s">
        <v>985</v>
      </c>
      <c r="G167" s="49">
        <v>83</v>
      </c>
      <c r="H167" s="49">
        <v>33</v>
      </c>
      <c r="I167" s="49">
        <v>30</v>
      </c>
      <c r="J167" s="49">
        <v>3</v>
      </c>
      <c r="K167" s="49">
        <v>2</v>
      </c>
      <c r="L167" s="49">
        <v>40</v>
      </c>
      <c r="M167" s="49">
        <v>42</v>
      </c>
      <c r="N167" s="49">
        <v>68</v>
      </c>
      <c r="O167" s="49">
        <v>0</v>
      </c>
      <c r="P167" s="49">
        <v>0</v>
      </c>
      <c r="Q167" s="49">
        <v>110</v>
      </c>
      <c r="R167" s="49">
        <v>8361</v>
      </c>
      <c r="S167" s="49">
        <v>2615.5749999999998</v>
      </c>
      <c r="T167" s="49">
        <v>2889.1666666666665</v>
      </c>
      <c r="U167" s="49">
        <v>9206.2941176470595</v>
      </c>
      <c r="V167" s="49">
        <v>0</v>
      </c>
      <c r="W167" s="49">
        <v>0</v>
      </c>
      <c r="X167" s="49">
        <v>6794.3</v>
      </c>
      <c r="Y167" s="434">
        <v>121345</v>
      </c>
      <c r="Z167" s="434">
        <v>626028</v>
      </c>
      <c r="AA167" s="49">
        <v>1.5714285714285714</v>
      </c>
      <c r="AB167" s="49">
        <v>31.428571428571427</v>
      </c>
      <c r="AC167" s="49">
        <v>0</v>
      </c>
      <c r="AD167" s="285">
        <v>68</v>
      </c>
      <c r="AE167" s="285">
        <v>0</v>
      </c>
      <c r="AF167" s="359">
        <v>101</v>
      </c>
      <c r="AG167" s="360">
        <v>1.4285714285714284</v>
      </c>
      <c r="AH167" s="360">
        <v>28.571428571428569</v>
      </c>
      <c r="AI167" s="361">
        <v>29.999999999999996</v>
      </c>
      <c r="AJ167" s="360">
        <v>0</v>
      </c>
      <c r="AK167" s="360">
        <v>1.5539857399865005</v>
      </c>
      <c r="AL167" s="360">
        <v>31.079714799730009</v>
      </c>
      <c r="AM167" s="360">
        <v>32.633700539716507</v>
      </c>
      <c r="AN167" s="360">
        <v>0</v>
      </c>
      <c r="AO167" s="360">
        <v>1.4153160803239917</v>
      </c>
      <c r="AP167" s="360">
        <v>28.306321606479838</v>
      </c>
      <c r="AQ167" s="360">
        <v>29.721637686803831</v>
      </c>
      <c r="AR167" s="360">
        <v>0</v>
      </c>
      <c r="AS167" s="360">
        <v>67.648780801232903</v>
      </c>
      <c r="AT167" s="360">
        <v>0</v>
      </c>
      <c r="AU167" s="360">
        <v>32.27146699745132</v>
      </c>
      <c r="AV167" s="360">
        <v>32.45207836136494</v>
      </c>
      <c r="AW167" s="360">
        <v>32.633700539716507</v>
      </c>
      <c r="AX167" s="360">
        <v>32.816339189657413</v>
      </c>
      <c r="AY167" s="360">
        <v>33</v>
      </c>
      <c r="AZ167" s="360">
        <v>29.445858226187919</v>
      </c>
      <c r="BA167" s="360">
        <v>29.58342660301118</v>
      </c>
      <c r="BB167" s="360">
        <v>29.721637686803827</v>
      </c>
      <c r="BC167" s="360">
        <v>29.860494480234493</v>
      </c>
      <c r="BD167" s="360">
        <v>29.999999999999996</v>
      </c>
      <c r="BE167" s="360">
        <v>67.299375645489079</v>
      </c>
      <c r="BF167" s="360">
        <v>67.473852054714669</v>
      </c>
      <c r="BG167" s="360">
        <v>67.648780801232903</v>
      </c>
      <c r="BH167" s="360">
        <v>67.824163057746887</v>
      </c>
      <c r="BI167" s="360">
        <v>68</v>
      </c>
      <c r="BJ167" s="362">
        <v>33.601680441210171</v>
      </c>
      <c r="BK167" s="362">
        <v>34.214331165854738</v>
      </c>
      <c r="BL167" s="362">
        <v>34.838152192266321</v>
      </c>
      <c r="BM167" s="363">
        <v>34.609106626673565</v>
      </c>
      <c r="BN167" s="363">
        <v>34.381566935181944</v>
      </c>
      <c r="BO167" s="363">
        <v>34.271775463361891</v>
      </c>
      <c r="BP167" s="363">
        <v>34.162334591248573</v>
      </c>
      <c r="BQ167" s="363">
        <v>34.053243199263633</v>
      </c>
      <c r="BR167" s="363">
        <v>33.944500171403909</v>
      </c>
      <c r="BS167" s="363">
        <v>33.836104395229995</v>
      </c>
      <c r="BT167" s="363">
        <v>34.086388970983727</v>
      </c>
      <c r="BU167" s="363">
        <v>34.338524893693013</v>
      </c>
      <c r="BV167" s="363">
        <v>34.592525857711742</v>
      </c>
      <c r="BW167" s="363">
        <v>34.848405658690488</v>
      </c>
      <c r="BX167" s="363">
        <v>35.106178194325778</v>
      </c>
      <c r="BY167" s="435">
        <v>35.247684770185515</v>
      </c>
      <c r="BZ167" s="435">
        <v>35.389191346045251</v>
      </c>
      <c r="CA167" s="435">
        <v>35.530697921904995</v>
      </c>
      <c r="CB167" s="435">
        <v>35.672204497764731</v>
      </c>
      <c r="CC167" s="363">
        <v>35.813711073624468</v>
      </c>
      <c r="CD167" s="435">
        <v>35.929704641225747</v>
      </c>
      <c r="CE167" s="435">
        <v>36.045698208827034</v>
      </c>
      <c r="CF167" s="435">
        <v>36.161691776428313</v>
      </c>
      <c r="CG167" s="435">
        <v>36.277685344029599</v>
      </c>
      <c r="CH167" s="363">
        <v>36.393678911630879</v>
      </c>
      <c r="CI167" s="362">
        <v>30.546982219281972</v>
      </c>
      <c r="CJ167" s="362">
        <v>31.103937423504302</v>
      </c>
      <c r="CK167" s="362">
        <v>31.671047447514837</v>
      </c>
      <c r="CL167" s="363">
        <v>31.462824206066877</v>
      </c>
      <c r="CM167" s="363">
        <v>31.255969941074493</v>
      </c>
      <c r="CN167" s="363">
        <v>31.156159512147173</v>
      </c>
      <c r="CO167" s="363">
        <v>31.056667810225974</v>
      </c>
      <c r="CP167" s="363">
        <v>30.957493817512397</v>
      </c>
      <c r="CQ167" s="363">
        <v>30.858636519458102</v>
      </c>
      <c r="CR167" s="363">
        <v>30.760094904754542</v>
      </c>
      <c r="CS167" s="363">
        <v>30.987626337257932</v>
      </c>
      <c r="CT167" s="363">
        <v>31.216840812448194</v>
      </c>
      <c r="CU167" s="363">
        <v>31.447750779737945</v>
      </c>
      <c r="CV167" s="363">
        <v>31.680368780627713</v>
      </c>
      <c r="CW167" s="363">
        <v>31.91470744938707</v>
      </c>
      <c r="CX167" s="435">
        <v>32.043349791077738</v>
      </c>
      <c r="CY167" s="435">
        <v>32.171992132768409</v>
      </c>
      <c r="CZ167" s="435">
        <v>32.300634474459081</v>
      </c>
      <c r="DA167" s="435">
        <v>32.429276816149752</v>
      </c>
      <c r="DB167" s="363">
        <v>32.557919157840423</v>
      </c>
      <c r="DC167" s="435">
        <v>32.663367855659772</v>
      </c>
      <c r="DD167" s="435">
        <v>32.76881655347912</v>
      </c>
      <c r="DE167" s="435">
        <v>32.874265251298468</v>
      </c>
      <c r="DF167" s="435">
        <v>32.979713949117816</v>
      </c>
      <c r="DG167" s="363">
        <v>33.085162646937164</v>
      </c>
      <c r="DH167" s="362">
        <v>69.239826363705816</v>
      </c>
      <c r="DI167" s="362">
        <v>70.502258159943096</v>
      </c>
      <c r="DJ167" s="362">
        <v>71.787707547700307</v>
      </c>
      <c r="DK167" s="363">
        <v>71.315734867084927</v>
      </c>
      <c r="DL167" s="363">
        <v>70.846865199768857</v>
      </c>
      <c r="DM167" s="363">
        <v>70.620628227533601</v>
      </c>
      <c r="DN167" s="363">
        <v>70.395113703178879</v>
      </c>
      <c r="DO167" s="363">
        <v>70.170319319694769</v>
      </c>
      <c r="DP167" s="363">
        <v>69.946242777438371</v>
      </c>
      <c r="DQ167" s="363">
        <v>69.722881784110314</v>
      </c>
      <c r="DR167" s="363">
        <v>70.238619697784657</v>
      </c>
      <c r="DS167" s="363">
        <v>70.758172508215921</v>
      </c>
      <c r="DT167" s="363">
        <v>71.281568434072682</v>
      </c>
      <c r="DU167" s="363">
        <v>71.808835902756158</v>
      </c>
      <c r="DV167" s="363">
        <v>72.340003551944037</v>
      </c>
      <c r="DW167" s="435">
        <v>72.631592859776219</v>
      </c>
      <c r="DX167" s="435">
        <v>72.923182167608417</v>
      </c>
      <c r="DY167" s="435">
        <v>73.2147714754406</v>
      </c>
      <c r="DZ167" s="435">
        <v>73.506360783272797</v>
      </c>
      <c r="EA167" s="363">
        <v>73.79795009110498</v>
      </c>
      <c r="EB167" s="435">
        <v>74.036967139495502</v>
      </c>
      <c r="EC167" s="435">
        <v>74.275984187886024</v>
      </c>
      <c r="ED167" s="435">
        <v>74.515001236276547</v>
      </c>
      <c r="EE167" s="435">
        <v>74.754018284667069</v>
      </c>
      <c r="EF167" s="363">
        <v>74.993035333057591</v>
      </c>
      <c r="EG167" s="364">
        <v>0</v>
      </c>
      <c r="EH167" s="364">
        <v>0</v>
      </c>
      <c r="EI167" s="364">
        <v>0</v>
      </c>
      <c r="EJ167" s="365">
        <v>0</v>
      </c>
      <c r="EK167" s="365">
        <v>0</v>
      </c>
      <c r="EL167" s="365">
        <v>0</v>
      </c>
      <c r="EM167" s="365">
        <v>0</v>
      </c>
      <c r="EN167" s="365">
        <v>0</v>
      </c>
      <c r="EO167" s="365">
        <v>0</v>
      </c>
      <c r="EP167" s="365">
        <v>0</v>
      </c>
      <c r="EQ167" s="365">
        <v>0</v>
      </c>
      <c r="ER167" s="365">
        <v>0</v>
      </c>
      <c r="ES167" s="365">
        <v>0</v>
      </c>
      <c r="ET167" s="365">
        <v>0</v>
      </c>
      <c r="EU167" s="365">
        <v>0</v>
      </c>
      <c r="EV167" s="436">
        <v>0</v>
      </c>
      <c r="EW167" s="436">
        <v>0</v>
      </c>
      <c r="EX167" s="436">
        <v>0</v>
      </c>
      <c r="EY167" s="436">
        <v>0</v>
      </c>
      <c r="EZ167" s="365">
        <v>0</v>
      </c>
      <c r="FA167" s="436">
        <v>0</v>
      </c>
      <c r="FB167" s="436">
        <v>0</v>
      </c>
      <c r="FC167" s="436">
        <v>0</v>
      </c>
      <c r="FD167" s="436">
        <v>0</v>
      </c>
      <c r="FE167" s="365">
        <v>0</v>
      </c>
      <c r="FF167" s="364">
        <v>0</v>
      </c>
      <c r="FG167" s="364">
        <v>0</v>
      </c>
      <c r="FH167" s="364">
        <v>0</v>
      </c>
      <c r="FI167" s="365">
        <v>0</v>
      </c>
      <c r="FJ167" s="365">
        <v>0</v>
      </c>
      <c r="FK167" s="365">
        <v>0</v>
      </c>
      <c r="FL167" s="365">
        <v>0</v>
      </c>
      <c r="FM167" s="365">
        <v>0</v>
      </c>
      <c r="FN167" s="365">
        <v>0</v>
      </c>
      <c r="FO167" s="365">
        <v>0</v>
      </c>
      <c r="FP167" s="365">
        <v>0</v>
      </c>
      <c r="FQ167" s="365">
        <v>0</v>
      </c>
      <c r="FR167" s="365">
        <v>0</v>
      </c>
      <c r="FS167" s="365">
        <v>0</v>
      </c>
      <c r="FT167" s="365">
        <v>0</v>
      </c>
      <c r="FU167" s="436">
        <v>0</v>
      </c>
      <c r="FV167" s="436">
        <v>0</v>
      </c>
      <c r="FW167" s="436">
        <v>0</v>
      </c>
      <c r="FX167" s="436">
        <v>0</v>
      </c>
      <c r="FY167" s="365">
        <v>0</v>
      </c>
      <c r="FZ167" s="436">
        <v>0</v>
      </c>
      <c r="GA167" s="436">
        <v>0</v>
      </c>
      <c r="GB167" s="436">
        <v>0</v>
      </c>
      <c r="GC167" s="436">
        <v>0</v>
      </c>
      <c r="GD167" s="365">
        <v>0</v>
      </c>
    </row>
    <row r="168" spans="1:186" ht="15" x14ac:dyDescent="0.25">
      <c r="A168" s="357">
        <v>109</v>
      </c>
      <c r="B168" s="357">
        <v>92</v>
      </c>
      <c r="C168" s="357" t="s">
        <v>1078</v>
      </c>
      <c r="D168" s="2">
        <v>99701</v>
      </c>
      <c r="E168" s="268" t="s">
        <v>1527</v>
      </c>
      <c r="F168" s="358" t="s">
        <v>985</v>
      </c>
      <c r="G168" s="49">
        <v>1880</v>
      </c>
      <c r="H168" s="49">
        <v>642</v>
      </c>
      <c r="I168" s="49">
        <v>593</v>
      </c>
      <c r="J168" s="49">
        <v>49</v>
      </c>
      <c r="K168" s="49">
        <v>39</v>
      </c>
      <c r="L168" s="49">
        <v>222</v>
      </c>
      <c r="M168" s="49">
        <v>261</v>
      </c>
      <c r="N168" s="49">
        <v>47</v>
      </c>
      <c r="O168" s="49">
        <v>0</v>
      </c>
      <c r="P168" s="49">
        <v>0</v>
      </c>
      <c r="Q168" s="49">
        <v>308</v>
      </c>
      <c r="R168" s="49">
        <v>4493.1794871794873</v>
      </c>
      <c r="S168" s="49">
        <v>1789.4099099099099</v>
      </c>
      <c r="T168" s="49">
        <v>2193.4214559386974</v>
      </c>
      <c r="U168" s="49">
        <v>22259.468085106382</v>
      </c>
      <c r="V168" s="49">
        <v>0</v>
      </c>
      <c r="W168" s="49">
        <v>0</v>
      </c>
      <c r="X168" s="49">
        <v>5255.4480519480521</v>
      </c>
      <c r="Y168" s="434">
        <v>572483</v>
      </c>
      <c r="Z168" s="434">
        <v>1046195</v>
      </c>
      <c r="AA168" s="49">
        <v>95.931034482758619</v>
      </c>
      <c r="AB168" s="49">
        <v>546.06896551724139</v>
      </c>
      <c r="AC168" s="49">
        <v>0</v>
      </c>
      <c r="AD168" s="285">
        <v>47</v>
      </c>
      <c r="AE168" s="285">
        <v>0</v>
      </c>
      <c r="AF168" s="359">
        <v>689</v>
      </c>
      <c r="AG168" s="360">
        <v>88.609195402298852</v>
      </c>
      <c r="AH168" s="360">
        <v>504.39080459770122</v>
      </c>
      <c r="AI168" s="361">
        <v>593.00000000000011</v>
      </c>
      <c r="AJ168" s="360">
        <v>0</v>
      </c>
      <c r="AK168" s="360">
        <v>94.866201568956456</v>
      </c>
      <c r="AL168" s="360">
        <v>540.00760893098288</v>
      </c>
      <c r="AM168" s="360">
        <v>634.87381049993928</v>
      </c>
      <c r="AN168" s="360">
        <v>0</v>
      </c>
      <c r="AO168" s="360">
        <v>87.787013382211001</v>
      </c>
      <c r="AP168" s="360">
        <v>499.71069156027812</v>
      </c>
      <c r="AQ168" s="360">
        <v>587.49770494248912</v>
      </c>
      <c r="AR168" s="360">
        <v>0</v>
      </c>
      <c r="AS168" s="360">
        <v>46.757245553793332</v>
      </c>
      <c r="AT168" s="360">
        <v>0</v>
      </c>
      <c r="AU168" s="360">
        <v>627.8267215867802</v>
      </c>
      <c r="AV168" s="360">
        <v>631.34043357564519</v>
      </c>
      <c r="AW168" s="360">
        <v>634.8738104999394</v>
      </c>
      <c r="AX168" s="360">
        <v>638.42696241697149</v>
      </c>
      <c r="AY168" s="360">
        <v>642</v>
      </c>
      <c r="AZ168" s="360">
        <v>582.04646427098135</v>
      </c>
      <c r="BA168" s="360">
        <v>584.76573251952118</v>
      </c>
      <c r="BB168" s="360">
        <v>587.49770494248912</v>
      </c>
      <c r="BC168" s="360">
        <v>590.24244089263539</v>
      </c>
      <c r="BD168" s="360">
        <v>593.00000000000011</v>
      </c>
      <c r="BE168" s="360">
        <v>46.515744931440977</v>
      </c>
      <c r="BF168" s="360">
        <v>46.636338920170438</v>
      </c>
      <c r="BG168" s="360">
        <v>46.757245553793332</v>
      </c>
      <c r="BH168" s="360">
        <v>46.878465642854465</v>
      </c>
      <c r="BI168" s="360">
        <v>47</v>
      </c>
      <c r="BJ168" s="362">
        <v>653.70541949263429</v>
      </c>
      <c r="BK168" s="362">
        <v>665.62426086299217</v>
      </c>
      <c r="BL168" s="362">
        <v>677.7604153768176</v>
      </c>
      <c r="BM168" s="363">
        <v>673.3044380098313</v>
      </c>
      <c r="BN168" s="363">
        <v>668.87775673899421</v>
      </c>
      <c r="BO168" s="363">
        <v>666.74181355994961</v>
      </c>
      <c r="BP168" s="363">
        <v>664.61269113883588</v>
      </c>
      <c r="BQ168" s="363">
        <v>662.49036769476538</v>
      </c>
      <c r="BR168" s="363">
        <v>660.37482151640347</v>
      </c>
      <c r="BS168" s="363">
        <v>658.26603096174733</v>
      </c>
      <c r="BT168" s="363">
        <v>663.1352036173198</v>
      </c>
      <c r="BU168" s="363">
        <v>668.04039338639143</v>
      </c>
      <c r="BV168" s="363">
        <v>672.9818666863921</v>
      </c>
      <c r="BW168" s="363">
        <v>677.95989190543321</v>
      </c>
      <c r="BX168" s="363">
        <v>682.97473941688338</v>
      </c>
      <c r="BY168" s="435">
        <v>685.72768552906371</v>
      </c>
      <c r="BZ168" s="435">
        <v>688.48063164124414</v>
      </c>
      <c r="CA168" s="435">
        <v>691.23357775342447</v>
      </c>
      <c r="CB168" s="435">
        <v>693.98652386560491</v>
      </c>
      <c r="CC168" s="363">
        <v>696.73946997778523</v>
      </c>
      <c r="CD168" s="435">
        <v>698.99607211111925</v>
      </c>
      <c r="CE168" s="435">
        <v>701.25267424445326</v>
      </c>
      <c r="CF168" s="435">
        <v>703.50927637778739</v>
      </c>
      <c r="CG168" s="435">
        <v>705.7658785111214</v>
      </c>
      <c r="CH168" s="363">
        <v>708.02248064445541</v>
      </c>
      <c r="CI168" s="362">
        <v>603.81201520114053</v>
      </c>
      <c r="CJ168" s="362">
        <v>614.82116307126853</v>
      </c>
      <c r="CK168" s="362">
        <v>626.03103787921009</v>
      </c>
      <c r="CL168" s="363">
        <v>621.91515847325547</v>
      </c>
      <c r="CM168" s="363">
        <v>617.82633916857264</v>
      </c>
      <c r="CN168" s="363">
        <v>615.85341969010926</v>
      </c>
      <c r="CO168" s="363">
        <v>613.88680038213352</v>
      </c>
      <c r="CP168" s="363">
        <v>611.92646112616183</v>
      </c>
      <c r="CQ168" s="363">
        <v>609.97238186795528</v>
      </c>
      <c r="CR168" s="363">
        <v>608.02454261731498</v>
      </c>
      <c r="CS168" s="363">
        <v>612.52208059979864</v>
      </c>
      <c r="CT168" s="363">
        <v>617.05288672605946</v>
      </c>
      <c r="CU168" s="363">
        <v>621.61720707948689</v>
      </c>
      <c r="CV168" s="363">
        <v>626.21528956374129</v>
      </c>
      <c r="CW168" s="363">
        <v>630.84738391621784</v>
      </c>
      <c r="CX168" s="435">
        <v>633.39021420363679</v>
      </c>
      <c r="CY168" s="435">
        <v>635.93304449105574</v>
      </c>
      <c r="CZ168" s="435">
        <v>638.47587477847469</v>
      </c>
      <c r="DA168" s="435">
        <v>641.01870506589364</v>
      </c>
      <c r="DB168" s="363">
        <v>643.56153535331259</v>
      </c>
      <c r="DC168" s="435">
        <v>645.64590461354169</v>
      </c>
      <c r="DD168" s="435">
        <v>647.73027387377078</v>
      </c>
      <c r="DE168" s="435">
        <v>649.81464313399988</v>
      </c>
      <c r="DF168" s="435">
        <v>651.89901239422898</v>
      </c>
      <c r="DG168" s="363">
        <v>653.98338165445807</v>
      </c>
      <c r="DH168" s="362">
        <v>47.856938810208426</v>
      </c>
      <c r="DI168" s="362">
        <v>48.72950196349008</v>
      </c>
      <c r="DJ168" s="362">
        <v>49.617974334439914</v>
      </c>
      <c r="DK168" s="363">
        <v>49.291757922838109</v>
      </c>
      <c r="DL168" s="363">
        <v>48.967686241016708</v>
      </c>
      <c r="DM168" s="363">
        <v>48.811316569030573</v>
      </c>
      <c r="DN168" s="363">
        <v>48.655446236020694</v>
      </c>
      <c r="DO168" s="363">
        <v>48.500073647436089</v>
      </c>
      <c r="DP168" s="363">
        <v>48.345197213817698</v>
      </c>
      <c r="DQ168" s="363">
        <v>48.190815350782124</v>
      </c>
      <c r="DR168" s="363">
        <v>48.547281261704093</v>
      </c>
      <c r="DS168" s="363">
        <v>48.90638393950217</v>
      </c>
      <c r="DT168" s="363">
        <v>49.268142888256115</v>
      </c>
      <c r="DU168" s="363">
        <v>49.632577756316756</v>
      </c>
      <c r="DV168" s="363">
        <v>49.999708337373079</v>
      </c>
      <c r="DW168" s="435">
        <v>50.2012480060218</v>
      </c>
      <c r="DX168" s="435">
        <v>50.402787674670513</v>
      </c>
      <c r="DY168" s="435">
        <v>50.604327343319234</v>
      </c>
      <c r="DZ168" s="435">
        <v>50.805867011967948</v>
      </c>
      <c r="EA168" s="363">
        <v>51.007406680616668</v>
      </c>
      <c r="EB168" s="435">
        <v>51.172609640533643</v>
      </c>
      <c r="EC168" s="435">
        <v>51.337812600450626</v>
      </c>
      <c r="ED168" s="435">
        <v>51.503015560367601</v>
      </c>
      <c r="EE168" s="435">
        <v>51.668218520284583</v>
      </c>
      <c r="EF168" s="363">
        <v>51.833421480201558</v>
      </c>
      <c r="EG168" s="364">
        <v>0</v>
      </c>
      <c r="EH168" s="364">
        <v>0</v>
      </c>
      <c r="EI168" s="364">
        <v>0</v>
      </c>
      <c r="EJ168" s="365">
        <v>0</v>
      </c>
      <c r="EK168" s="365">
        <v>0</v>
      </c>
      <c r="EL168" s="365">
        <v>0</v>
      </c>
      <c r="EM168" s="365">
        <v>0</v>
      </c>
      <c r="EN168" s="365">
        <v>0</v>
      </c>
      <c r="EO168" s="365">
        <v>0</v>
      </c>
      <c r="EP168" s="365">
        <v>0</v>
      </c>
      <c r="EQ168" s="365">
        <v>0</v>
      </c>
      <c r="ER168" s="365">
        <v>0</v>
      </c>
      <c r="ES168" s="365">
        <v>0</v>
      </c>
      <c r="ET168" s="365">
        <v>0</v>
      </c>
      <c r="EU168" s="365">
        <v>0</v>
      </c>
      <c r="EV168" s="436">
        <v>0</v>
      </c>
      <c r="EW168" s="436">
        <v>0</v>
      </c>
      <c r="EX168" s="436">
        <v>0</v>
      </c>
      <c r="EY168" s="436">
        <v>0</v>
      </c>
      <c r="EZ168" s="365">
        <v>0</v>
      </c>
      <c r="FA168" s="436">
        <v>0</v>
      </c>
      <c r="FB168" s="436">
        <v>0</v>
      </c>
      <c r="FC168" s="436">
        <v>0</v>
      </c>
      <c r="FD168" s="436">
        <v>0</v>
      </c>
      <c r="FE168" s="365">
        <v>0</v>
      </c>
      <c r="FF168" s="364">
        <v>0</v>
      </c>
      <c r="FG168" s="364">
        <v>0</v>
      </c>
      <c r="FH168" s="364">
        <v>0</v>
      </c>
      <c r="FI168" s="365">
        <v>0</v>
      </c>
      <c r="FJ168" s="365">
        <v>0</v>
      </c>
      <c r="FK168" s="365">
        <v>0</v>
      </c>
      <c r="FL168" s="365">
        <v>0</v>
      </c>
      <c r="FM168" s="365">
        <v>0</v>
      </c>
      <c r="FN168" s="365">
        <v>0</v>
      </c>
      <c r="FO168" s="365">
        <v>0</v>
      </c>
      <c r="FP168" s="365">
        <v>0</v>
      </c>
      <c r="FQ168" s="365">
        <v>0</v>
      </c>
      <c r="FR168" s="365">
        <v>0</v>
      </c>
      <c r="FS168" s="365">
        <v>0</v>
      </c>
      <c r="FT168" s="365">
        <v>0</v>
      </c>
      <c r="FU168" s="436">
        <v>0</v>
      </c>
      <c r="FV168" s="436">
        <v>0</v>
      </c>
      <c r="FW168" s="436">
        <v>0</v>
      </c>
      <c r="FX168" s="436">
        <v>0</v>
      </c>
      <c r="FY168" s="365">
        <v>0</v>
      </c>
      <c r="FZ168" s="436">
        <v>0</v>
      </c>
      <c r="GA168" s="436">
        <v>0</v>
      </c>
      <c r="GB168" s="436">
        <v>0</v>
      </c>
      <c r="GC168" s="436">
        <v>0</v>
      </c>
      <c r="GD168" s="365">
        <v>0</v>
      </c>
    </row>
    <row r="169" spans="1:186" ht="15" x14ac:dyDescent="0.25">
      <c r="A169" s="357">
        <v>110</v>
      </c>
      <c r="B169" s="357">
        <v>92</v>
      </c>
      <c r="C169" s="357" t="s">
        <v>1079</v>
      </c>
      <c r="D169" s="2">
        <v>99701</v>
      </c>
      <c r="E169" s="268" t="s">
        <v>1527</v>
      </c>
      <c r="F169" s="358" t="s">
        <v>985</v>
      </c>
      <c r="G169" s="49">
        <v>139</v>
      </c>
      <c r="H169" s="49">
        <v>64</v>
      </c>
      <c r="I169" s="49">
        <v>58</v>
      </c>
      <c r="J169" s="49">
        <v>6</v>
      </c>
      <c r="K169" s="49">
        <v>0</v>
      </c>
      <c r="L169" s="49">
        <v>31</v>
      </c>
      <c r="M169" s="49">
        <v>31</v>
      </c>
      <c r="N169" s="49">
        <v>66</v>
      </c>
      <c r="O169" s="49">
        <v>0</v>
      </c>
      <c r="P169" s="49">
        <v>0</v>
      </c>
      <c r="Q169" s="49">
        <v>97</v>
      </c>
      <c r="R169" s="49">
        <v>0</v>
      </c>
      <c r="S169" s="49">
        <v>1157.9677419354839</v>
      </c>
      <c r="T169" s="49">
        <v>1157.9677419354839</v>
      </c>
      <c r="U169" s="49">
        <v>11259.09090909091</v>
      </c>
      <c r="V169" s="49">
        <v>0</v>
      </c>
      <c r="W169" s="49">
        <v>0</v>
      </c>
      <c r="X169" s="49">
        <v>8030.8969072164946</v>
      </c>
      <c r="Y169" s="434">
        <v>35897</v>
      </c>
      <c r="Z169" s="434">
        <v>743100</v>
      </c>
      <c r="AA169" s="49">
        <v>0</v>
      </c>
      <c r="AB169" s="49">
        <v>64</v>
      </c>
      <c r="AC169" s="49">
        <v>0</v>
      </c>
      <c r="AD169" s="285">
        <v>66</v>
      </c>
      <c r="AE169" s="285">
        <v>0</v>
      </c>
      <c r="AF169" s="359">
        <v>130</v>
      </c>
      <c r="AG169" s="360">
        <v>0</v>
      </c>
      <c r="AH169" s="360">
        <v>58</v>
      </c>
      <c r="AI169" s="361">
        <v>58</v>
      </c>
      <c r="AJ169" s="360">
        <v>0</v>
      </c>
      <c r="AK169" s="360">
        <v>0</v>
      </c>
      <c r="AL169" s="360">
        <v>63.289601046722929</v>
      </c>
      <c r="AM169" s="360">
        <v>63.289601046722929</v>
      </c>
      <c r="AN169" s="360">
        <v>0</v>
      </c>
      <c r="AO169" s="360">
        <v>0</v>
      </c>
      <c r="AP169" s="360">
        <v>57.461832861154072</v>
      </c>
      <c r="AQ169" s="360">
        <v>57.461832861154072</v>
      </c>
      <c r="AR169" s="360">
        <v>0</v>
      </c>
      <c r="AS169" s="360">
        <v>65.659110777667223</v>
      </c>
      <c r="AT169" s="360">
        <v>0</v>
      </c>
      <c r="AU169" s="360">
        <v>62.587087510208619</v>
      </c>
      <c r="AV169" s="360">
        <v>62.93736409476837</v>
      </c>
      <c r="AW169" s="360">
        <v>63.289601046722929</v>
      </c>
      <c r="AX169" s="360">
        <v>63.643809337517403</v>
      </c>
      <c r="AY169" s="360">
        <v>64</v>
      </c>
      <c r="AZ169" s="360">
        <v>56.92865923729665</v>
      </c>
      <c r="BA169" s="360">
        <v>57.194624765821615</v>
      </c>
      <c r="BB169" s="360">
        <v>57.461832861154072</v>
      </c>
      <c r="BC169" s="360">
        <v>57.73028932845336</v>
      </c>
      <c r="BD169" s="360">
        <v>58</v>
      </c>
      <c r="BE169" s="360">
        <v>65.319982244151163</v>
      </c>
      <c r="BF169" s="360">
        <v>65.489326994281896</v>
      </c>
      <c r="BG169" s="360">
        <v>65.659110777667223</v>
      </c>
      <c r="BH169" s="360">
        <v>65.829334732519044</v>
      </c>
      <c r="BI169" s="360">
        <v>66</v>
      </c>
      <c r="BJ169" s="362">
        <v>65.16689540113488</v>
      </c>
      <c r="BK169" s="362">
        <v>66.355066503475854</v>
      </c>
      <c r="BL169" s="362">
        <v>67.564901221364991</v>
      </c>
      <c r="BM169" s="363">
        <v>67.120691639609348</v>
      </c>
      <c r="BN169" s="363">
        <v>66.679402540958918</v>
      </c>
      <c r="BO169" s="363">
        <v>66.466473625913977</v>
      </c>
      <c r="BP169" s="363">
        <v>66.254224661815414</v>
      </c>
      <c r="BQ169" s="363">
        <v>66.042653477359778</v>
      </c>
      <c r="BR169" s="363">
        <v>65.831757908177295</v>
      </c>
      <c r="BS169" s="363">
        <v>65.621535796809695</v>
      </c>
      <c r="BT169" s="363">
        <v>66.106936186150264</v>
      </c>
      <c r="BU169" s="363">
        <v>66.595927066556158</v>
      </c>
      <c r="BV169" s="363">
        <v>67.088534996774285</v>
      </c>
      <c r="BW169" s="363">
        <v>67.584786732005796</v>
      </c>
      <c r="BX169" s="363">
        <v>68.084709225359092</v>
      </c>
      <c r="BY169" s="435">
        <v>68.359146220965854</v>
      </c>
      <c r="BZ169" s="435">
        <v>68.633583216572617</v>
      </c>
      <c r="CA169" s="435">
        <v>68.90802021217938</v>
      </c>
      <c r="CB169" s="435">
        <v>69.182457207786143</v>
      </c>
      <c r="CC169" s="363">
        <v>69.456894203392906</v>
      </c>
      <c r="CD169" s="435">
        <v>69.681851425407515</v>
      </c>
      <c r="CE169" s="435">
        <v>69.906808647422125</v>
      </c>
      <c r="CF169" s="435">
        <v>70.131765869436734</v>
      </c>
      <c r="CG169" s="435">
        <v>70.356723091451343</v>
      </c>
      <c r="CH169" s="363">
        <v>70.581680313465952</v>
      </c>
      <c r="CI169" s="362">
        <v>59.057498957278483</v>
      </c>
      <c r="CJ169" s="362">
        <v>60.13427901877499</v>
      </c>
      <c r="CK169" s="362">
        <v>61.230691731862024</v>
      </c>
      <c r="CL169" s="363">
        <v>60.828126798395971</v>
      </c>
      <c r="CM169" s="363">
        <v>60.428208552744024</v>
      </c>
      <c r="CN169" s="363">
        <v>60.235241723484542</v>
      </c>
      <c r="CO169" s="363">
        <v>60.042891099770223</v>
      </c>
      <c r="CP169" s="363">
        <v>59.851154713857305</v>
      </c>
      <c r="CQ169" s="363">
        <v>59.660030604285666</v>
      </c>
      <c r="CR169" s="363">
        <v>59.469516815858789</v>
      </c>
      <c r="CS169" s="363">
        <v>59.909410918698676</v>
      </c>
      <c r="CT169" s="363">
        <v>60.352558904066512</v>
      </c>
      <c r="CU169" s="363">
        <v>60.798984840826698</v>
      </c>
      <c r="CV169" s="363">
        <v>61.248712975880252</v>
      </c>
      <c r="CW169" s="363">
        <v>61.701767735481674</v>
      </c>
      <c r="CX169" s="435">
        <v>61.950476262750307</v>
      </c>
      <c r="CY169" s="435">
        <v>62.199184790018933</v>
      </c>
      <c r="CZ169" s="435">
        <v>62.447893317287566</v>
      </c>
      <c r="DA169" s="435">
        <v>62.696601844556191</v>
      </c>
      <c r="DB169" s="363">
        <v>62.945310371824824</v>
      </c>
      <c r="DC169" s="435">
        <v>63.149177854275564</v>
      </c>
      <c r="DD169" s="435">
        <v>63.353045336726304</v>
      </c>
      <c r="DE169" s="435">
        <v>63.556912819177043</v>
      </c>
      <c r="DF169" s="435">
        <v>63.760780301627783</v>
      </c>
      <c r="DG169" s="363">
        <v>63.964647784078522</v>
      </c>
      <c r="DH169" s="362">
        <v>67.203360882420341</v>
      </c>
      <c r="DI169" s="362">
        <v>68.428662331709475</v>
      </c>
      <c r="DJ169" s="362">
        <v>69.676304384532642</v>
      </c>
      <c r="DK169" s="363">
        <v>69.21821325334713</v>
      </c>
      <c r="DL169" s="363">
        <v>68.763133870363887</v>
      </c>
      <c r="DM169" s="363">
        <v>68.543550926723782</v>
      </c>
      <c r="DN169" s="363">
        <v>68.324669182497146</v>
      </c>
      <c r="DO169" s="363">
        <v>68.106486398527267</v>
      </c>
      <c r="DP169" s="363">
        <v>67.889000342807819</v>
      </c>
      <c r="DQ169" s="363">
        <v>67.67220879045999</v>
      </c>
      <c r="DR169" s="363">
        <v>68.172777941967453</v>
      </c>
      <c r="DS169" s="363">
        <v>68.677049787386025</v>
      </c>
      <c r="DT169" s="363">
        <v>69.185051715423484</v>
      </c>
      <c r="DU169" s="363">
        <v>69.696811317380977</v>
      </c>
      <c r="DV169" s="363">
        <v>70.212356388651557</v>
      </c>
      <c r="DW169" s="435">
        <v>70.49536954037103</v>
      </c>
      <c r="DX169" s="435">
        <v>70.778382692090503</v>
      </c>
      <c r="DY169" s="435">
        <v>71.06139584380999</v>
      </c>
      <c r="DZ169" s="435">
        <v>71.344408995529463</v>
      </c>
      <c r="EA169" s="363">
        <v>71.627422147248936</v>
      </c>
      <c r="EB169" s="435">
        <v>71.859409282451495</v>
      </c>
      <c r="EC169" s="435">
        <v>72.091396417654067</v>
      </c>
      <c r="ED169" s="435">
        <v>72.323383552856626</v>
      </c>
      <c r="EE169" s="435">
        <v>72.555370688059199</v>
      </c>
      <c r="EF169" s="363">
        <v>72.787357823261758</v>
      </c>
      <c r="EG169" s="364">
        <v>0</v>
      </c>
      <c r="EH169" s="364">
        <v>0</v>
      </c>
      <c r="EI169" s="364">
        <v>0</v>
      </c>
      <c r="EJ169" s="365">
        <v>0</v>
      </c>
      <c r="EK169" s="365">
        <v>0</v>
      </c>
      <c r="EL169" s="365">
        <v>0</v>
      </c>
      <c r="EM169" s="365">
        <v>0</v>
      </c>
      <c r="EN169" s="365">
        <v>0</v>
      </c>
      <c r="EO169" s="365">
        <v>0</v>
      </c>
      <c r="EP169" s="365">
        <v>0</v>
      </c>
      <c r="EQ169" s="365">
        <v>0</v>
      </c>
      <c r="ER169" s="365">
        <v>0</v>
      </c>
      <c r="ES169" s="365">
        <v>0</v>
      </c>
      <c r="ET169" s="365">
        <v>0</v>
      </c>
      <c r="EU169" s="365">
        <v>0</v>
      </c>
      <c r="EV169" s="436">
        <v>0</v>
      </c>
      <c r="EW169" s="436">
        <v>0</v>
      </c>
      <c r="EX169" s="436">
        <v>0</v>
      </c>
      <c r="EY169" s="436">
        <v>0</v>
      </c>
      <c r="EZ169" s="365">
        <v>0</v>
      </c>
      <c r="FA169" s="436">
        <v>0</v>
      </c>
      <c r="FB169" s="436">
        <v>0</v>
      </c>
      <c r="FC169" s="436">
        <v>0</v>
      </c>
      <c r="FD169" s="436">
        <v>0</v>
      </c>
      <c r="FE169" s="365">
        <v>0</v>
      </c>
      <c r="FF169" s="364">
        <v>0</v>
      </c>
      <c r="FG169" s="364">
        <v>0</v>
      </c>
      <c r="FH169" s="364">
        <v>0</v>
      </c>
      <c r="FI169" s="365">
        <v>0</v>
      </c>
      <c r="FJ169" s="365">
        <v>0</v>
      </c>
      <c r="FK169" s="365">
        <v>0</v>
      </c>
      <c r="FL169" s="365">
        <v>0</v>
      </c>
      <c r="FM169" s="365">
        <v>0</v>
      </c>
      <c r="FN169" s="365">
        <v>0</v>
      </c>
      <c r="FO169" s="365">
        <v>0</v>
      </c>
      <c r="FP169" s="365">
        <v>0</v>
      </c>
      <c r="FQ169" s="365">
        <v>0</v>
      </c>
      <c r="FR169" s="365">
        <v>0</v>
      </c>
      <c r="FS169" s="365">
        <v>0</v>
      </c>
      <c r="FT169" s="365">
        <v>0</v>
      </c>
      <c r="FU169" s="436">
        <v>0</v>
      </c>
      <c r="FV169" s="436">
        <v>0</v>
      </c>
      <c r="FW169" s="436">
        <v>0</v>
      </c>
      <c r="FX169" s="436">
        <v>0</v>
      </c>
      <c r="FY169" s="365">
        <v>0</v>
      </c>
      <c r="FZ169" s="436">
        <v>0</v>
      </c>
      <c r="GA169" s="436">
        <v>0</v>
      </c>
      <c r="GB169" s="436">
        <v>0</v>
      </c>
      <c r="GC169" s="436">
        <v>0</v>
      </c>
      <c r="GD169" s="365">
        <v>0</v>
      </c>
    </row>
    <row r="170" spans="1:186" ht="15" x14ac:dyDescent="0.25">
      <c r="A170" s="357">
        <v>111</v>
      </c>
      <c r="B170" s="357">
        <v>92</v>
      </c>
      <c r="C170" s="357" t="s">
        <v>1080</v>
      </c>
      <c r="D170" s="2">
        <v>99701</v>
      </c>
      <c r="E170" s="268" t="s">
        <v>1527</v>
      </c>
      <c r="F170" s="358" t="s">
        <v>985</v>
      </c>
      <c r="G170" s="49">
        <v>482</v>
      </c>
      <c r="H170" s="49">
        <v>178</v>
      </c>
      <c r="I170" s="49">
        <v>147</v>
      </c>
      <c r="J170" s="49">
        <v>31</v>
      </c>
      <c r="K170" s="49">
        <v>0</v>
      </c>
      <c r="L170" s="49">
        <v>14</v>
      </c>
      <c r="M170" s="49">
        <v>14</v>
      </c>
      <c r="N170" s="49">
        <v>26</v>
      </c>
      <c r="O170" s="49">
        <v>0</v>
      </c>
      <c r="P170" s="49">
        <v>0</v>
      </c>
      <c r="Q170" s="49">
        <v>40</v>
      </c>
      <c r="R170" s="49">
        <v>0</v>
      </c>
      <c r="S170" s="49">
        <v>2151.5714285714284</v>
      </c>
      <c r="T170" s="49">
        <v>2151.5714285714284</v>
      </c>
      <c r="U170" s="49">
        <v>5604.5384615384619</v>
      </c>
      <c r="V170" s="49">
        <v>0</v>
      </c>
      <c r="W170" s="49">
        <v>0</v>
      </c>
      <c r="X170" s="49">
        <v>4396</v>
      </c>
      <c r="Y170" s="434">
        <v>30122</v>
      </c>
      <c r="Z170" s="434">
        <v>145718</v>
      </c>
      <c r="AA170" s="49">
        <v>0</v>
      </c>
      <c r="AB170" s="49">
        <v>178</v>
      </c>
      <c r="AC170" s="49">
        <v>0</v>
      </c>
      <c r="AD170" s="285">
        <v>26</v>
      </c>
      <c r="AE170" s="285">
        <v>0</v>
      </c>
      <c r="AF170" s="359">
        <v>204</v>
      </c>
      <c r="AG170" s="360">
        <v>0</v>
      </c>
      <c r="AH170" s="360">
        <v>147</v>
      </c>
      <c r="AI170" s="361">
        <v>147</v>
      </c>
      <c r="AJ170" s="360">
        <v>0</v>
      </c>
      <c r="AK170" s="360">
        <v>0</v>
      </c>
      <c r="AL170" s="360">
        <v>176.02420291119813</v>
      </c>
      <c r="AM170" s="360">
        <v>176.02420291119813</v>
      </c>
      <c r="AN170" s="360">
        <v>0</v>
      </c>
      <c r="AO170" s="360">
        <v>0</v>
      </c>
      <c r="AP170" s="360">
        <v>145.63602466533877</v>
      </c>
      <c r="AQ170" s="360">
        <v>145.63602466533877</v>
      </c>
      <c r="AR170" s="360">
        <v>0</v>
      </c>
      <c r="AS170" s="360">
        <v>25.865710306353758</v>
      </c>
      <c r="AT170" s="360">
        <v>0</v>
      </c>
      <c r="AU170" s="360">
        <v>174.07033713776772</v>
      </c>
      <c r="AV170" s="360">
        <v>175.04454388857451</v>
      </c>
      <c r="AW170" s="360">
        <v>176.02420291119813</v>
      </c>
      <c r="AX170" s="360">
        <v>177.00934471997027</v>
      </c>
      <c r="AY170" s="360">
        <v>178</v>
      </c>
      <c r="AZ170" s="360">
        <v>144.28470530832081</v>
      </c>
      <c r="BA170" s="360">
        <v>144.9587903547548</v>
      </c>
      <c r="BB170" s="360">
        <v>145.63602466533877</v>
      </c>
      <c r="BC170" s="360">
        <v>146.31642295314904</v>
      </c>
      <c r="BD170" s="360">
        <v>147</v>
      </c>
      <c r="BE170" s="360">
        <v>25.73211421739288</v>
      </c>
      <c r="BF170" s="360">
        <v>25.7988257856262</v>
      </c>
      <c r="BG170" s="360">
        <v>25.865710306353758</v>
      </c>
      <c r="BH170" s="360">
        <v>25.932768227962047</v>
      </c>
      <c r="BI170" s="360">
        <v>26</v>
      </c>
      <c r="BJ170" s="362">
        <v>181.2454278344064</v>
      </c>
      <c r="BK170" s="362">
        <v>184.55002871279223</v>
      </c>
      <c r="BL170" s="362">
        <v>187.91488152192139</v>
      </c>
      <c r="BM170" s="363">
        <v>186.67942362266351</v>
      </c>
      <c r="BN170" s="363">
        <v>185.45208831704201</v>
      </c>
      <c r="BO170" s="363">
        <v>184.85987977207324</v>
      </c>
      <c r="BP170" s="363">
        <v>184.26956234067413</v>
      </c>
      <c r="BQ170" s="363">
        <v>183.68112998390689</v>
      </c>
      <c r="BR170" s="363">
        <v>183.09457668211809</v>
      </c>
      <c r="BS170" s="363">
        <v>182.50989643487696</v>
      </c>
      <c r="BT170" s="363">
        <v>183.85991626773043</v>
      </c>
      <c r="BU170" s="363">
        <v>185.2199221538593</v>
      </c>
      <c r="BV170" s="363">
        <v>186.58998795977851</v>
      </c>
      <c r="BW170" s="363">
        <v>187.97018809839113</v>
      </c>
      <c r="BX170" s="363">
        <v>189.36059753302996</v>
      </c>
      <c r="BY170" s="435">
        <v>190.12387542706128</v>
      </c>
      <c r="BZ170" s="435">
        <v>190.8871533210926</v>
      </c>
      <c r="CA170" s="435">
        <v>191.65043121512392</v>
      </c>
      <c r="CB170" s="435">
        <v>192.41370910915523</v>
      </c>
      <c r="CC170" s="363">
        <v>193.17698700318655</v>
      </c>
      <c r="CD170" s="435">
        <v>193.80264927691468</v>
      </c>
      <c r="CE170" s="435">
        <v>194.4283115506428</v>
      </c>
      <c r="CF170" s="435">
        <v>195.05397382437096</v>
      </c>
      <c r="CG170" s="435">
        <v>195.67963609809908</v>
      </c>
      <c r="CH170" s="363">
        <v>196.30529837182721</v>
      </c>
      <c r="CI170" s="362">
        <v>149.68021287448167</v>
      </c>
      <c r="CJ170" s="362">
        <v>152.4092933751711</v>
      </c>
      <c r="CK170" s="362">
        <v>155.18813249282272</v>
      </c>
      <c r="CL170" s="363">
        <v>154.16783860972771</v>
      </c>
      <c r="CM170" s="363">
        <v>153.15425271126503</v>
      </c>
      <c r="CN170" s="363">
        <v>152.66518160952117</v>
      </c>
      <c r="CO170" s="363">
        <v>152.17767227010728</v>
      </c>
      <c r="CP170" s="363">
        <v>151.69171970581075</v>
      </c>
      <c r="CQ170" s="363">
        <v>151.20731894534472</v>
      </c>
      <c r="CR170" s="363">
        <v>150.72446503329726</v>
      </c>
      <c r="CS170" s="363">
        <v>151.83936905256388</v>
      </c>
      <c r="CT170" s="363">
        <v>152.96251998099618</v>
      </c>
      <c r="CU170" s="363">
        <v>154.09397882071596</v>
      </c>
      <c r="CV170" s="363">
        <v>155.23380702507581</v>
      </c>
      <c r="CW170" s="363">
        <v>156.38206650199666</v>
      </c>
      <c r="CX170" s="435">
        <v>157.01241397628095</v>
      </c>
      <c r="CY170" s="435">
        <v>157.64276145056525</v>
      </c>
      <c r="CZ170" s="435">
        <v>158.27310892484951</v>
      </c>
      <c r="DA170" s="435">
        <v>158.9034563991338</v>
      </c>
      <c r="DB170" s="363">
        <v>159.53380387341809</v>
      </c>
      <c r="DC170" s="435">
        <v>160.0505024927329</v>
      </c>
      <c r="DD170" s="435">
        <v>160.56720111204771</v>
      </c>
      <c r="DE170" s="435">
        <v>161.08389973136249</v>
      </c>
      <c r="DF170" s="435">
        <v>161.6005983506773</v>
      </c>
      <c r="DG170" s="363">
        <v>162.11729696999211</v>
      </c>
      <c r="DH170" s="362">
        <v>26.474051256711046</v>
      </c>
      <c r="DI170" s="362">
        <v>26.956745767037066</v>
      </c>
      <c r="DJ170" s="362">
        <v>27.448241121179528</v>
      </c>
      <c r="DK170" s="363">
        <v>27.267780978591297</v>
      </c>
      <c r="DL170" s="363">
        <v>27.088507282264562</v>
      </c>
      <c r="DM170" s="363">
        <v>27.002004910527553</v>
      </c>
      <c r="DN170" s="363">
        <v>26.915778768862513</v>
      </c>
      <c r="DO170" s="363">
        <v>26.829827975177412</v>
      </c>
      <c r="DP170" s="363">
        <v>26.744151650197026</v>
      </c>
      <c r="DQ170" s="363">
        <v>26.658748917453941</v>
      </c>
      <c r="DR170" s="363">
        <v>26.855942825623544</v>
      </c>
      <c r="DS170" s="363">
        <v>27.054595370788437</v>
      </c>
      <c r="DT170" s="363">
        <v>27.254717342439555</v>
      </c>
      <c r="DU170" s="363">
        <v>27.456319609877355</v>
      </c>
      <c r="DV170" s="363">
        <v>27.659413122802128</v>
      </c>
      <c r="DW170" s="435">
        <v>27.770903152267376</v>
      </c>
      <c r="DX170" s="435">
        <v>27.882393181732624</v>
      </c>
      <c r="DY170" s="435">
        <v>27.993883211197875</v>
      </c>
      <c r="DZ170" s="435">
        <v>28.105373240663123</v>
      </c>
      <c r="EA170" s="363">
        <v>28.216863270128371</v>
      </c>
      <c r="EB170" s="435">
        <v>28.308252141571806</v>
      </c>
      <c r="EC170" s="435">
        <v>28.399641013015241</v>
      </c>
      <c r="ED170" s="435">
        <v>28.491029884458676</v>
      </c>
      <c r="EE170" s="435">
        <v>28.582418755902111</v>
      </c>
      <c r="EF170" s="363">
        <v>28.673807627345546</v>
      </c>
      <c r="EG170" s="364">
        <v>0</v>
      </c>
      <c r="EH170" s="364">
        <v>0</v>
      </c>
      <c r="EI170" s="364">
        <v>0</v>
      </c>
      <c r="EJ170" s="365">
        <v>0</v>
      </c>
      <c r="EK170" s="365">
        <v>0</v>
      </c>
      <c r="EL170" s="365">
        <v>0</v>
      </c>
      <c r="EM170" s="365">
        <v>0</v>
      </c>
      <c r="EN170" s="365">
        <v>0</v>
      </c>
      <c r="EO170" s="365">
        <v>0</v>
      </c>
      <c r="EP170" s="365">
        <v>0</v>
      </c>
      <c r="EQ170" s="365">
        <v>0</v>
      </c>
      <c r="ER170" s="365">
        <v>0</v>
      </c>
      <c r="ES170" s="365">
        <v>0</v>
      </c>
      <c r="ET170" s="365">
        <v>0</v>
      </c>
      <c r="EU170" s="365">
        <v>0</v>
      </c>
      <c r="EV170" s="436">
        <v>0</v>
      </c>
      <c r="EW170" s="436">
        <v>0</v>
      </c>
      <c r="EX170" s="436">
        <v>0</v>
      </c>
      <c r="EY170" s="436">
        <v>0</v>
      </c>
      <c r="EZ170" s="365">
        <v>0</v>
      </c>
      <c r="FA170" s="436">
        <v>0</v>
      </c>
      <c r="FB170" s="436">
        <v>0</v>
      </c>
      <c r="FC170" s="436">
        <v>0</v>
      </c>
      <c r="FD170" s="436">
        <v>0</v>
      </c>
      <c r="FE170" s="365">
        <v>0</v>
      </c>
      <c r="FF170" s="364">
        <v>0</v>
      </c>
      <c r="FG170" s="364">
        <v>0</v>
      </c>
      <c r="FH170" s="364">
        <v>0</v>
      </c>
      <c r="FI170" s="365">
        <v>0</v>
      </c>
      <c r="FJ170" s="365">
        <v>0</v>
      </c>
      <c r="FK170" s="365">
        <v>0</v>
      </c>
      <c r="FL170" s="365">
        <v>0</v>
      </c>
      <c r="FM170" s="365">
        <v>0</v>
      </c>
      <c r="FN170" s="365">
        <v>0</v>
      </c>
      <c r="FO170" s="365">
        <v>0</v>
      </c>
      <c r="FP170" s="365">
        <v>0</v>
      </c>
      <c r="FQ170" s="365">
        <v>0</v>
      </c>
      <c r="FR170" s="365">
        <v>0</v>
      </c>
      <c r="FS170" s="365">
        <v>0</v>
      </c>
      <c r="FT170" s="365">
        <v>0</v>
      </c>
      <c r="FU170" s="436">
        <v>0</v>
      </c>
      <c r="FV170" s="436">
        <v>0</v>
      </c>
      <c r="FW170" s="436">
        <v>0</v>
      </c>
      <c r="FX170" s="436">
        <v>0</v>
      </c>
      <c r="FY170" s="365">
        <v>0</v>
      </c>
      <c r="FZ170" s="436">
        <v>0</v>
      </c>
      <c r="GA170" s="436">
        <v>0</v>
      </c>
      <c r="GB170" s="436">
        <v>0</v>
      </c>
      <c r="GC170" s="436">
        <v>0</v>
      </c>
      <c r="GD170" s="365">
        <v>0</v>
      </c>
    </row>
    <row r="171" spans="1:186" ht="15" x14ac:dyDescent="0.25">
      <c r="A171" s="357">
        <v>113</v>
      </c>
      <c r="B171" s="357">
        <v>92</v>
      </c>
      <c r="C171" s="357" t="s">
        <v>1081</v>
      </c>
      <c r="D171" s="2">
        <v>99703</v>
      </c>
      <c r="E171" s="268" t="s">
        <v>1527</v>
      </c>
      <c r="F171" s="358" t="s">
        <v>985</v>
      </c>
      <c r="G171" s="49">
        <v>228</v>
      </c>
      <c r="H171" s="49">
        <v>3</v>
      </c>
      <c r="I171" s="49">
        <v>0</v>
      </c>
      <c r="J171" s="49">
        <v>3</v>
      </c>
      <c r="K171" s="49">
        <v>0</v>
      </c>
      <c r="L171" s="49">
        <v>0</v>
      </c>
      <c r="M171" s="49">
        <v>0</v>
      </c>
      <c r="N171" s="49">
        <v>0</v>
      </c>
      <c r="O171" s="49">
        <v>0</v>
      </c>
      <c r="P171" s="49">
        <v>0</v>
      </c>
      <c r="Q171" s="49">
        <v>0</v>
      </c>
      <c r="R171" s="49">
        <v>0</v>
      </c>
      <c r="S171" s="49">
        <v>834.49503068156923</v>
      </c>
      <c r="T171" s="49">
        <v>834.49503068156923</v>
      </c>
      <c r="U171" s="49">
        <v>1408.3846153846155</v>
      </c>
      <c r="V171" s="49">
        <v>0</v>
      </c>
      <c r="W171" s="49">
        <v>0</v>
      </c>
      <c r="X171" s="49">
        <v>1365.173957061457</v>
      </c>
      <c r="Y171" s="434">
        <v>0</v>
      </c>
      <c r="Z171" s="434">
        <v>0</v>
      </c>
      <c r="AA171" s="49">
        <v>6.8737006237006237E-2</v>
      </c>
      <c r="AB171" s="49">
        <v>2.9273648648648649</v>
      </c>
      <c r="AC171" s="49">
        <v>3.8981288981288983E-3</v>
      </c>
      <c r="AD171" s="285">
        <v>0</v>
      </c>
      <c r="AE171" s="285">
        <v>0</v>
      </c>
      <c r="AF171" s="359">
        <v>3</v>
      </c>
      <c r="AG171" s="360">
        <v>0</v>
      </c>
      <c r="AH171" s="360">
        <v>0</v>
      </c>
      <c r="AI171" s="361">
        <v>0</v>
      </c>
      <c r="AJ171" s="360">
        <v>0</v>
      </c>
      <c r="AK171" s="360">
        <v>6.7411677769188119E-2</v>
      </c>
      <c r="AL171" s="360">
        <v>2.8709219063554614</v>
      </c>
      <c r="AM171" s="360">
        <v>2.9383335841246496</v>
      </c>
      <c r="AN171" s="360">
        <v>3.8229684935267363E-3</v>
      </c>
      <c r="AO171" s="360">
        <v>0</v>
      </c>
      <c r="AP171" s="360">
        <v>0</v>
      </c>
      <c r="AQ171" s="360">
        <v>0</v>
      </c>
      <c r="AR171" s="360">
        <v>0</v>
      </c>
      <c r="AS171" s="360">
        <v>0</v>
      </c>
      <c r="AT171" s="360">
        <v>0</v>
      </c>
      <c r="AU171" s="360">
        <v>2.8816791361034624</v>
      </c>
      <c r="AV171" s="360">
        <v>2.9098684823002072</v>
      </c>
      <c r="AW171" s="360">
        <v>2.9383335841246496</v>
      </c>
      <c r="AX171" s="360">
        <v>2.9670771390911508</v>
      </c>
      <c r="AY171" s="360">
        <v>2.996101871101871</v>
      </c>
      <c r="AZ171" s="360">
        <v>0</v>
      </c>
      <c r="BA171" s="360">
        <v>0</v>
      </c>
      <c r="BB171" s="360">
        <v>0</v>
      </c>
      <c r="BC171" s="360">
        <v>0</v>
      </c>
      <c r="BD171" s="360">
        <v>0</v>
      </c>
      <c r="BE171" s="360">
        <v>0</v>
      </c>
      <c r="BF171" s="360">
        <v>0</v>
      </c>
      <c r="BG171" s="360">
        <v>0</v>
      </c>
      <c r="BH171" s="360">
        <v>0</v>
      </c>
      <c r="BI171" s="360">
        <v>0</v>
      </c>
      <c r="BJ171" s="362">
        <v>3.0085511972689858</v>
      </c>
      <c r="BK171" s="362">
        <v>3.0210522525590346</v>
      </c>
      <c r="BL171" s="362">
        <v>3.033605251915553</v>
      </c>
      <c r="BM171" s="363">
        <v>3.013660628363894</v>
      </c>
      <c r="BN171" s="363">
        <v>2.9938471319614797</v>
      </c>
      <c r="BO171" s="363">
        <v>2.9842868090232617</v>
      </c>
      <c r="BP171" s="363">
        <v>2.9747570152906633</v>
      </c>
      <c r="BQ171" s="363">
        <v>2.9652576532740476</v>
      </c>
      <c r="BR171" s="363">
        <v>2.9557886257950963</v>
      </c>
      <c r="BS171" s="363">
        <v>2.9463498359858122</v>
      </c>
      <c r="BT171" s="363">
        <v>2.9681438909428519</v>
      </c>
      <c r="BU171" s="363">
        <v>2.9900991558233261</v>
      </c>
      <c r="BV171" s="363">
        <v>3.012216823091852</v>
      </c>
      <c r="BW171" s="363">
        <v>3.0344980940336717</v>
      </c>
      <c r="BX171" s="363">
        <v>3.0569441788198906</v>
      </c>
      <c r="BY171" s="435">
        <v>3.0692661610346645</v>
      </c>
      <c r="BZ171" s="435">
        <v>3.0815881432494381</v>
      </c>
      <c r="CA171" s="435">
        <v>3.0939101254642121</v>
      </c>
      <c r="CB171" s="435">
        <v>3.1062321076789856</v>
      </c>
      <c r="CC171" s="363">
        <v>3.1185540898937596</v>
      </c>
      <c r="CD171" s="435">
        <v>3.1286544733446875</v>
      </c>
      <c r="CE171" s="435">
        <v>3.1387548567956154</v>
      </c>
      <c r="CF171" s="435">
        <v>3.1488552402465433</v>
      </c>
      <c r="CG171" s="435">
        <v>3.1589556236974712</v>
      </c>
      <c r="CH171" s="363">
        <v>3.1690560071483991</v>
      </c>
      <c r="CI171" s="362">
        <v>0</v>
      </c>
      <c r="CJ171" s="362">
        <v>0</v>
      </c>
      <c r="CK171" s="362">
        <v>0</v>
      </c>
      <c r="CL171" s="363">
        <v>0</v>
      </c>
      <c r="CM171" s="363">
        <v>0</v>
      </c>
      <c r="CN171" s="363">
        <v>0</v>
      </c>
      <c r="CO171" s="363">
        <v>0</v>
      </c>
      <c r="CP171" s="363">
        <v>0</v>
      </c>
      <c r="CQ171" s="363">
        <v>0</v>
      </c>
      <c r="CR171" s="363">
        <v>0</v>
      </c>
      <c r="CS171" s="363">
        <v>0</v>
      </c>
      <c r="CT171" s="363">
        <v>0</v>
      </c>
      <c r="CU171" s="363">
        <v>0</v>
      </c>
      <c r="CV171" s="363">
        <v>0</v>
      </c>
      <c r="CW171" s="363">
        <v>0</v>
      </c>
      <c r="CX171" s="435">
        <v>0</v>
      </c>
      <c r="CY171" s="435">
        <v>0</v>
      </c>
      <c r="CZ171" s="435">
        <v>0</v>
      </c>
      <c r="DA171" s="435">
        <v>0</v>
      </c>
      <c r="DB171" s="363">
        <v>0</v>
      </c>
      <c r="DC171" s="435">
        <v>0</v>
      </c>
      <c r="DD171" s="435">
        <v>0</v>
      </c>
      <c r="DE171" s="435">
        <v>0</v>
      </c>
      <c r="DF171" s="435">
        <v>0</v>
      </c>
      <c r="DG171" s="363">
        <v>0</v>
      </c>
      <c r="DH171" s="362">
        <v>0</v>
      </c>
      <c r="DI171" s="362">
        <v>0</v>
      </c>
      <c r="DJ171" s="362">
        <v>0</v>
      </c>
      <c r="DK171" s="363">
        <v>0</v>
      </c>
      <c r="DL171" s="363">
        <v>0</v>
      </c>
      <c r="DM171" s="363">
        <v>0</v>
      </c>
      <c r="DN171" s="363">
        <v>0</v>
      </c>
      <c r="DO171" s="363">
        <v>0</v>
      </c>
      <c r="DP171" s="363">
        <v>0</v>
      </c>
      <c r="DQ171" s="363">
        <v>0</v>
      </c>
      <c r="DR171" s="363">
        <v>0</v>
      </c>
      <c r="DS171" s="363">
        <v>0</v>
      </c>
      <c r="DT171" s="363">
        <v>0</v>
      </c>
      <c r="DU171" s="363">
        <v>0</v>
      </c>
      <c r="DV171" s="363">
        <v>0</v>
      </c>
      <c r="DW171" s="435">
        <v>0</v>
      </c>
      <c r="DX171" s="435">
        <v>0</v>
      </c>
      <c r="DY171" s="435">
        <v>0</v>
      </c>
      <c r="DZ171" s="435">
        <v>0</v>
      </c>
      <c r="EA171" s="363">
        <v>0</v>
      </c>
      <c r="EB171" s="435">
        <v>0</v>
      </c>
      <c r="EC171" s="435">
        <v>0</v>
      </c>
      <c r="ED171" s="435">
        <v>0</v>
      </c>
      <c r="EE171" s="435">
        <v>0</v>
      </c>
      <c r="EF171" s="363">
        <v>0</v>
      </c>
      <c r="EG171" s="364">
        <v>3.9143263040189776E-3</v>
      </c>
      <c r="EH171" s="364">
        <v>3.9305910129573711E-3</v>
      </c>
      <c r="EI171" s="364">
        <v>3.9469233045999908E-3</v>
      </c>
      <c r="EJ171" s="365">
        <v>3.9209740155658262E-3</v>
      </c>
      <c r="EK171" s="365">
        <v>3.8951953317219357E-3</v>
      </c>
      <c r="EL171" s="365">
        <v>3.8827567122342727E-3</v>
      </c>
      <c r="EM171" s="365">
        <v>3.8703578132847556E-3</v>
      </c>
      <c r="EN171" s="365">
        <v>3.8579985080328489E-3</v>
      </c>
      <c r="EO171" s="365">
        <v>3.8456786700430609E-3</v>
      </c>
      <c r="EP171" s="365">
        <v>3.8333981732836487E-3</v>
      </c>
      <c r="EQ171" s="365">
        <v>3.8617536962566382E-3</v>
      </c>
      <c r="ER171" s="365">
        <v>3.8903189641209027E-3</v>
      </c>
      <c r="ES171" s="365">
        <v>3.9190955283526568E-3</v>
      </c>
      <c r="ET171" s="365">
        <v>3.948084951904335E-3</v>
      </c>
      <c r="EU171" s="365">
        <v>3.9772888092894755E-3</v>
      </c>
      <c r="EV171" s="436">
        <v>3.9933205321814524E-3</v>
      </c>
      <c r="EW171" s="436">
        <v>4.0093522550734301E-3</v>
      </c>
      <c r="EX171" s="436">
        <v>4.025383977965407E-3</v>
      </c>
      <c r="EY171" s="436">
        <v>4.0414157008573847E-3</v>
      </c>
      <c r="EZ171" s="365">
        <v>4.0574474237493616E-3</v>
      </c>
      <c r="FA171" s="436">
        <v>4.0705886980805196E-3</v>
      </c>
      <c r="FB171" s="436">
        <v>4.0837299724116776E-3</v>
      </c>
      <c r="FC171" s="436">
        <v>4.0968712467428347E-3</v>
      </c>
      <c r="FD171" s="436">
        <v>4.1100125210739927E-3</v>
      </c>
      <c r="FE171" s="365">
        <v>4.1231537954051507E-3</v>
      </c>
      <c r="FF171" s="364">
        <v>0</v>
      </c>
      <c r="FG171" s="364">
        <v>0</v>
      </c>
      <c r="FH171" s="364">
        <v>0</v>
      </c>
      <c r="FI171" s="365">
        <v>0</v>
      </c>
      <c r="FJ171" s="365">
        <v>0</v>
      </c>
      <c r="FK171" s="365">
        <v>0</v>
      </c>
      <c r="FL171" s="365">
        <v>0</v>
      </c>
      <c r="FM171" s="365">
        <v>0</v>
      </c>
      <c r="FN171" s="365">
        <v>0</v>
      </c>
      <c r="FO171" s="365">
        <v>0</v>
      </c>
      <c r="FP171" s="365">
        <v>0</v>
      </c>
      <c r="FQ171" s="365">
        <v>0</v>
      </c>
      <c r="FR171" s="365">
        <v>0</v>
      </c>
      <c r="FS171" s="365">
        <v>0</v>
      </c>
      <c r="FT171" s="365">
        <v>0</v>
      </c>
      <c r="FU171" s="436">
        <v>0</v>
      </c>
      <c r="FV171" s="436">
        <v>0</v>
      </c>
      <c r="FW171" s="436">
        <v>0</v>
      </c>
      <c r="FX171" s="436">
        <v>0</v>
      </c>
      <c r="FY171" s="365">
        <v>0</v>
      </c>
      <c r="FZ171" s="436">
        <v>0</v>
      </c>
      <c r="GA171" s="436">
        <v>0</v>
      </c>
      <c r="GB171" s="436">
        <v>0</v>
      </c>
      <c r="GC171" s="436">
        <v>0</v>
      </c>
      <c r="GD171" s="365">
        <v>0</v>
      </c>
    </row>
    <row r="172" spans="1:186" ht="15" x14ac:dyDescent="0.25">
      <c r="A172" s="357">
        <v>115</v>
      </c>
      <c r="B172" s="357">
        <v>92</v>
      </c>
      <c r="C172" s="357" t="s">
        <v>1082</v>
      </c>
      <c r="D172" s="2">
        <v>99705</v>
      </c>
      <c r="E172" s="268" t="s">
        <v>218</v>
      </c>
      <c r="F172" s="358" t="s">
        <v>985</v>
      </c>
      <c r="G172" s="49">
        <v>348</v>
      </c>
      <c r="H172" s="49">
        <v>158</v>
      </c>
      <c r="I172" s="49">
        <v>136</v>
      </c>
      <c r="J172" s="49">
        <v>22</v>
      </c>
      <c r="K172" s="49">
        <v>3</v>
      </c>
      <c r="L172" s="49">
        <v>130</v>
      </c>
      <c r="M172" s="49">
        <v>133</v>
      </c>
      <c r="N172" s="49">
        <v>6</v>
      </c>
      <c r="O172" s="49">
        <v>0</v>
      </c>
      <c r="P172" s="49">
        <v>0</v>
      </c>
      <c r="Q172" s="49">
        <v>139</v>
      </c>
      <c r="R172" s="49">
        <v>4293</v>
      </c>
      <c r="S172" s="49">
        <v>1719.2692307692307</v>
      </c>
      <c r="T172" s="49">
        <v>1777.3233082706768</v>
      </c>
      <c r="U172" s="49">
        <v>18915.166666666668</v>
      </c>
      <c r="V172" s="49">
        <v>0</v>
      </c>
      <c r="W172" s="49">
        <v>0</v>
      </c>
      <c r="X172" s="49">
        <v>2517.0863309352517</v>
      </c>
      <c r="Y172" s="434">
        <v>236384</v>
      </c>
      <c r="Z172" s="434">
        <v>113491</v>
      </c>
      <c r="AA172" s="49">
        <v>3.5639097744360901</v>
      </c>
      <c r="AB172" s="49">
        <v>154.4360902255639</v>
      </c>
      <c r="AC172" s="49">
        <v>0</v>
      </c>
      <c r="AD172" s="285">
        <v>6</v>
      </c>
      <c r="AE172" s="285">
        <v>0</v>
      </c>
      <c r="AF172" s="359">
        <v>164</v>
      </c>
      <c r="AG172" s="360">
        <v>3.0676691729323307</v>
      </c>
      <c r="AH172" s="360">
        <v>132.93233082706766</v>
      </c>
      <c r="AI172" s="361">
        <v>136</v>
      </c>
      <c r="AJ172" s="360">
        <v>0</v>
      </c>
      <c r="AK172" s="360">
        <v>3.3078489165766007</v>
      </c>
      <c r="AL172" s="360">
        <v>143.34011971831936</v>
      </c>
      <c r="AM172" s="360">
        <v>146.64796863489596</v>
      </c>
      <c r="AN172" s="360">
        <v>0</v>
      </c>
      <c r="AO172" s="360">
        <v>2.8618662502854435</v>
      </c>
      <c r="AP172" s="360">
        <v>124.01420417903589</v>
      </c>
      <c r="AQ172" s="360">
        <v>126.87607042932133</v>
      </c>
      <c r="AR172" s="360">
        <v>0</v>
      </c>
      <c r="AS172" s="360">
        <v>5.6406460040094561</v>
      </c>
      <c r="AT172" s="360">
        <v>0</v>
      </c>
      <c r="AU172" s="360">
        <v>136.11156142241413</v>
      </c>
      <c r="AV172" s="360">
        <v>141.28157696713646</v>
      </c>
      <c r="AW172" s="360">
        <v>146.64796863489596</v>
      </c>
      <c r="AX172" s="360">
        <v>152.21819550997694</v>
      </c>
      <c r="AY172" s="360">
        <v>158</v>
      </c>
      <c r="AZ172" s="360">
        <v>118.36424446754492</v>
      </c>
      <c r="BA172" s="360">
        <v>122.54627786015223</v>
      </c>
      <c r="BB172" s="360">
        <v>126.87607042932135</v>
      </c>
      <c r="BC172" s="360">
        <v>131.3588427871824</v>
      </c>
      <c r="BD172" s="360">
        <v>136</v>
      </c>
      <c r="BE172" s="360">
        <v>5.302814557091307</v>
      </c>
      <c r="BF172" s="360">
        <v>5.4691223922545618</v>
      </c>
      <c r="BG172" s="360">
        <v>5.6406460040094561</v>
      </c>
      <c r="BH172" s="360">
        <v>5.8175489704906429</v>
      </c>
      <c r="BI172" s="360">
        <v>6</v>
      </c>
      <c r="BJ172" s="362">
        <v>161.80457323769195</v>
      </c>
      <c r="BK172" s="362">
        <v>165.70075899133934</v>
      </c>
      <c r="BL172" s="362">
        <v>169.69076325161592</v>
      </c>
      <c r="BM172" s="363">
        <v>168.57512093424123</v>
      </c>
      <c r="BN172" s="363">
        <v>167.46681347562054</v>
      </c>
      <c r="BO172" s="363">
        <v>166.93203773467874</v>
      </c>
      <c r="BP172" s="363">
        <v>166.39896970577351</v>
      </c>
      <c r="BQ172" s="363">
        <v>165.86760393562756</v>
      </c>
      <c r="BR172" s="363">
        <v>165.3379349883777</v>
      </c>
      <c r="BS172" s="363">
        <v>164.80995744551922</v>
      </c>
      <c r="BT172" s="363">
        <v>166.02905139904942</v>
      </c>
      <c r="BU172" s="363">
        <v>167.25716295133742</v>
      </c>
      <c r="BV172" s="363">
        <v>168.49435880527113</v>
      </c>
      <c r="BW172" s="363">
        <v>169.74070615713768</v>
      </c>
      <c r="BX172" s="363">
        <v>170.99627270027275</v>
      </c>
      <c r="BY172" s="435">
        <v>171.68552736367283</v>
      </c>
      <c r="BZ172" s="435">
        <v>172.37478202707294</v>
      </c>
      <c r="CA172" s="435">
        <v>173.06403669047302</v>
      </c>
      <c r="CB172" s="435">
        <v>173.75329135387312</v>
      </c>
      <c r="CC172" s="363">
        <v>174.4425460172732</v>
      </c>
      <c r="CD172" s="435">
        <v>175.0075311206711</v>
      </c>
      <c r="CE172" s="435">
        <v>175.57251622406901</v>
      </c>
      <c r="CF172" s="435">
        <v>176.13750132746694</v>
      </c>
      <c r="CG172" s="435">
        <v>176.70248643086484</v>
      </c>
      <c r="CH172" s="363">
        <v>177.26747153426274</v>
      </c>
      <c r="CI172" s="362">
        <v>139.27482253370954</v>
      </c>
      <c r="CJ172" s="362">
        <v>142.62850141026678</v>
      </c>
      <c r="CK172" s="362">
        <v>146.06293545708712</v>
      </c>
      <c r="CL172" s="363">
        <v>145.10263574086585</v>
      </c>
      <c r="CM172" s="363">
        <v>144.14864957395187</v>
      </c>
      <c r="CN172" s="363">
        <v>143.68833627795132</v>
      </c>
      <c r="CO172" s="363">
        <v>143.22949291129871</v>
      </c>
      <c r="CP172" s="363">
        <v>142.77211478003386</v>
      </c>
      <c r="CQ172" s="363">
        <v>142.31619720518589</v>
      </c>
      <c r="CR172" s="363">
        <v>141.86173552272541</v>
      </c>
      <c r="CS172" s="363">
        <v>142.91108221690331</v>
      </c>
      <c r="CT172" s="363">
        <v>143.96819089482207</v>
      </c>
      <c r="CU172" s="363">
        <v>145.03311897162578</v>
      </c>
      <c r="CV172" s="363">
        <v>146.10592428715648</v>
      </c>
      <c r="CW172" s="363">
        <v>147.18666510909554</v>
      </c>
      <c r="CX172" s="435">
        <v>147.77994760417411</v>
      </c>
      <c r="CY172" s="435">
        <v>148.37323009925265</v>
      </c>
      <c r="CZ172" s="435">
        <v>148.96651259433122</v>
      </c>
      <c r="DA172" s="435">
        <v>149.55979508940976</v>
      </c>
      <c r="DB172" s="363">
        <v>150.15307758448833</v>
      </c>
      <c r="DC172" s="435">
        <v>150.6393938760207</v>
      </c>
      <c r="DD172" s="435">
        <v>151.12571016755308</v>
      </c>
      <c r="DE172" s="435">
        <v>151.61202645908546</v>
      </c>
      <c r="DF172" s="435">
        <v>152.09834275061783</v>
      </c>
      <c r="DG172" s="363">
        <v>152.58465904215021</v>
      </c>
      <c r="DH172" s="362">
        <v>6.1444774647224794</v>
      </c>
      <c r="DI172" s="362">
        <v>6.2924338857470641</v>
      </c>
      <c r="DJ172" s="362">
        <v>6.4439530348714902</v>
      </c>
      <c r="DK172" s="363">
        <v>6.4015868709205517</v>
      </c>
      <c r="DL172" s="363">
        <v>6.3594992459096407</v>
      </c>
      <c r="DM172" s="363">
        <v>6.3391913063802043</v>
      </c>
      <c r="DN172" s="363">
        <v>6.3189482166749427</v>
      </c>
      <c r="DO172" s="363">
        <v>6.2987697697073752</v>
      </c>
      <c r="DP172" s="363">
        <v>6.2786557590523175</v>
      </c>
      <c r="DQ172" s="363">
        <v>6.2586059789437671</v>
      </c>
      <c r="DR172" s="363">
        <v>6.3049006860398507</v>
      </c>
      <c r="DS172" s="363">
        <v>6.3515378335950912</v>
      </c>
      <c r="DT172" s="363">
        <v>6.3985199546305491</v>
      </c>
      <c r="DU172" s="363">
        <v>6.4458496009039621</v>
      </c>
      <c r="DV172" s="363">
        <v>6.4935293430483316</v>
      </c>
      <c r="DW172" s="435">
        <v>6.5197035707723856</v>
      </c>
      <c r="DX172" s="435">
        <v>6.5458777984964396</v>
      </c>
      <c r="DY172" s="435">
        <v>6.5720520262204944</v>
      </c>
      <c r="DZ172" s="435">
        <v>6.5982262539445484</v>
      </c>
      <c r="EA172" s="363">
        <v>6.6244004816686024</v>
      </c>
      <c r="EB172" s="435">
        <v>6.6458556121773835</v>
      </c>
      <c r="EC172" s="435">
        <v>6.6673107426861646</v>
      </c>
      <c r="ED172" s="435">
        <v>6.6887658731949458</v>
      </c>
      <c r="EE172" s="435">
        <v>6.7102210037037269</v>
      </c>
      <c r="EF172" s="363">
        <v>6.731676134212508</v>
      </c>
      <c r="EG172" s="364">
        <v>0</v>
      </c>
      <c r="EH172" s="364">
        <v>0</v>
      </c>
      <c r="EI172" s="364">
        <v>0</v>
      </c>
      <c r="EJ172" s="365">
        <v>0</v>
      </c>
      <c r="EK172" s="365">
        <v>0</v>
      </c>
      <c r="EL172" s="365">
        <v>0</v>
      </c>
      <c r="EM172" s="365">
        <v>0</v>
      </c>
      <c r="EN172" s="365">
        <v>0</v>
      </c>
      <c r="EO172" s="365">
        <v>0</v>
      </c>
      <c r="EP172" s="365">
        <v>0</v>
      </c>
      <c r="EQ172" s="365">
        <v>0</v>
      </c>
      <c r="ER172" s="365">
        <v>0</v>
      </c>
      <c r="ES172" s="365">
        <v>0</v>
      </c>
      <c r="ET172" s="365">
        <v>0</v>
      </c>
      <c r="EU172" s="365">
        <v>0</v>
      </c>
      <c r="EV172" s="436">
        <v>0</v>
      </c>
      <c r="EW172" s="436">
        <v>0</v>
      </c>
      <c r="EX172" s="436">
        <v>0</v>
      </c>
      <c r="EY172" s="436">
        <v>0</v>
      </c>
      <c r="EZ172" s="365">
        <v>0</v>
      </c>
      <c r="FA172" s="436">
        <v>0</v>
      </c>
      <c r="FB172" s="436">
        <v>0</v>
      </c>
      <c r="FC172" s="436">
        <v>0</v>
      </c>
      <c r="FD172" s="436">
        <v>0</v>
      </c>
      <c r="FE172" s="365">
        <v>0</v>
      </c>
      <c r="FF172" s="364">
        <v>0</v>
      </c>
      <c r="FG172" s="364">
        <v>0</v>
      </c>
      <c r="FH172" s="364">
        <v>0</v>
      </c>
      <c r="FI172" s="365">
        <v>0</v>
      </c>
      <c r="FJ172" s="365">
        <v>0</v>
      </c>
      <c r="FK172" s="365">
        <v>0</v>
      </c>
      <c r="FL172" s="365">
        <v>0</v>
      </c>
      <c r="FM172" s="365">
        <v>0</v>
      </c>
      <c r="FN172" s="365">
        <v>0</v>
      </c>
      <c r="FO172" s="365">
        <v>0</v>
      </c>
      <c r="FP172" s="365">
        <v>0</v>
      </c>
      <c r="FQ172" s="365">
        <v>0</v>
      </c>
      <c r="FR172" s="365">
        <v>0</v>
      </c>
      <c r="FS172" s="365">
        <v>0</v>
      </c>
      <c r="FT172" s="365">
        <v>0</v>
      </c>
      <c r="FU172" s="436">
        <v>0</v>
      </c>
      <c r="FV172" s="436">
        <v>0</v>
      </c>
      <c r="FW172" s="436">
        <v>0</v>
      </c>
      <c r="FX172" s="436">
        <v>0</v>
      </c>
      <c r="FY172" s="365">
        <v>0</v>
      </c>
      <c r="FZ172" s="436">
        <v>0</v>
      </c>
      <c r="GA172" s="436">
        <v>0</v>
      </c>
      <c r="GB172" s="436">
        <v>0</v>
      </c>
      <c r="GC172" s="436">
        <v>0</v>
      </c>
      <c r="GD172" s="365">
        <v>0</v>
      </c>
    </row>
    <row r="173" spans="1:186" ht="15" x14ac:dyDescent="0.25">
      <c r="A173" s="357">
        <v>116</v>
      </c>
      <c r="B173" s="357">
        <v>92</v>
      </c>
      <c r="C173" s="357" t="s">
        <v>1083</v>
      </c>
      <c r="D173" s="2">
        <v>99705</v>
      </c>
      <c r="E173" s="268" t="s">
        <v>218</v>
      </c>
      <c r="F173" s="358" t="s">
        <v>985</v>
      </c>
      <c r="G173" s="49">
        <v>856</v>
      </c>
      <c r="H173" s="49">
        <v>324</v>
      </c>
      <c r="I173" s="49">
        <v>300</v>
      </c>
      <c r="J173" s="49">
        <v>24</v>
      </c>
      <c r="K173" s="49">
        <v>2</v>
      </c>
      <c r="L173" s="49">
        <v>210</v>
      </c>
      <c r="M173" s="49">
        <v>212</v>
      </c>
      <c r="N173" s="49">
        <v>11</v>
      </c>
      <c r="O173" s="49">
        <v>0</v>
      </c>
      <c r="P173" s="49">
        <v>0</v>
      </c>
      <c r="Q173" s="49">
        <v>223</v>
      </c>
      <c r="R173" s="49">
        <v>4232</v>
      </c>
      <c r="S173" s="49">
        <v>2089.361904761905</v>
      </c>
      <c r="T173" s="49">
        <v>2109.5754716981137</v>
      </c>
      <c r="U173" s="49">
        <v>3282.5454545454545</v>
      </c>
      <c r="V173" s="49">
        <v>0</v>
      </c>
      <c r="W173" s="49">
        <v>0</v>
      </c>
      <c r="X173" s="49">
        <v>2167.4349775784754</v>
      </c>
      <c r="Y173" s="434">
        <v>447230.00000000012</v>
      </c>
      <c r="Z173" s="434">
        <v>36108</v>
      </c>
      <c r="AA173" s="49">
        <v>3.0566037735849059</v>
      </c>
      <c r="AB173" s="49">
        <v>320.94339622641508</v>
      </c>
      <c r="AC173" s="49">
        <v>0</v>
      </c>
      <c r="AD173" s="285">
        <v>11</v>
      </c>
      <c r="AE173" s="285">
        <v>0</v>
      </c>
      <c r="AF173" s="359">
        <v>335</v>
      </c>
      <c r="AG173" s="360">
        <v>2.8301886792452833</v>
      </c>
      <c r="AH173" s="360">
        <v>297.16981132075466</v>
      </c>
      <c r="AI173" s="361">
        <v>299.99999999999994</v>
      </c>
      <c r="AJ173" s="360">
        <v>0</v>
      </c>
      <c r="AK173" s="360">
        <v>2.8369919893543285</v>
      </c>
      <c r="AL173" s="360">
        <v>297.88415888220447</v>
      </c>
      <c r="AM173" s="360">
        <v>300.72115087155879</v>
      </c>
      <c r="AN173" s="360">
        <v>0</v>
      </c>
      <c r="AO173" s="360">
        <v>2.6403177808543568</v>
      </c>
      <c r="AP173" s="360">
        <v>277.23336698970735</v>
      </c>
      <c r="AQ173" s="360">
        <v>279.87368477056168</v>
      </c>
      <c r="AR173" s="360">
        <v>0</v>
      </c>
      <c r="AS173" s="360">
        <v>10.341184340684002</v>
      </c>
      <c r="AT173" s="360">
        <v>0</v>
      </c>
      <c r="AU173" s="360">
        <v>279.11484747381121</v>
      </c>
      <c r="AV173" s="360">
        <v>289.71665150222918</v>
      </c>
      <c r="AW173" s="360">
        <v>300.72115087155879</v>
      </c>
      <c r="AX173" s="360">
        <v>312.14364142552233</v>
      </c>
      <c r="AY173" s="360">
        <v>324</v>
      </c>
      <c r="AZ173" s="360">
        <v>261.09759809017254</v>
      </c>
      <c r="BA173" s="360">
        <v>270.32267175033576</v>
      </c>
      <c r="BB173" s="360">
        <v>279.87368477056174</v>
      </c>
      <c r="BC173" s="360">
        <v>289.76215320701994</v>
      </c>
      <c r="BD173" s="360">
        <v>299.99999999999994</v>
      </c>
      <c r="BE173" s="360">
        <v>9.7218266880007302</v>
      </c>
      <c r="BF173" s="360">
        <v>10.02672438580003</v>
      </c>
      <c r="BG173" s="360">
        <v>10.341184340684002</v>
      </c>
      <c r="BH173" s="360">
        <v>10.665506445899512</v>
      </c>
      <c r="BI173" s="360">
        <v>11</v>
      </c>
      <c r="BJ173" s="362">
        <v>331.75995871624991</v>
      </c>
      <c r="BK173" s="362">
        <v>339.705772245086</v>
      </c>
      <c r="BL173" s="362">
        <v>347.84189190031339</v>
      </c>
      <c r="BM173" s="363">
        <v>345.55498407502273</v>
      </c>
      <c r="BN173" s="363">
        <v>343.28311166531353</v>
      </c>
      <c r="BO173" s="363">
        <v>342.18689757618381</v>
      </c>
      <c r="BP173" s="363">
        <v>341.09418405346236</v>
      </c>
      <c r="BQ173" s="363">
        <v>340.00495991870753</v>
      </c>
      <c r="BR173" s="363">
        <v>338.91921402917404</v>
      </c>
      <c r="BS173" s="363">
        <v>337.83693527769918</v>
      </c>
      <c r="BT173" s="363">
        <v>340.33590422023025</v>
      </c>
      <c r="BU173" s="363">
        <v>342.85335795564106</v>
      </c>
      <c r="BV173" s="363">
        <v>345.38943321534987</v>
      </c>
      <c r="BW173" s="363">
        <v>347.94426774217305</v>
      </c>
      <c r="BX173" s="363">
        <v>350.51800029780566</v>
      </c>
      <c r="BY173" s="435">
        <v>351.93087417216441</v>
      </c>
      <c r="BZ173" s="435">
        <v>353.34374804652316</v>
      </c>
      <c r="CA173" s="435">
        <v>354.75662192088186</v>
      </c>
      <c r="CB173" s="435">
        <v>356.16949579524061</v>
      </c>
      <c r="CC173" s="363">
        <v>357.58236966959936</v>
      </c>
      <c r="CD173" s="435">
        <v>358.74050864838404</v>
      </c>
      <c r="CE173" s="435">
        <v>359.89864762716871</v>
      </c>
      <c r="CF173" s="435">
        <v>361.05678660595345</v>
      </c>
      <c r="CG173" s="435">
        <v>362.21492558473813</v>
      </c>
      <c r="CH173" s="363">
        <v>363.3730645635228</v>
      </c>
      <c r="CI173" s="362">
        <v>307.18514695949062</v>
      </c>
      <c r="CJ173" s="362">
        <v>314.5423817084129</v>
      </c>
      <c r="CK173" s="362">
        <v>322.07582583362341</v>
      </c>
      <c r="CL173" s="363">
        <v>319.95831858798391</v>
      </c>
      <c r="CM173" s="363">
        <v>317.85473302343837</v>
      </c>
      <c r="CN173" s="363">
        <v>316.83971997794788</v>
      </c>
      <c r="CO173" s="363">
        <v>315.82794819765024</v>
      </c>
      <c r="CP173" s="363">
        <v>314.81940733213651</v>
      </c>
      <c r="CQ173" s="363">
        <v>313.81408706404994</v>
      </c>
      <c r="CR173" s="363">
        <v>312.81197710898067</v>
      </c>
      <c r="CS173" s="363">
        <v>315.12583724095384</v>
      </c>
      <c r="CT173" s="363">
        <v>317.45681292188976</v>
      </c>
      <c r="CU173" s="363">
        <v>319.80503075495346</v>
      </c>
      <c r="CV173" s="363">
        <v>322.17061827978978</v>
      </c>
      <c r="CW173" s="363">
        <v>324.55370397944961</v>
      </c>
      <c r="CX173" s="435">
        <v>325.86192052978174</v>
      </c>
      <c r="CY173" s="435">
        <v>327.17013708011393</v>
      </c>
      <c r="CZ173" s="435">
        <v>328.47835363044607</v>
      </c>
      <c r="DA173" s="435">
        <v>329.78657018077826</v>
      </c>
      <c r="DB173" s="363">
        <v>331.09478673111039</v>
      </c>
      <c r="DC173" s="435">
        <v>332.1671376373925</v>
      </c>
      <c r="DD173" s="435">
        <v>333.23948854367467</v>
      </c>
      <c r="DE173" s="435">
        <v>334.31183944995678</v>
      </c>
      <c r="DF173" s="435">
        <v>335.38419035623895</v>
      </c>
      <c r="DG173" s="363">
        <v>336.45654126252106</v>
      </c>
      <c r="DH173" s="362">
        <v>11.263455388514659</v>
      </c>
      <c r="DI173" s="362">
        <v>11.533220662641808</v>
      </c>
      <c r="DJ173" s="362">
        <v>11.80944694723286</v>
      </c>
      <c r="DK173" s="363">
        <v>11.731805014892744</v>
      </c>
      <c r="DL173" s="363">
        <v>11.654673544192741</v>
      </c>
      <c r="DM173" s="363">
        <v>11.617456399191425</v>
      </c>
      <c r="DN173" s="363">
        <v>11.580358100580511</v>
      </c>
      <c r="DO173" s="363">
        <v>11.543378268845007</v>
      </c>
      <c r="DP173" s="363">
        <v>11.506516525681834</v>
      </c>
      <c r="DQ173" s="363">
        <v>11.46977249399596</v>
      </c>
      <c r="DR173" s="363">
        <v>11.55461403216831</v>
      </c>
      <c r="DS173" s="363">
        <v>11.640083140469294</v>
      </c>
      <c r="DT173" s="363">
        <v>11.726184461014963</v>
      </c>
      <c r="DU173" s="363">
        <v>11.81292267025896</v>
      </c>
      <c r="DV173" s="363">
        <v>11.900302479246488</v>
      </c>
      <c r="DW173" s="435">
        <v>11.948270419425334</v>
      </c>
      <c r="DX173" s="435">
        <v>11.996238359604179</v>
      </c>
      <c r="DY173" s="435">
        <v>12.044206299783026</v>
      </c>
      <c r="DZ173" s="435">
        <v>12.092174239961871</v>
      </c>
      <c r="EA173" s="363">
        <v>12.140142180140717</v>
      </c>
      <c r="EB173" s="435">
        <v>12.179461713371062</v>
      </c>
      <c r="EC173" s="435">
        <v>12.218781246601406</v>
      </c>
      <c r="ED173" s="435">
        <v>12.258100779831752</v>
      </c>
      <c r="EE173" s="435">
        <v>12.297420313062096</v>
      </c>
      <c r="EF173" s="363">
        <v>12.33673984629244</v>
      </c>
      <c r="EG173" s="364">
        <v>0</v>
      </c>
      <c r="EH173" s="364">
        <v>0</v>
      </c>
      <c r="EI173" s="364">
        <v>0</v>
      </c>
      <c r="EJ173" s="365">
        <v>0</v>
      </c>
      <c r="EK173" s="365">
        <v>0</v>
      </c>
      <c r="EL173" s="365">
        <v>0</v>
      </c>
      <c r="EM173" s="365">
        <v>0</v>
      </c>
      <c r="EN173" s="365">
        <v>0</v>
      </c>
      <c r="EO173" s="365">
        <v>0</v>
      </c>
      <c r="EP173" s="365">
        <v>0</v>
      </c>
      <c r="EQ173" s="365">
        <v>0</v>
      </c>
      <c r="ER173" s="365">
        <v>0</v>
      </c>
      <c r="ES173" s="365">
        <v>0</v>
      </c>
      <c r="ET173" s="365">
        <v>0</v>
      </c>
      <c r="EU173" s="365">
        <v>0</v>
      </c>
      <c r="EV173" s="436">
        <v>0</v>
      </c>
      <c r="EW173" s="436">
        <v>0</v>
      </c>
      <c r="EX173" s="436">
        <v>0</v>
      </c>
      <c r="EY173" s="436">
        <v>0</v>
      </c>
      <c r="EZ173" s="365">
        <v>0</v>
      </c>
      <c r="FA173" s="436">
        <v>0</v>
      </c>
      <c r="FB173" s="436">
        <v>0</v>
      </c>
      <c r="FC173" s="436">
        <v>0</v>
      </c>
      <c r="FD173" s="436">
        <v>0</v>
      </c>
      <c r="FE173" s="365">
        <v>0</v>
      </c>
      <c r="FF173" s="364">
        <v>0</v>
      </c>
      <c r="FG173" s="364">
        <v>0</v>
      </c>
      <c r="FH173" s="364">
        <v>0</v>
      </c>
      <c r="FI173" s="365">
        <v>0</v>
      </c>
      <c r="FJ173" s="365">
        <v>0</v>
      </c>
      <c r="FK173" s="365">
        <v>0</v>
      </c>
      <c r="FL173" s="365">
        <v>0</v>
      </c>
      <c r="FM173" s="365">
        <v>0</v>
      </c>
      <c r="FN173" s="365">
        <v>0</v>
      </c>
      <c r="FO173" s="365">
        <v>0</v>
      </c>
      <c r="FP173" s="365">
        <v>0</v>
      </c>
      <c r="FQ173" s="365">
        <v>0</v>
      </c>
      <c r="FR173" s="365">
        <v>0</v>
      </c>
      <c r="FS173" s="365">
        <v>0</v>
      </c>
      <c r="FT173" s="365">
        <v>0</v>
      </c>
      <c r="FU173" s="436">
        <v>0</v>
      </c>
      <c r="FV173" s="436">
        <v>0</v>
      </c>
      <c r="FW173" s="436">
        <v>0</v>
      </c>
      <c r="FX173" s="436">
        <v>0</v>
      </c>
      <c r="FY173" s="365">
        <v>0</v>
      </c>
      <c r="FZ173" s="436">
        <v>0</v>
      </c>
      <c r="GA173" s="436">
        <v>0</v>
      </c>
      <c r="GB173" s="436">
        <v>0</v>
      </c>
      <c r="GC173" s="436">
        <v>0</v>
      </c>
      <c r="GD173" s="365">
        <v>0</v>
      </c>
    </row>
    <row r="174" spans="1:186" ht="15" x14ac:dyDescent="0.25">
      <c r="A174" s="357">
        <v>117</v>
      </c>
      <c r="B174" s="357">
        <v>92</v>
      </c>
      <c r="C174" s="357" t="s">
        <v>1084</v>
      </c>
      <c r="D174" s="2">
        <v>99705</v>
      </c>
      <c r="E174" s="268" t="s">
        <v>218</v>
      </c>
      <c r="F174" s="358" t="s">
        <v>985</v>
      </c>
      <c r="G174" s="49">
        <v>81</v>
      </c>
      <c r="H174" s="49">
        <v>33</v>
      </c>
      <c r="I174" s="49">
        <v>31</v>
      </c>
      <c r="J174" s="49">
        <v>2</v>
      </c>
      <c r="K174" s="49">
        <v>1</v>
      </c>
      <c r="L174" s="49">
        <v>89</v>
      </c>
      <c r="M174" s="49">
        <v>90</v>
      </c>
      <c r="N174" s="49">
        <v>3</v>
      </c>
      <c r="O174" s="49">
        <v>0</v>
      </c>
      <c r="P174" s="49">
        <v>0</v>
      </c>
      <c r="Q174" s="49">
        <v>93</v>
      </c>
      <c r="R174" s="49">
        <v>3292</v>
      </c>
      <c r="S174" s="49">
        <v>2004.314606741573</v>
      </c>
      <c r="T174" s="49">
        <v>2018.6222222222223</v>
      </c>
      <c r="U174" s="49">
        <v>5510.666666666667</v>
      </c>
      <c r="V174" s="49">
        <v>0</v>
      </c>
      <c r="W174" s="49">
        <v>0</v>
      </c>
      <c r="X174" s="49">
        <v>2131.2688172043013</v>
      </c>
      <c r="Y174" s="434">
        <v>181676</v>
      </c>
      <c r="Z174" s="434">
        <v>16532</v>
      </c>
      <c r="AA174" s="49">
        <v>0.36666666666666664</v>
      </c>
      <c r="AB174" s="49">
        <v>32.633333333333333</v>
      </c>
      <c r="AC174" s="49">
        <v>0</v>
      </c>
      <c r="AD174" s="285">
        <v>3</v>
      </c>
      <c r="AE174" s="285">
        <v>0</v>
      </c>
      <c r="AF174" s="359">
        <v>36</v>
      </c>
      <c r="AG174" s="360">
        <v>0.34444444444444439</v>
      </c>
      <c r="AH174" s="360">
        <v>30.655555555555555</v>
      </c>
      <c r="AI174" s="361">
        <v>31</v>
      </c>
      <c r="AJ174" s="360">
        <v>0</v>
      </c>
      <c r="AK174" s="360">
        <v>0.34032229008098219</v>
      </c>
      <c r="AL174" s="360">
        <v>30.288683817207414</v>
      </c>
      <c r="AM174" s="360">
        <v>30.629006107288397</v>
      </c>
      <c r="AN174" s="360">
        <v>0</v>
      </c>
      <c r="AO174" s="360">
        <v>0.32133645288471901</v>
      </c>
      <c r="AP174" s="360">
        <v>28.598944306739998</v>
      </c>
      <c r="AQ174" s="360">
        <v>28.920280759624717</v>
      </c>
      <c r="AR174" s="360">
        <v>0</v>
      </c>
      <c r="AS174" s="360">
        <v>2.8203230020047281</v>
      </c>
      <c r="AT174" s="360">
        <v>0</v>
      </c>
      <c r="AU174" s="360">
        <v>28.428364094554848</v>
      </c>
      <c r="AV174" s="360">
        <v>29.508177467819639</v>
      </c>
      <c r="AW174" s="360">
        <v>30.629006107288397</v>
      </c>
      <c r="AX174" s="360">
        <v>31.792407922969865</v>
      </c>
      <c r="AY174" s="360">
        <v>33</v>
      </c>
      <c r="AZ174" s="360">
        <v>26.980085135984503</v>
      </c>
      <c r="BA174" s="360">
        <v>27.933342747534699</v>
      </c>
      <c r="BB174" s="360">
        <v>28.920280759624717</v>
      </c>
      <c r="BC174" s="360">
        <v>29.942089164725399</v>
      </c>
      <c r="BD174" s="360">
        <v>31</v>
      </c>
      <c r="BE174" s="360">
        <v>2.6514072785456535</v>
      </c>
      <c r="BF174" s="360">
        <v>2.7345611961272809</v>
      </c>
      <c r="BG174" s="360">
        <v>2.8203230020047281</v>
      </c>
      <c r="BH174" s="360">
        <v>2.9087744852453215</v>
      </c>
      <c r="BI174" s="360">
        <v>3</v>
      </c>
      <c r="BJ174" s="362">
        <v>33.339034484247577</v>
      </c>
      <c r="BK174" s="362">
        <v>33.681552131571188</v>
      </c>
      <c r="BL174" s="362">
        <v>34.027588727194981</v>
      </c>
      <c r="BM174" s="363">
        <v>33.803872260754254</v>
      </c>
      <c r="BN174" s="363">
        <v>33.581626631925857</v>
      </c>
      <c r="BO174" s="363">
        <v>33.474389628418088</v>
      </c>
      <c r="BP174" s="363">
        <v>33.367495067372907</v>
      </c>
      <c r="BQ174" s="363">
        <v>33.260941855260675</v>
      </c>
      <c r="BR174" s="363">
        <v>33.154728902043772</v>
      </c>
      <c r="BS174" s="363">
        <v>33.04885512116541</v>
      </c>
      <c r="BT174" s="363">
        <v>33.293316439363537</v>
      </c>
      <c r="BU174" s="363">
        <v>33.539586030068406</v>
      </c>
      <c r="BV174" s="363">
        <v>33.787677269013592</v>
      </c>
      <c r="BW174" s="363">
        <v>34.037603630872539</v>
      </c>
      <c r="BX174" s="363">
        <v>34.289378689990372</v>
      </c>
      <c r="BY174" s="435">
        <v>34.427592896615764</v>
      </c>
      <c r="BZ174" s="435">
        <v>34.565807103241156</v>
      </c>
      <c r="CA174" s="435">
        <v>34.704021309866555</v>
      </c>
      <c r="CB174" s="435">
        <v>34.842235516491947</v>
      </c>
      <c r="CC174" s="363">
        <v>34.980449723117339</v>
      </c>
      <c r="CD174" s="435">
        <v>35.093744521060515</v>
      </c>
      <c r="CE174" s="435">
        <v>35.207039319003698</v>
      </c>
      <c r="CF174" s="435">
        <v>35.320334116946874</v>
      </c>
      <c r="CG174" s="435">
        <v>35.433628914890058</v>
      </c>
      <c r="CH174" s="363">
        <v>35.546923712833234</v>
      </c>
      <c r="CI174" s="362">
        <v>31.318486939747725</v>
      </c>
      <c r="CJ174" s="362">
        <v>31.640245941778993</v>
      </c>
      <c r="CK174" s="362">
        <v>31.965310622516498</v>
      </c>
      <c r="CL174" s="363">
        <v>31.755152729799452</v>
      </c>
      <c r="CM174" s="363">
        <v>31.546376533021256</v>
      </c>
      <c r="CN174" s="363">
        <v>31.445638741847294</v>
      </c>
      <c r="CO174" s="363">
        <v>31.345222639047275</v>
      </c>
      <c r="CP174" s="363">
        <v>31.245127197366092</v>
      </c>
      <c r="CQ174" s="363">
        <v>31.145351392828999</v>
      </c>
      <c r="CR174" s="363">
        <v>31.045894204731145</v>
      </c>
      <c r="CS174" s="363">
        <v>31.275539685462718</v>
      </c>
      <c r="CT174" s="363">
        <v>31.5068838464279</v>
      </c>
      <c r="CU174" s="363">
        <v>31.739939252709743</v>
      </c>
      <c r="CV174" s="363">
        <v>31.974718562334807</v>
      </c>
      <c r="CW174" s="363">
        <v>32.211234526960652</v>
      </c>
      <c r="CX174" s="435">
        <v>32.341072115002689</v>
      </c>
      <c r="CY174" s="435">
        <v>32.470909703044725</v>
      </c>
      <c r="CZ174" s="435">
        <v>32.600747291086755</v>
      </c>
      <c r="DA174" s="435">
        <v>32.730584879128791</v>
      </c>
      <c r="DB174" s="363">
        <v>32.860422467170828</v>
      </c>
      <c r="DC174" s="435">
        <v>32.966850913723512</v>
      </c>
      <c r="DD174" s="435">
        <v>33.073279360276196</v>
      </c>
      <c r="DE174" s="435">
        <v>33.17970780682888</v>
      </c>
      <c r="DF174" s="435">
        <v>33.286136253381564</v>
      </c>
      <c r="DG174" s="363">
        <v>33.392564699934248</v>
      </c>
      <c r="DH174" s="362">
        <v>3.0308213167497797</v>
      </c>
      <c r="DI174" s="362">
        <v>3.0619592846882897</v>
      </c>
      <c r="DJ174" s="362">
        <v>3.0934171570177256</v>
      </c>
      <c r="DK174" s="363">
        <v>3.0730792964322049</v>
      </c>
      <c r="DL174" s="363">
        <v>3.0528751483568959</v>
      </c>
      <c r="DM174" s="363">
        <v>3.0431263298561899</v>
      </c>
      <c r="DN174" s="363">
        <v>3.0334086424884461</v>
      </c>
      <c r="DO174" s="363">
        <v>3.0237219868418799</v>
      </c>
      <c r="DP174" s="363">
        <v>3.0140662638221611</v>
      </c>
      <c r="DQ174" s="363">
        <v>3.0044413746514009</v>
      </c>
      <c r="DR174" s="363">
        <v>3.0266651308512307</v>
      </c>
      <c r="DS174" s="363">
        <v>3.0490532754607647</v>
      </c>
      <c r="DT174" s="363">
        <v>3.0716070244557812</v>
      </c>
      <c r="DU174" s="363">
        <v>3.0943276028065942</v>
      </c>
      <c r="DV174" s="363">
        <v>3.1172162445445792</v>
      </c>
      <c r="DW174" s="435">
        <v>3.129781172419615</v>
      </c>
      <c r="DX174" s="435">
        <v>3.1423461002946507</v>
      </c>
      <c r="DY174" s="435">
        <v>3.1549110281696864</v>
      </c>
      <c r="DZ174" s="435">
        <v>3.1674759560447221</v>
      </c>
      <c r="EA174" s="363">
        <v>3.1800408839197578</v>
      </c>
      <c r="EB174" s="435">
        <v>3.1903404110055011</v>
      </c>
      <c r="EC174" s="435">
        <v>3.2006399380912449</v>
      </c>
      <c r="ED174" s="435">
        <v>3.2109394651769883</v>
      </c>
      <c r="EE174" s="435">
        <v>3.221238992262732</v>
      </c>
      <c r="EF174" s="363">
        <v>3.2315385193484754</v>
      </c>
      <c r="EG174" s="364">
        <v>0</v>
      </c>
      <c r="EH174" s="364">
        <v>0</v>
      </c>
      <c r="EI174" s="364">
        <v>0</v>
      </c>
      <c r="EJ174" s="365">
        <v>0</v>
      </c>
      <c r="EK174" s="365">
        <v>0</v>
      </c>
      <c r="EL174" s="365">
        <v>0</v>
      </c>
      <c r="EM174" s="365">
        <v>0</v>
      </c>
      <c r="EN174" s="365">
        <v>0</v>
      </c>
      <c r="EO174" s="365">
        <v>0</v>
      </c>
      <c r="EP174" s="365">
        <v>0</v>
      </c>
      <c r="EQ174" s="365">
        <v>0</v>
      </c>
      <c r="ER174" s="365">
        <v>0</v>
      </c>
      <c r="ES174" s="365">
        <v>0</v>
      </c>
      <c r="ET174" s="365">
        <v>0</v>
      </c>
      <c r="EU174" s="365">
        <v>0</v>
      </c>
      <c r="EV174" s="436">
        <v>0</v>
      </c>
      <c r="EW174" s="436">
        <v>0</v>
      </c>
      <c r="EX174" s="436">
        <v>0</v>
      </c>
      <c r="EY174" s="436">
        <v>0</v>
      </c>
      <c r="EZ174" s="365">
        <v>0</v>
      </c>
      <c r="FA174" s="436">
        <v>0</v>
      </c>
      <c r="FB174" s="436">
        <v>0</v>
      </c>
      <c r="FC174" s="436">
        <v>0</v>
      </c>
      <c r="FD174" s="436">
        <v>0</v>
      </c>
      <c r="FE174" s="365">
        <v>0</v>
      </c>
      <c r="FF174" s="364">
        <v>0</v>
      </c>
      <c r="FG174" s="364">
        <v>0</v>
      </c>
      <c r="FH174" s="364">
        <v>0</v>
      </c>
      <c r="FI174" s="365">
        <v>0</v>
      </c>
      <c r="FJ174" s="365">
        <v>0</v>
      </c>
      <c r="FK174" s="365">
        <v>0</v>
      </c>
      <c r="FL174" s="365">
        <v>0</v>
      </c>
      <c r="FM174" s="365">
        <v>0</v>
      </c>
      <c r="FN174" s="365">
        <v>0</v>
      </c>
      <c r="FO174" s="365">
        <v>0</v>
      </c>
      <c r="FP174" s="365">
        <v>0</v>
      </c>
      <c r="FQ174" s="365">
        <v>0</v>
      </c>
      <c r="FR174" s="365">
        <v>0</v>
      </c>
      <c r="FS174" s="365">
        <v>0</v>
      </c>
      <c r="FT174" s="365">
        <v>0</v>
      </c>
      <c r="FU174" s="436">
        <v>0</v>
      </c>
      <c r="FV174" s="436">
        <v>0</v>
      </c>
      <c r="FW174" s="436">
        <v>0</v>
      </c>
      <c r="FX174" s="436">
        <v>0</v>
      </c>
      <c r="FY174" s="365">
        <v>0</v>
      </c>
      <c r="FZ174" s="436">
        <v>0</v>
      </c>
      <c r="GA174" s="436">
        <v>0</v>
      </c>
      <c r="GB174" s="436">
        <v>0</v>
      </c>
      <c r="GC174" s="436">
        <v>0</v>
      </c>
      <c r="GD174" s="365">
        <v>0</v>
      </c>
    </row>
    <row r="175" spans="1:186" ht="15" x14ac:dyDescent="0.25">
      <c r="A175" s="357">
        <v>118</v>
      </c>
      <c r="B175" s="357">
        <v>92</v>
      </c>
      <c r="C175" s="357" t="s">
        <v>1085</v>
      </c>
      <c r="D175" s="2">
        <v>99705</v>
      </c>
      <c r="E175" s="268" t="s">
        <v>218</v>
      </c>
      <c r="F175" s="358" t="s">
        <v>985</v>
      </c>
      <c r="G175" s="49">
        <v>123</v>
      </c>
      <c r="H175" s="49">
        <v>54</v>
      </c>
      <c r="I175" s="49">
        <v>49</v>
      </c>
      <c r="J175" s="49">
        <v>5</v>
      </c>
      <c r="K175" s="49">
        <v>0</v>
      </c>
      <c r="L175" s="49">
        <v>15</v>
      </c>
      <c r="M175" s="49">
        <v>15</v>
      </c>
      <c r="N175" s="49">
        <v>0</v>
      </c>
      <c r="O175" s="49">
        <v>0</v>
      </c>
      <c r="P175" s="49">
        <v>0</v>
      </c>
      <c r="Q175" s="49">
        <v>15</v>
      </c>
      <c r="R175" s="49">
        <v>0</v>
      </c>
      <c r="S175" s="49">
        <v>1687.8</v>
      </c>
      <c r="T175" s="49">
        <v>1687.8</v>
      </c>
      <c r="U175" s="49">
        <v>0</v>
      </c>
      <c r="V175" s="49">
        <v>0</v>
      </c>
      <c r="W175" s="49">
        <v>0</v>
      </c>
      <c r="X175" s="49">
        <v>1687.8</v>
      </c>
      <c r="Y175" s="434">
        <v>25317</v>
      </c>
      <c r="Z175" s="434">
        <v>0</v>
      </c>
      <c r="AA175" s="49">
        <v>0</v>
      </c>
      <c r="AB175" s="49">
        <v>54</v>
      </c>
      <c r="AC175" s="49">
        <v>0</v>
      </c>
      <c r="AD175" s="285">
        <v>0</v>
      </c>
      <c r="AE175" s="285">
        <v>0</v>
      </c>
      <c r="AF175" s="359">
        <v>54</v>
      </c>
      <c r="AG175" s="360">
        <v>0</v>
      </c>
      <c r="AH175" s="360">
        <v>49</v>
      </c>
      <c r="AI175" s="361">
        <v>49</v>
      </c>
      <c r="AJ175" s="360">
        <v>0</v>
      </c>
      <c r="AK175" s="360">
        <v>0</v>
      </c>
      <c r="AL175" s="360">
        <v>50.120191811926468</v>
      </c>
      <c r="AM175" s="360">
        <v>50.120191811926468</v>
      </c>
      <c r="AN175" s="360">
        <v>0</v>
      </c>
      <c r="AO175" s="360">
        <v>0</v>
      </c>
      <c r="AP175" s="360">
        <v>45.712701845858426</v>
      </c>
      <c r="AQ175" s="360">
        <v>45.712701845858426</v>
      </c>
      <c r="AR175" s="360">
        <v>0</v>
      </c>
      <c r="AS175" s="360">
        <v>0</v>
      </c>
      <c r="AT175" s="360">
        <v>0</v>
      </c>
      <c r="AU175" s="360">
        <v>46.519141245635204</v>
      </c>
      <c r="AV175" s="360">
        <v>48.286108583704866</v>
      </c>
      <c r="AW175" s="360">
        <v>50.120191811926468</v>
      </c>
      <c r="AX175" s="360">
        <v>52.023940237587055</v>
      </c>
      <c r="AY175" s="360">
        <v>54</v>
      </c>
      <c r="AZ175" s="360">
        <v>42.645941021394862</v>
      </c>
      <c r="BA175" s="360">
        <v>44.152703052554848</v>
      </c>
      <c r="BB175" s="360">
        <v>45.712701845858426</v>
      </c>
      <c r="BC175" s="360">
        <v>47.327818357146604</v>
      </c>
      <c r="BD175" s="360">
        <v>49</v>
      </c>
      <c r="BE175" s="360">
        <v>0</v>
      </c>
      <c r="BF175" s="360">
        <v>0</v>
      </c>
      <c r="BG175" s="360">
        <v>0</v>
      </c>
      <c r="BH175" s="360">
        <v>0</v>
      </c>
      <c r="BI175" s="360">
        <v>0</v>
      </c>
      <c r="BJ175" s="362">
        <v>54.554783701496042</v>
      </c>
      <c r="BK175" s="362">
        <v>55.115267124389213</v>
      </c>
      <c r="BL175" s="362">
        <v>55.68150882631906</v>
      </c>
      <c r="BM175" s="363">
        <v>55.315427335779688</v>
      </c>
      <c r="BN175" s="363">
        <v>54.951752670424128</v>
      </c>
      <c r="BO175" s="363">
        <v>54.776273937411418</v>
      </c>
      <c r="BP175" s="363">
        <v>54.60135556479203</v>
      </c>
      <c r="BQ175" s="363">
        <v>54.426995763153833</v>
      </c>
      <c r="BR175" s="363">
        <v>54.253192748798902</v>
      </c>
      <c r="BS175" s="363">
        <v>54.079944743725221</v>
      </c>
      <c r="BT175" s="363">
        <v>54.479972355322154</v>
      </c>
      <c r="BU175" s="363">
        <v>54.882958958293763</v>
      </c>
      <c r="BV175" s="363">
        <v>55.288926440204065</v>
      </c>
      <c r="BW175" s="363">
        <v>55.697896850518696</v>
      </c>
      <c r="BX175" s="363">
        <v>56.109892401802426</v>
      </c>
      <c r="BY175" s="435">
        <v>56.336061103553071</v>
      </c>
      <c r="BZ175" s="435">
        <v>56.562229805303716</v>
      </c>
      <c r="CA175" s="435">
        <v>56.788398507054353</v>
      </c>
      <c r="CB175" s="435">
        <v>57.014567208804998</v>
      </c>
      <c r="CC175" s="363">
        <v>57.240735910555642</v>
      </c>
      <c r="CD175" s="435">
        <v>57.426127398099027</v>
      </c>
      <c r="CE175" s="435">
        <v>57.611518885642411</v>
      </c>
      <c r="CF175" s="435">
        <v>57.796910373185789</v>
      </c>
      <c r="CG175" s="435">
        <v>57.982301860729173</v>
      </c>
      <c r="CH175" s="363">
        <v>58.167693348272557</v>
      </c>
      <c r="CI175" s="362">
        <v>49.503414840246407</v>
      </c>
      <c r="CJ175" s="362">
        <v>50.012001649908733</v>
      </c>
      <c r="CK175" s="362">
        <v>50.525813564622851</v>
      </c>
      <c r="CL175" s="363">
        <v>50.193628508392685</v>
      </c>
      <c r="CM175" s="363">
        <v>49.863627423162633</v>
      </c>
      <c r="CN175" s="363">
        <v>49.704396720984434</v>
      </c>
      <c r="CO175" s="363">
        <v>49.545674493977948</v>
      </c>
      <c r="CP175" s="363">
        <v>49.387459118417368</v>
      </c>
      <c r="CQ175" s="363">
        <v>49.229748975761972</v>
      </c>
      <c r="CR175" s="363">
        <v>49.072542452639553</v>
      </c>
      <c r="CS175" s="363">
        <v>49.4355304705701</v>
      </c>
      <c r="CT175" s="363">
        <v>49.801203499192489</v>
      </c>
      <c r="CU175" s="363">
        <v>50.169581399444432</v>
      </c>
      <c r="CV175" s="363">
        <v>50.540684179174377</v>
      </c>
      <c r="CW175" s="363">
        <v>50.914531994228128</v>
      </c>
      <c r="CX175" s="435">
        <v>51.119759149520377</v>
      </c>
      <c r="CY175" s="435">
        <v>51.324986304812626</v>
      </c>
      <c r="CZ175" s="435">
        <v>51.530213460104875</v>
      </c>
      <c r="DA175" s="435">
        <v>51.735440615397124</v>
      </c>
      <c r="DB175" s="363">
        <v>51.940667770689373</v>
      </c>
      <c r="DC175" s="435">
        <v>52.108893379756516</v>
      </c>
      <c r="DD175" s="435">
        <v>52.277118988823666</v>
      </c>
      <c r="DE175" s="435">
        <v>52.445344597890809</v>
      </c>
      <c r="DF175" s="435">
        <v>52.613570206957959</v>
      </c>
      <c r="DG175" s="363">
        <v>52.781795816025102</v>
      </c>
      <c r="DH175" s="362">
        <v>0</v>
      </c>
      <c r="DI175" s="362">
        <v>0</v>
      </c>
      <c r="DJ175" s="362">
        <v>0</v>
      </c>
      <c r="DK175" s="363">
        <v>0</v>
      </c>
      <c r="DL175" s="363">
        <v>0</v>
      </c>
      <c r="DM175" s="363">
        <v>0</v>
      </c>
      <c r="DN175" s="363">
        <v>0</v>
      </c>
      <c r="DO175" s="363">
        <v>0</v>
      </c>
      <c r="DP175" s="363">
        <v>0</v>
      </c>
      <c r="DQ175" s="363">
        <v>0</v>
      </c>
      <c r="DR175" s="363">
        <v>0</v>
      </c>
      <c r="DS175" s="363">
        <v>0</v>
      </c>
      <c r="DT175" s="363">
        <v>0</v>
      </c>
      <c r="DU175" s="363">
        <v>0</v>
      </c>
      <c r="DV175" s="363">
        <v>0</v>
      </c>
      <c r="DW175" s="435">
        <v>0</v>
      </c>
      <c r="DX175" s="435">
        <v>0</v>
      </c>
      <c r="DY175" s="435">
        <v>0</v>
      </c>
      <c r="DZ175" s="435">
        <v>0</v>
      </c>
      <c r="EA175" s="363">
        <v>0</v>
      </c>
      <c r="EB175" s="435">
        <v>0</v>
      </c>
      <c r="EC175" s="435">
        <v>0</v>
      </c>
      <c r="ED175" s="435">
        <v>0</v>
      </c>
      <c r="EE175" s="435">
        <v>0</v>
      </c>
      <c r="EF175" s="363">
        <v>0</v>
      </c>
      <c r="EG175" s="364">
        <v>0</v>
      </c>
      <c r="EH175" s="364">
        <v>0</v>
      </c>
      <c r="EI175" s="364">
        <v>0</v>
      </c>
      <c r="EJ175" s="365">
        <v>0</v>
      </c>
      <c r="EK175" s="365">
        <v>0</v>
      </c>
      <c r="EL175" s="365">
        <v>0</v>
      </c>
      <c r="EM175" s="365">
        <v>0</v>
      </c>
      <c r="EN175" s="365">
        <v>0</v>
      </c>
      <c r="EO175" s="365">
        <v>0</v>
      </c>
      <c r="EP175" s="365">
        <v>0</v>
      </c>
      <c r="EQ175" s="365">
        <v>0</v>
      </c>
      <c r="ER175" s="365">
        <v>0</v>
      </c>
      <c r="ES175" s="365">
        <v>0</v>
      </c>
      <c r="ET175" s="365">
        <v>0</v>
      </c>
      <c r="EU175" s="365">
        <v>0</v>
      </c>
      <c r="EV175" s="436">
        <v>0</v>
      </c>
      <c r="EW175" s="436">
        <v>0</v>
      </c>
      <c r="EX175" s="436">
        <v>0</v>
      </c>
      <c r="EY175" s="436">
        <v>0</v>
      </c>
      <c r="EZ175" s="365">
        <v>0</v>
      </c>
      <c r="FA175" s="436">
        <v>0</v>
      </c>
      <c r="FB175" s="436">
        <v>0</v>
      </c>
      <c r="FC175" s="436">
        <v>0</v>
      </c>
      <c r="FD175" s="436">
        <v>0</v>
      </c>
      <c r="FE175" s="365">
        <v>0</v>
      </c>
      <c r="FF175" s="364">
        <v>0</v>
      </c>
      <c r="FG175" s="364">
        <v>0</v>
      </c>
      <c r="FH175" s="364">
        <v>0</v>
      </c>
      <c r="FI175" s="365">
        <v>0</v>
      </c>
      <c r="FJ175" s="365">
        <v>0</v>
      </c>
      <c r="FK175" s="365">
        <v>0</v>
      </c>
      <c r="FL175" s="365">
        <v>0</v>
      </c>
      <c r="FM175" s="365">
        <v>0</v>
      </c>
      <c r="FN175" s="365">
        <v>0</v>
      </c>
      <c r="FO175" s="365">
        <v>0</v>
      </c>
      <c r="FP175" s="365">
        <v>0</v>
      </c>
      <c r="FQ175" s="365">
        <v>0</v>
      </c>
      <c r="FR175" s="365">
        <v>0</v>
      </c>
      <c r="FS175" s="365">
        <v>0</v>
      </c>
      <c r="FT175" s="365">
        <v>0</v>
      </c>
      <c r="FU175" s="436">
        <v>0</v>
      </c>
      <c r="FV175" s="436">
        <v>0</v>
      </c>
      <c r="FW175" s="436">
        <v>0</v>
      </c>
      <c r="FX175" s="436">
        <v>0</v>
      </c>
      <c r="FY175" s="365">
        <v>0</v>
      </c>
      <c r="FZ175" s="436">
        <v>0</v>
      </c>
      <c r="GA175" s="436">
        <v>0</v>
      </c>
      <c r="GB175" s="436">
        <v>0</v>
      </c>
      <c r="GC175" s="436">
        <v>0</v>
      </c>
      <c r="GD175" s="365">
        <v>0</v>
      </c>
    </row>
    <row r="176" spans="1:186" ht="15" x14ac:dyDescent="0.25">
      <c r="A176" s="357">
        <v>119</v>
      </c>
      <c r="B176" s="357">
        <v>92</v>
      </c>
      <c r="C176" s="357" t="s">
        <v>1086</v>
      </c>
      <c r="D176" s="2">
        <v>99705</v>
      </c>
      <c r="E176" s="268" t="s">
        <v>218</v>
      </c>
      <c r="F176" s="358" t="s">
        <v>985</v>
      </c>
      <c r="G176" s="49">
        <v>274</v>
      </c>
      <c r="H176" s="49">
        <v>104</v>
      </c>
      <c r="I176" s="49">
        <v>93</v>
      </c>
      <c r="J176" s="49">
        <v>11</v>
      </c>
      <c r="K176" s="49">
        <v>1</v>
      </c>
      <c r="L176" s="49">
        <v>102</v>
      </c>
      <c r="M176" s="49">
        <v>103</v>
      </c>
      <c r="N176" s="49">
        <v>9</v>
      </c>
      <c r="O176" s="49">
        <v>0</v>
      </c>
      <c r="P176" s="49">
        <v>0</v>
      </c>
      <c r="Q176" s="49">
        <v>112</v>
      </c>
      <c r="R176" s="49">
        <v>3536</v>
      </c>
      <c r="S176" s="49">
        <v>2194.3431372549021</v>
      </c>
      <c r="T176" s="49">
        <v>2207.3689320388348</v>
      </c>
      <c r="U176" s="49">
        <v>4649.2222222222226</v>
      </c>
      <c r="V176" s="49">
        <v>0</v>
      </c>
      <c r="W176" s="49">
        <v>0</v>
      </c>
      <c r="X176" s="49">
        <v>2403.5892857142858</v>
      </c>
      <c r="Y176" s="434">
        <v>227359</v>
      </c>
      <c r="Z176" s="434">
        <v>41843</v>
      </c>
      <c r="AA176" s="49">
        <v>1.0097087378640777</v>
      </c>
      <c r="AB176" s="49">
        <v>102.99029126213593</v>
      </c>
      <c r="AC176" s="49">
        <v>0</v>
      </c>
      <c r="AD176" s="285">
        <v>9</v>
      </c>
      <c r="AE176" s="285">
        <v>0</v>
      </c>
      <c r="AF176" s="359">
        <v>113</v>
      </c>
      <c r="AG176" s="360">
        <v>0.90291262135922323</v>
      </c>
      <c r="AH176" s="360">
        <v>92.097087378640779</v>
      </c>
      <c r="AI176" s="361">
        <v>93</v>
      </c>
      <c r="AJ176" s="360">
        <v>0</v>
      </c>
      <c r="AK176" s="360">
        <v>0.93716288177640283</v>
      </c>
      <c r="AL176" s="360">
        <v>95.590613941193098</v>
      </c>
      <c r="AM176" s="360">
        <v>96.5277768229695</v>
      </c>
      <c r="AN176" s="360">
        <v>0</v>
      </c>
      <c r="AO176" s="360">
        <v>0.84233827455217614</v>
      </c>
      <c r="AP176" s="360">
        <v>85.918504004321974</v>
      </c>
      <c r="AQ176" s="360">
        <v>86.760842278874151</v>
      </c>
      <c r="AR176" s="360">
        <v>0</v>
      </c>
      <c r="AS176" s="360">
        <v>8.4609690060141833</v>
      </c>
      <c r="AT176" s="360">
        <v>0</v>
      </c>
      <c r="AU176" s="360">
        <v>89.592420176778916</v>
      </c>
      <c r="AV176" s="360">
        <v>92.995468383431586</v>
      </c>
      <c r="AW176" s="360">
        <v>96.5277768229695</v>
      </c>
      <c r="AX176" s="360">
        <v>100.19425527238988</v>
      </c>
      <c r="AY176" s="360">
        <v>104</v>
      </c>
      <c r="AZ176" s="360">
        <v>80.940255407953515</v>
      </c>
      <c r="BA176" s="360">
        <v>83.8000282426041</v>
      </c>
      <c r="BB176" s="360">
        <v>86.760842278874151</v>
      </c>
      <c r="BC176" s="360">
        <v>89.826267494176207</v>
      </c>
      <c r="BD176" s="360">
        <v>93</v>
      </c>
      <c r="BE176" s="360">
        <v>7.9542218356369609</v>
      </c>
      <c r="BF176" s="360">
        <v>8.2036835883818426</v>
      </c>
      <c r="BG176" s="360">
        <v>8.4609690060141833</v>
      </c>
      <c r="BH176" s="360">
        <v>8.7263234557359635</v>
      </c>
      <c r="BI176" s="360">
        <v>9</v>
      </c>
      <c r="BJ176" s="362">
        <v>105.06847231399237</v>
      </c>
      <c r="BK176" s="362">
        <v>106.14792186919405</v>
      </c>
      <c r="BL176" s="362">
        <v>107.23846144328115</v>
      </c>
      <c r="BM176" s="363">
        <v>106.53341560964978</v>
      </c>
      <c r="BN176" s="363">
        <v>105.83300514303906</v>
      </c>
      <c r="BO176" s="363">
        <v>105.49504610168125</v>
      </c>
      <c r="BP176" s="363">
        <v>105.15816627293279</v>
      </c>
      <c r="BQ176" s="363">
        <v>104.82236221051851</v>
      </c>
      <c r="BR176" s="363">
        <v>104.48763047916826</v>
      </c>
      <c r="BS176" s="363">
        <v>104.1539676545819</v>
      </c>
      <c r="BT176" s="363">
        <v>104.92439120284266</v>
      </c>
      <c r="BU176" s="363">
        <v>105.70051354930651</v>
      </c>
      <c r="BV176" s="363">
        <v>106.48237684780042</v>
      </c>
      <c r="BW176" s="363">
        <v>107.27002356396194</v>
      </c>
      <c r="BX176" s="363">
        <v>108.06349647754541</v>
      </c>
      <c r="BY176" s="435">
        <v>108.49908064387998</v>
      </c>
      <c r="BZ176" s="435">
        <v>108.93466481021456</v>
      </c>
      <c r="CA176" s="435">
        <v>109.37024897654912</v>
      </c>
      <c r="CB176" s="435">
        <v>109.8058331428837</v>
      </c>
      <c r="CC176" s="363">
        <v>110.24141730921826</v>
      </c>
      <c r="CD176" s="435">
        <v>110.59846758152405</v>
      </c>
      <c r="CE176" s="435">
        <v>110.95551785382982</v>
      </c>
      <c r="CF176" s="435">
        <v>111.3125681261356</v>
      </c>
      <c r="CG176" s="435">
        <v>111.66961839844137</v>
      </c>
      <c r="CH176" s="363">
        <v>112.02666867074716</v>
      </c>
      <c r="CI176" s="362">
        <v>93.955460819243171</v>
      </c>
      <c r="CJ176" s="362">
        <v>94.920737825336985</v>
      </c>
      <c r="CK176" s="362">
        <v>95.895931867549493</v>
      </c>
      <c r="CL176" s="363">
        <v>95.265458189398359</v>
      </c>
      <c r="CM176" s="363">
        <v>94.639129599063764</v>
      </c>
      <c r="CN176" s="363">
        <v>94.336916225541884</v>
      </c>
      <c r="CO176" s="363">
        <v>94.035667917141822</v>
      </c>
      <c r="CP176" s="363">
        <v>93.735381592098278</v>
      </c>
      <c r="CQ176" s="363">
        <v>93.436054178486998</v>
      </c>
      <c r="CR176" s="363">
        <v>93.137682614193437</v>
      </c>
      <c r="CS176" s="363">
        <v>93.826619056388154</v>
      </c>
      <c r="CT176" s="363">
        <v>94.520651539283705</v>
      </c>
      <c r="CU176" s="363">
        <v>95.219817758129224</v>
      </c>
      <c r="CV176" s="363">
        <v>95.924155687004429</v>
      </c>
      <c r="CW176" s="363">
        <v>96.633703580881956</v>
      </c>
      <c r="CX176" s="435">
        <v>97.023216345008066</v>
      </c>
      <c r="CY176" s="435">
        <v>97.412729109134176</v>
      </c>
      <c r="CZ176" s="435">
        <v>97.802241873260272</v>
      </c>
      <c r="DA176" s="435">
        <v>98.191754637386381</v>
      </c>
      <c r="DB176" s="363">
        <v>98.581267401512491</v>
      </c>
      <c r="DC176" s="435">
        <v>98.900552741170543</v>
      </c>
      <c r="DD176" s="435">
        <v>99.219838080828595</v>
      </c>
      <c r="DE176" s="435">
        <v>99.539123420486632</v>
      </c>
      <c r="DF176" s="435">
        <v>99.858408760144684</v>
      </c>
      <c r="DG176" s="363">
        <v>100.17769409980274</v>
      </c>
      <c r="DH176" s="362">
        <v>9.0924639502493392</v>
      </c>
      <c r="DI176" s="362">
        <v>9.18587785406487</v>
      </c>
      <c r="DJ176" s="362">
        <v>9.2802514710531767</v>
      </c>
      <c r="DK176" s="363">
        <v>9.2192378892966147</v>
      </c>
      <c r="DL176" s="363">
        <v>9.1586254450706868</v>
      </c>
      <c r="DM176" s="363">
        <v>9.1293789895685702</v>
      </c>
      <c r="DN176" s="363">
        <v>9.1002259274653383</v>
      </c>
      <c r="DO176" s="363">
        <v>9.0711659605256401</v>
      </c>
      <c r="DP176" s="363">
        <v>9.0421987914664843</v>
      </c>
      <c r="DQ176" s="363">
        <v>9.0133241239542041</v>
      </c>
      <c r="DR176" s="363">
        <v>9.0799953925536911</v>
      </c>
      <c r="DS176" s="363">
        <v>9.1471598263822926</v>
      </c>
      <c r="DT176" s="363">
        <v>9.2148210733673448</v>
      </c>
      <c r="DU176" s="363">
        <v>9.2829828084197832</v>
      </c>
      <c r="DV176" s="363">
        <v>9.3516487336337377</v>
      </c>
      <c r="DW176" s="435">
        <v>9.389343517258844</v>
      </c>
      <c r="DX176" s="435">
        <v>9.427038300883952</v>
      </c>
      <c r="DY176" s="435">
        <v>9.4647330845090583</v>
      </c>
      <c r="DZ176" s="435">
        <v>9.5024278681341663</v>
      </c>
      <c r="EA176" s="363">
        <v>9.5401226517592725</v>
      </c>
      <c r="EB176" s="435">
        <v>9.5710212330165039</v>
      </c>
      <c r="EC176" s="435">
        <v>9.6019198142737352</v>
      </c>
      <c r="ED176" s="435">
        <v>9.6328183955309648</v>
      </c>
      <c r="EE176" s="435">
        <v>9.6637169767881961</v>
      </c>
      <c r="EF176" s="363">
        <v>9.6946155580454274</v>
      </c>
      <c r="EG176" s="364">
        <v>0</v>
      </c>
      <c r="EH176" s="364">
        <v>0</v>
      </c>
      <c r="EI176" s="364">
        <v>0</v>
      </c>
      <c r="EJ176" s="365">
        <v>0</v>
      </c>
      <c r="EK176" s="365">
        <v>0</v>
      </c>
      <c r="EL176" s="365">
        <v>0</v>
      </c>
      <c r="EM176" s="365">
        <v>0</v>
      </c>
      <c r="EN176" s="365">
        <v>0</v>
      </c>
      <c r="EO176" s="365">
        <v>0</v>
      </c>
      <c r="EP176" s="365">
        <v>0</v>
      </c>
      <c r="EQ176" s="365">
        <v>0</v>
      </c>
      <c r="ER176" s="365">
        <v>0</v>
      </c>
      <c r="ES176" s="365">
        <v>0</v>
      </c>
      <c r="ET176" s="365">
        <v>0</v>
      </c>
      <c r="EU176" s="365">
        <v>0</v>
      </c>
      <c r="EV176" s="436">
        <v>0</v>
      </c>
      <c r="EW176" s="436">
        <v>0</v>
      </c>
      <c r="EX176" s="436">
        <v>0</v>
      </c>
      <c r="EY176" s="436">
        <v>0</v>
      </c>
      <c r="EZ176" s="365">
        <v>0</v>
      </c>
      <c r="FA176" s="436">
        <v>0</v>
      </c>
      <c r="FB176" s="436">
        <v>0</v>
      </c>
      <c r="FC176" s="436">
        <v>0</v>
      </c>
      <c r="FD176" s="436">
        <v>0</v>
      </c>
      <c r="FE176" s="365">
        <v>0</v>
      </c>
      <c r="FF176" s="364">
        <v>0</v>
      </c>
      <c r="FG176" s="364">
        <v>0</v>
      </c>
      <c r="FH176" s="364">
        <v>0</v>
      </c>
      <c r="FI176" s="365">
        <v>0</v>
      </c>
      <c r="FJ176" s="365">
        <v>0</v>
      </c>
      <c r="FK176" s="365">
        <v>0</v>
      </c>
      <c r="FL176" s="365">
        <v>0</v>
      </c>
      <c r="FM176" s="365">
        <v>0</v>
      </c>
      <c r="FN176" s="365">
        <v>0</v>
      </c>
      <c r="FO176" s="365">
        <v>0</v>
      </c>
      <c r="FP176" s="365">
        <v>0</v>
      </c>
      <c r="FQ176" s="365">
        <v>0</v>
      </c>
      <c r="FR176" s="365">
        <v>0</v>
      </c>
      <c r="FS176" s="365">
        <v>0</v>
      </c>
      <c r="FT176" s="365">
        <v>0</v>
      </c>
      <c r="FU176" s="436">
        <v>0</v>
      </c>
      <c r="FV176" s="436">
        <v>0</v>
      </c>
      <c r="FW176" s="436">
        <v>0</v>
      </c>
      <c r="FX176" s="436">
        <v>0</v>
      </c>
      <c r="FY176" s="365">
        <v>0</v>
      </c>
      <c r="FZ176" s="436">
        <v>0</v>
      </c>
      <c r="GA176" s="436">
        <v>0</v>
      </c>
      <c r="GB176" s="436">
        <v>0</v>
      </c>
      <c r="GC176" s="436">
        <v>0</v>
      </c>
      <c r="GD176" s="365">
        <v>0</v>
      </c>
    </row>
    <row r="177" spans="1:186" ht="15" x14ac:dyDescent="0.25">
      <c r="A177" s="357">
        <v>120</v>
      </c>
      <c r="B177" s="357">
        <v>92</v>
      </c>
      <c r="C177" s="357" t="s">
        <v>1087</v>
      </c>
      <c r="D177" s="2">
        <v>99705</v>
      </c>
      <c r="E177" s="268" t="s">
        <v>218</v>
      </c>
      <c r="F177" s="358" t="s">
        <v>985</v>
      </c>
      <c r="G177" s="49">
        <v>217</v>
      </c>
      <c r="H177" s="49">
        <v>77</v>
      </c>
      <c r="I177" s="49">
        <v>70</v>
      </c>
      <c r="J177" s="49">
        <v>7</v>
      </c>
      <c r="K177" s="49">
        <v>1</v>
      </c>
      <c r="L177" s="49">
        <v>147</v>
      </c>
      <c r="M177" s="49">
        <v>148</v>
      </c>
      <c r="N177" s="49">
        <v>2</v>
      </c>
      <c r="O177" s="49">
        <v>0</v>
      </c>
      <c r="P177" s="49">
        <v>0</v>
      </c>
      <c r="Q177" s="49">
        <v>150</v>
      </c>
      <c r="R177" s="49">
        <v>3024</v>
      </c>
      <c r="S177" s="49">
        <v>2220.9591836734694</v>
      </c>
      <c r="T177" s="49">
        <v>2226.385135135135</v>
      </c>
      <c r="U177" s="49">
        <v>2932</v>
      </c>
      <c r="V177" s="49">
        <v>0</v>
      </c>
      <c r="W177" s="49">
        <v>0</v>
      </c>
      <c r="X177" s="49">
        <v>2235.7933333333335</v>
      </c>
      <c r="Y177" s="434">
        <v>329505</v>
      </c>
      <c r="Z177" s="434">
        <v>5864</v>
      </c>
      <c r="AA177" s="49">
        <v>0.52027027027027029</v>
      </c>
      <c r="AB177" s="49">
        <v>76.479729729729726</v>
      </c>
      <c r="AC177" s="49">
        <v>0</v>
      </c>
      <c r="AD177" s="285">
        <v>2</v>
      </c>
      <c r="AE177" s="285">
        <v>0</v>
      </c>
      <c r="AF177" s="359">
        <v>79</v>
      </c>
      <c r="AG177" s="360">
        <v>0.47297297297297297</v>
      </c>
      <c r="AH177" s="360">
        <v>69.527027027027017</v>
      </c>
      <c r="AI177" s="361">
        <v>69.999999999999986</v>
      </c>
      <c r="AJ177" s="360">
        <v>0</v>
      </c>
      <c r="AK177" s="360">
        <v>0.48288973592571799</v>
      </c>
      <c r="AL177" s="360">
        <v>70.984791181080539</v>
      </c>
      <c r="AM177" s="360">
        <v>71.467680917006263</v>
      </c>
      <c r="AN177" s="360">
        <v>0</v>
      </c>
      <c r="AO177" s="360">
        <v>0.44124229580944424</v>
      </c>
      <c r="AP177" s="360">
        <v>64.862617483988302</v>
      </c>
      <c r="AQ177" s="360">
        <v>65.303859779797747</v>
      </c>
      <c r="AR177" s="360">
        <v>0</v>
      </c>
      <c r="AS177" s="360">
        <v>1.8802153346698185</v>
      </c>
      <c r="AT177" s="360">
        <v>0</v>
      </c>
      <c r="AU177" s="360">
        <v>66.33284955396131</v>
      </c>
      <c r="AV177" s="360">
        <v>68.852414091579163</v>
      </c>
      <c r="AW177" s="360">
        <v>71.467680917006263</v>
      </c>
      <c r="AX177" s="360">
        <v>74.182285153596354</v>
      </c>
      <c r="AY177" s="360">
        <v>77</v>
      </c>
      <c r="AZ177" s="360">
        <v>60.922772887706934</v>
      </c>
      <c r="BA177" s="360">
        <v>63.075290075078343</v>
      </c>
      <c r="BB177" s="360">
        <v>65.303859779797733</v>
      </c>
      <c r="BC177" s="360">
        <v>67.611169081637982</v>
      </c>
      <c r="BD177" s="360">
        <v>69.999999999999986</v>
      </c>
      <c r="BE177" s="360">
        <v>1.7676048523637691</v>
      </c>
      <c r="BF177" s="360">
        <v>1.823040797418187</v>
      </c>
      <c r="BG177" s="360">
        <v>1.8802153346698185</v>
      </c>
      <c r="BH177" s="360">
        <v>1.9391829901635476</v>
      </c>
      <c r="BI177" s="360">
        <v>2</v>
      </c>
      <c r="BJ177" s="362">
        <v>78.71074211457136</v>
      </c>
      <c r="BK177" s="362">
        <v>80.459492522422806</v>
      </c>
      <c r="BL177" s="362">
        <v>82.247095670152007</v>
      </c>
      <c r="BM177" s="363">
        <v>81.70635710163765</v>
      </c>
      <c r="BN177" s="363">
        <v>81.169173651964826</v>
      </c>
      <c r="BO177" s="363">
        <v>80.909974207725782</v>
      </c>
      <c r="BP177" s="363">
        <v>80.651602471209657</v>
      </c>
      <c r="BQ177" s="363">
        <v>80.394055799277751</v>
      </c>
      <c r="BR177" s="363">
        <v>80.137331557231818</v>
      </c>
      <c r="BS177" s="363">
        <v>79.881427118787016</v>
      </c>
      <c r="BT177" s="363">
        <v>80.472307465516494</v>
      </c>
      <c r="BU177" s="363">
        <v>81.067558535162959</v>
      </c>
      <c r="BV177" s="363">
        <v>81.667212657823242</v>
      </c>
      <c r="BW177" s="363">
        <v>82.271302402738883</v>
      </c>
      <c r="BX177" s="363">
        <v>82.879860580064943</v>
      </c>
      <c r="BY177" s="435">
        <v>83.213934121579442</v>
      </c>
      <c r="BZ177" s="435">
        <v>83.548007663093941</v>
      </c>
      <c r="CA177" s="435">
        <v>83.88208120460844</v>
      </c>
      <c r="CB177" s="435">
        <v>84.216154746122939</v>
      </c>
      <c r="CC177" s="363">
        <v>84.550228287637438</v>
      </c>
      <c r="CD177" s="435">
        <v>84.824069850731092</v>
      </c>
      <c r="CE177" s="435">
        <v>85.097911413824747</v>
      </c>
      <c r="CF177" s="435">
        <v>85.371752976918415</v>
      </c>
      <c r="CG177" s="435">
        <v>85.64559454001207</v>
      </c>
      <c r="CH177" s="363">
        <v>85.919436103105724</v>
      </c>
      <c r="CI177" s="362">
        <v>71.555220104155765</v>
      </c>
      <c r="CJ177" s="362">
        <v>73.144993202202542</v>
      </c>
      <c r="CK177" s="362">
        <v>74.770086972865442</v>
      </c>
      <c r="CL177" s="363">
        <v>74.278506456034208</v>
      </c>
      <c r="CM177" s="363">
        <v>73.790157865422557</v>
      </c>
      <c r="CN177" s="363">
        <v>73.554522007023422</v>
      </c>
      <c r="CO177" s="363">
        <v>73.31963861019058</v>
      </c>
      <c r="CP177" s="363">
        <v>73.085505272070677</v>
      </c>
      <c r="CQ177" s="363">
        <v>72.852119597483451</v>
      </c>
      <c r="CR177" s="363">
        <v>72.619479198897281</v>
      </c>
      <c r="CS177" s="363">
        <v>73.15664315046952</v>
      </c>
      <c r="CT177" s="363">
        <v>73.697780486511761</v>
      </c>
      <c r="CU177" s="363">
        <v>74.242920598021115</v>
      </c>
      <c r="CV177" s="363">
        <v>74.792093093398961</v>
      </c>
      <c r="CW177" s="363">
        <v>75.34532780005901</v>
      </c>
      <c r="CX177" s="435">
        <v>75.649031019617652</v>
      </c>
      <c r="CY177" s="435">
        <v>75.95273423917628</v>
      </c>
      <c r="CZ177" s="435">
        <v>76.256437458734922</v>
      </c>
      <c r="DA177" s="435">
        <v>76.56014067829355</v>
      </c>
      <c r="DB177" s="363">
        <v>76.863843897852192</v>
      </c>
      <c r="DC177" s="435">
        <v>77.112790773391879</v>
      </c>
      <c r="DD177" s="435">
        <v>77.361737648931566</v>
      </c>
      <c r="DE177" s="435">
        <v>77.610684524471267</v>
      </c>
      <c r="DF177" s="435">
        <v>77.859631400010954</v>
      </c>
      <c r="DG177" s="363">
        <v>78.108578275550641</v>
      </c>
      <c r="DH177" s="362">
        <v>2.0444348601187365</v>
      </c>
      <c r="DI177" s="362">
        <v>2.0898569486343588</v>
      </c>
      <c r="DJ177" s="362">
        <v>2.1362881992247273</v>
      </c>
      <c r="DK177" s="363">
        <v>2.1222430416009779</v>
      </c>
      <c r="DL177" s="363">
        <v>2.1082902247263591</v>
      </c>
      <c r="DM177" s="363">
        <v>2.1015577716292411</v>
      </c>
      <c r="DN177" s="363">
        <v>2.0948468174340169</v>
      </c>
      <c r="DO177" s="363">
        <v>2.0881572934877339</v>
      </c>
      <c r="DP177" s="363">
        <v>2.0814891313566704</v>
      </c>
      <c r="DQ177" s="363">
        <v>2.0748422628256367</v>
      </c>
      <c r="DR177" s="363">
        <v>2.0901898042991296</v>
      </c>
      <c r="DS177" s="363">
        <v>2.1056508710431934</v>
      </c>
      <c r="DT177" s="363">
        <v>2.1212263028006038</v>
      </c>
      <c r="DU177" s="363">
        <v>2.1369169455256851</v>
      </c>
      <c r="DV177" s="363">
        <v>2.1527236514302581</v>
      </c>
      <c r="DW177" s="435">
        <v>2.1614008862747904</v>
      </c>
      <c r="DX177" s="435">
        <v>2.1700781211193227</v>
      </c>
      <c r="DY177" s="435">
        <v>2.1787553559638555</v>
      </c>
      <c r="DZ177" s="435">
        <v>2.1874325908083878</v>
      </c>
      <c r="EA177" s="363">
        <v>2.1961098256529201</v>
      </c>
      <c r="EB177" s="435">
        <v>2.2032225935254828</v>
      </c>
      <c r="EC177" s="435">
        <v>2.2103353613980454</v>
      </c>
      <c r="ED177" s="435">
        <v>2.2174481292706076</v>
      </c>
      <c r="EE177" s="435">
        <v>2.2245608971431703</v>
      </c>
      <c r="EF177" s="363">
        <v>2.2316736650157329</v>
      </c>
      <c r="EG177" s="364">
        <v>0</v>
      </c>
      <c r="EH177" s="364">
        <v>0</v>
      </c>
      <c r="EI177" s="364">
        <v>0</v>
      </c>
      <c r="EJ177" s="365">
        <v>0</v>
      </c>
      <c r="EK177" s="365">
        <v>0</v>
      </c>
      <c r="EL177" s="365">
        <v>0</v>
      </c>
      <c r="EM177" s="365">
        <v>0</v>
      </c>
      <c r="EN177" s="365">
        <v>0</v>
      </c>
      <c r="EO177" s="365">
        <v>0</v>
      </c>
      <c r="EP177" s="365">
        <v>0</v>
      </c>
      <c r="EQ177" s="365">
        <v>0</v>
      </c>
      <c r="ER177" s="365">
        <v>0</v>
      </c>
      <c r="ES177" s="365">
        <v>0</v>
      </c>
      <c r="ET177" s="365">
        <v>0</v>
      </c>
      <c r="EU177" s="365">
        <v>0</v>
      </c>
      <c r="EV177" s="436">
        <v>0</v>
      </c>
      <c r="EW177" s="436">
        <v>0</v>
      </c>
      <c r="EX177" s="436">
        <v>0</v>
      </c>
      <c r="EY177" s="436">
        <v>0</v>
      </c>
      <c r="EZ177" s="365">
        <v>0</v>
      </c>
      <c r="FA177" s="436">
        <v>0</v>
      </c>
      <c r="FB177" s="436">
        <v>0</v>
      </c>
      <c r="FC177" s="436">
        <v>0</v>
      </c>
      <c r="FD177" s="436">
        <v>0</v>
      </c>
      <c r="FE177" s="365">
        <v>0</v>
      </c>
      <c r="FF177" s="364">
        <v>0</v>
      </c>
      <c r="FG177" s="364">
        <v>0</v>
      </c>
      <c r="FH177" s="364">
        <v>0</v>
      </c>
      <c r="FI177" s="365">
        <v>0</v>
      </c>
      <c r="FJ177" s="365">
        <v>0</v>
      </c>
      <c r="FK177" s="365">
        <v>0</v>
      </c>
      <c r="FL177" s="365">
        <v>0</v>
      </c>
      <c r="FM177" s="365">
        <v>0</v>
      </c>
      <c r="FN177" s="365">
        <v>0</v>
      </c>
      <c r="FO177" s="365">
        <v>0</v>
      </c>
      <c r="FP177" s="365">
        <v>0</v>
      </c>
      <c r="FQ177" s="365">
        <v>0</v>
      </c>
      <c r="FR177" s="365">
        <v>0</v>
      </c>
      <c r="FS177" s="365">
        <v>0</v>
      </c>
      <c r="FT177" s="365">
        <v>0</v>
      </c>
      <c r="FU177" s="436">
        <v>0</v>
      </c>
      <c r="FV177" s="436">
        <v>0</v>
      </c>
      <c r="FW177" s="436">
        <v>0</v>
      </c>
      <c r="FX177" s="436">
        <v>0</v>
      </c>
      <c r="FY177" s="365">
        <v>0</v>
      </c>
      <c r="FZ177" s="436">
        <v>0</v>
      </c>
      <c r="GA177" s="436">
        <v>0</v>
      </c>
      <c r="GB177" s="436">
        <v>0</v>
      </c>
      <c r="GC177" s="436">
        <v>0</v>
      </c>
      <c r="GD177" s="365">
        <v>0</v>
      </c>
    </row>
    <row r="178" spans="1:186" ht="15" x14ac:dyDescent="0.25">
      <c r="A178" s="357">
        <v>121</v>
      </c>
      <c r="B178" s="357">
        <v>92</v>
      </c>
      <c r="C178" s="357" t="s">
        <v>1088</v>
      </c>
      <c r="D178" s="2">
        <v>99705</v>
      </c>
      <c r="E178" s="268" t="s">
        <v>218</v>
      </c>
      <c r="F178" s="358" t="s">
        <v>985</v>
      </c>
      <c r="G178" s="49">
        <v>524</v>
      </c>
      <c r="H178" s="49">
        <v>203</v>
      </c>
      <c r="I178" s="49">
        <v>184</v>
      </c>
      <c r="J178" s="49">
        <v>19</v>
      </c>
      <c r="K178" s="49">
        <v>0</v>
      </c>
      <c r="L178" s="49">
        <v>131</v>
      </c>
      <c r="M178" s="49">
        <v>131</v>
      </c>
      <c r="N178" s="49">
        <v>2</v>
      </c>
      <c r="O178" s="49">
        <v>0</v>
      </c>
      <c r="P178" s="49">
        <v>0</v>
      </c>
      <c r="Q178" s="49">
        <v>133</v>
      </c>
      <c r="R178" s="49">
        <v>0</v>
      </c>
      <c r="S178" s="49">
        <v>1959.0916030534352</v>
      </c>
      <c r="T178" s="49">
        <v>1959.0916030534352</v>
      </c>
      <c r="U178" s="49">
        <v>5122</v>
      </c>
      <c r="V178" s="49">
        <v>0</v>
      </c>
      <c r="W178" s="49">
        <v>0</v>
      </c>
      <c r="X178" s="49">
        <v>2006.6541353383459</v>
      </c>
      <c r="Y178" s="434">
        <v>256641</v>
      </c>
      <c r="Z178" s="434">
        <v>10244</v>
      </c>
      <c r="AA178" s="49">
        <v>0</v>
      </c>
      <c r="AB178" s="49">
        <v>203</v>
      </c>
      <c r="AC178" s="49">
        <v>0</v>
      </c>
      <c r="AD178" s="285">
        <v>2</v>
      </c>
      <c r="AE178" s="285">
        <v>0</v>
      </c>
      <c r="AF178" s="359">
        <v>205</v>
      </c>
      <c r="AG178" s="360">
        <v>0</v>
      </c>
      <c r="AH178" s="360">
        <v>184</v>
      </c>
      <c r="AI178" s="361">
        <v>184</v>
      </c>
      <c r="AJ178" s="360">
        <v>0</v>
      </c>
      <c r="AK178" s="360">
        <v>0</v>
      </c>
      <c r="AL178" s="360">
        <v>188.4147951448347</v>
      </c>
      <c r="AM178" s="360">
        <v>188.4147951448347</v>
      </c>
      <c r="AN178" s="360">
        <v>0</v>
      </c>
      <c r="AO178" s="360">
        <v>0</v>
      </c>
      <c r="AP178" s="360">
        <v>171.65585999261123</v>
      </c>
      <c r="AQ178" s="360">
        <v>171.65585999261123</v>
      </c>
      <c r="AR178" s="360">
        <v>0</v>
      </c>
      <c r="AS178" s="360">
        <v>1.8802153346698185</v>
      </c>
      <c r="AT178" s="360">
        <v>0</v>
      </c>
      <c r="AU178" s="360">
        <v>174.87751246044346</v>
      </c>
      <c r="AV178" s="360">
        <v>181.52000078689051</v>
      </c>
      <c r="AW178" s="360">
        <v>188.4147951448347</v>
      </c>
      <c r="AX178" s="360">
        <v>195.57147904129948</v>
      </c>
      <c r="AY178" s="360">
        <v>203</v>
      </c>
      <c r="AZ178" s="360">
        <v>160.13986016197254</v>
      </c>
      <c r="BA178" s="360">
        <v>165.79790534020597</v>
      </c>
      <c r="BB178" s="360">
        <v>171.65585999261123</v>
      </c>
      <c r="BC178" s="360">
        <v>177.7207873003056</v>
      </c>
      <c r="BD178" s="360">
        <v>184</v>
      </c>
      <c r="BE178" s="360">
        <v>1.7676048523637691</v>
      </c>
      <c r="BF178" s="360">
        <v>1.823040797418187</v>
      </c>
      <c r="BG178" s="360">
        <v>1.8802153346698185</v>
      </c>
      <c r="BH178" s="360">
        <v>1.9391829901635476</v>
      </c>
      <c r="BI178" s="360">
        <v>2</v>
      </c>
      <c r="BJ178" s="362">
        <v>206.30717356765132</v>
      </c>
      <c r="BK178" s="362">
        <v>209.66822593829068</v>
      </c>
      <c r="BL178" s="362">
        <v>213.0840348781895</v>
      </c>
      <c r="BM178" s="363">
        <v>211.6831008384589</v>
      </c>
      <c r="BN178" s="363">
        <v>210.29137732538643</v>
      </c>
      <c r="BO178" s="363">
        <v>209.61984889065434</v>
      </c>
      <c r="BP178" s="363">
        <v>208.95046486357407</v>
      </c>
      <c r="BQ178" s="363">
        <v>208.28321839635791</v>
      </c>
      <c r="BR178" s="363">
        <v>207.61810266308535</v>
      </c>
      <c r="BS178" s="363">
        <v>206.95511085963321</v>
      </c>
      <c r="BT178" s="363">
        <v>208.48595115721992</v>
      </c>
      <c r="BU178" s="363">
        <v>210.02811503124298</v>
      </c>
      <c r="BV178" s="363">
        <v>211.58168624183304</v>
      </c>
      <c r="BW178" s="363">
        <v>213.1467491686918</v>
      </c>
      <c r="BX178" s="363">
        <v>214.72338881567464</v>
      </c>
      <c r="BY178" s="435">
        <v>215.58889947707772</v>
      </c>
      <c r="BZ178" s="435">
        <v>216.4544101384808</v>
      </c>
      <c r="CA178" s="435">
        <v>217.3199207998839</v>
      </c>
      <c r="CB178" s="435">
        <v>218.18543146128698</v>
      </c>
      <c r="CC178" s="363">
        <v>219.05094212269006</v>
      </c>
      <c r="CD178" s="435">
        <v>219.76040504908156</v>
      </c>
      <c r="CE178" s="435">
        <v>220.46986797547305</v>
      </c>
      <c r="CF178" s="435">
        <v>221.17933090186452</v>
      </c>
      <c r="CG178" s="435">
        <v>221.88879382825601</v>
      </c>
      <c r="CH178" s="363">
        <v>222.59825675464751</v>
      </c>
      <c r="CI178" s="362">
        <v>186.99763515491549</v>
      </c>
      <c r="CJ178" s="362">
        <v>190.04410626918957</v>
      </c>
      <c r="CK178" s="362">
        <v>193.14020895362989</v>
      </c>
      <c r="CL178" s="363">
        <v>191.87039681909576</v>
      </c>
      <c r="CM178" s="363">
        <v>190.60893314222221</v>
      </c>
      <c r="CN178" s="363">
        <v>190.00025712256354</v>
      </c>
      <c r="CO178" s="363">
        <v>189.3935248024514</v>
      </c>
      <c r="CP178" s="363">
        <v>188.78872997502393</v>
      </c>
      <c r="CQ178" s="363">
        <v>188.18586645323992</v>
      </c>
      <c r="CR178" s="363">
        <v>187.58492806981531</v>
      </c>
      <c r="CS178" s="363">
        <v>188.97248774841609</v>
      </c>
      <c r="CT178" s="363">
        <v>190.37031116132368</v>
      </c>
      <c r="CU178" s="363">
        <v>191.77847422905063</v>
      </c>
      <c r="CV178" s="363">
        <v>193.19705343369108</v>
      </c>
      <c r="CW178" s="363">
        <v>194.62612582307457</v>
      </c>
      <c r="CX178" s="435">
        <v>195.41062809744977</v>
      </c>
      <c r="CY178" s="435">
        <v>196.19513037182497</v>
      </c>
      <c r="CZ178" s="435">
        <v>196.9796326462002</v>
      </c>
      <c r="DA178" s="435">
        <v>197.7641349205754</v>
      </c>
      <c r="DB178" s="363">
        <v>198.5486371949506</v>
      </c>
      <c r="DC178" s="435">
        <v>199.19169718734486</v>
      </c>
      <c r="DD178" s="435">
        <v>199.83475717973911</v>
      </c>
      <c r="DE178" s="435">
        <v>200.47781717213337</v>
      </c>
      <c r="DF178" s="435">
        <v>201.12087716452763</v>
      </c>
      <c r="DG178" s="363">
        <v>201.76393715692188</v>
      </c>
      <c r="DH178" s="362">
        <v>2.0325829908142987</v>
      </c>
      <c r="DI178" s="362">
        <v>2.0656968072737998</v>
      </c>
      <c r="DJ178" s="362">
        <v>2.099350097322064</v>
      </c>
      <c r="DK178" s="363">
        <v>2.0855477915119103</v>
      </c>
      <c r="DL178" s="363">
        <v>2.0718362298067632</v>
      </c>
      <c r="DM178" s="363">
        <v>2.0652201861148209</v>
      </c>
      <c r="DN178" s="363">
        <v>2.0586252695918628</v>
      </c>
      <c r="DO178" s="363">
        <v>2.0520514127719993</v>
      </c>
      <c r="DP178" s="363">
        <v>2.0454985484047818</v>
      </c>
      <c r="DQ178" s="363">
        <v>2.0389666094545142</v>
      </c>
      <c r="DR178" s="363">
        <v>2.0540487798740878</v>
      </c>
      <c r="DS178" s="363">
        <v>2.0692425126230836</v>
      </c>
      <c r="DT178" s="363">
        <v>2.0845486329244634</v>
      </c>
      <c r="DU178" s="363">
        <v>2.0999679721053379</v>
      </c>
      <c r="DV178" s="363">
        <v>2.1155013676421146</v>
      </c>
      <c r="DW178" s="435">
        <v>2.1240285662766278</v>
      </c>
      <c r="DX178" s="435">
        <v>2.1325557649111411</v>
      </c>
      <c r="DY178" s="435">
        <v>2.1410829635456539</v>
      </c>
      <c r="DZ178" s="435">
        <v>2.1496101621801671</v>
      </c>
      <c r="EA178" s="363">
        <v>2.1581373608146803</v>
      </c>
      <c r="EB178" s="435">
        <v>2.1651271433407047</v>
      </c>
      <c r="EC178" s="435">
        <v>2.1721169258667294</v>
      </c>
      <c r="ED178" s="435">
        <v>2.1791067083927538</v>
      </c>
      <c r="EE178" s="435">
        <v>2.1860964909187786</v>
      </c>
      <c r="EF178" s="363">
        <v>2.1930862734448029</v>
      </c>
      <c r="EG178" s="364">
        <v>0</v>
      </c>
      <c r="EH178" s="364">
        <v>0</v>
      </c>
      <c r="EI178" s="364">
        <v>0</v>
      </c>
      <c r="EJ178" s="365">
        <v>0</v>
      </c>
      <c r="EK178" s="365">
        <v>0</v>
      </c>
      <c r="EL178" s="365">
        <v>0</v>
      </c>
      <c r="EM178" s="365">
        <v>0</v>
      </c>
      <c r="EN178" s="365">
        <v>0</v>
      </c>
      <c r="EO178" s="365">
        <v>0</v>
      </c>
      <c r="EP178" s="365">
        <v>0</v>
      </c>
      <c r="EQ178" s="365">
        <v>0</v>
      </c>
      <c r="ER178" s="365">
        <v>0</v>
      </c>
      <c r="ES178" s="365">
        <v>0</v>
      </c>
      <c r="ET178" s="365">
        <v>0</v>
      </c>
      <c r="EU178" s="365">
        <v>0</v>
      </c>
      <c r="EV178" s="436">
        <v>0</v>
      </c>
      <c r="EW178" s="436">
        <v>0</v>
      </c>
      <c r="EX178" s="436">
        <v>0</v>
      </c>
      <c r="EY178" s="436">
        <v>0</v>
      </c>
      <c r="EZ178" s="365">
        <v>0</v>
      </c>
      <c r="FA178" s="436">
        <v>0</v>
      </c>
      <c r="FB178" s="436">
        <v>0</v>
      </c>
      <c r="FC178" s="436">
        <v>0</v>
      </c>
      <c r="FD178" s="436">
        <v>0</v>
      </c>
      <c r="FE178" s="365">
        <v>0</v>
      </c>
      <c r="FF178" s="364">
        <v>0</v>
      </c>
      <c r="FG178" s="364">
        <v>0</v>
      </c>
      <c r="FH178" s="364">
        <v>0</v>
      </c>
      <c r="FI178" s="365">
        <v>0</v>
      </c>
      <c r="FJ178" s="365">
        <v>0</v>
      </c>
      <c r="FK178" s="365">
        <v>0</v>
      </c>
      <c r="FL178" s="365">
        <v>0</v>
      </c>
      <c r="FM178" s="365">
        <v>0</v>
      </c>
      <c r="FN178" s="365">
        <v>0</v>
      </c>
      <c r="FO178" s="365">
        <v>0</v>
      </c>
      <c r="FP178" s="365">
        <v>0</v>
      </c>
      <c r="FQ178" s="365">
        <v>0</v>
      </c>
      <c r="FR178" s="365">
        <v>0</v>
      </c>
      <c r="FS178" s="365">
        <v>0</v>
      </c>
      <c r="FT178" s="365">
        <v>0</v>
      </c>
      <c r="FU178" s="436">
        <v>0</v>
      </c>
      <c r="FV178" s="436">
        <v>0</v>
      </c>
      <c r="FW178" s="436">
        <v>0</v>
      </c>
      <c r="FX178" s="436">
        <v>0</v>
      </c>
      <c r="FY178" s="365">
        <v>0</v>
      </c>
      <c r="FZ178" s="436">
        <v>0</v>
      </c>
      <c r="GA178" s="436">
        <v>0</v>
      </c>
      <c r="GB178" s="436">
        <v>0</v>
      </c>
      <c r="GC178" s="436">
        <v>0</v>
      </c>
      <c r="GD178" s="365">
        <v>0</v>
      </c>
    </row>
    <row r="179" spans="1:186" ht="15" x14ac:dyDescent="0.25">
      <c r="A179" s="357">
        <v>122</v>
      </c>
      <c r="B179" s="357">
        <v>92</v>
      </c>
      <c r="C179" s="357" t="s">
        <v>1089</v>
      </c>
      <c r="D179" s="2">
        <v>99705</v>
      </c>
      <c r="E179" s="268" t="s">
        <v>19</v>
      </c>
      <c r="F179" s="358" t="s">
        <v>915</v>
      </c>
      <c r="G179" s="49">
        <v>2</v>
      </c>
      <c r="H179" s="49">
        <v>1</v>
      </c>
      <c r="I179" s="49">
        <v>1</v>
      </c>
      <c r="J179" s="49">
        <v>0</v>
      </c>
      <c r="K179" s="49">
        <v>0</v>
      </c>
      <c r="L179" s="49">
        <v>0</v>
      </c>
      <c r="M179" s="49">
        <v>0</v>
      </c>
      <c r="N179" s="49">
        <v>0</v>
      </c>
      <c r="O179" s="49">
        <v>0</v>
      </c>
      <c r="P179" s="49">
        <v>0</v>
      </c>
      <c r="Q179" s="49">
        <v>0</v>
      </c>
      <c r="R179" s="49">
        <v>0</v>
      </c>
      <c r="S179" s="49">
        <v>834.49503068156923</v>
      </c>
      <c r="T179" s="49">
        <v>834.49503068156923</v>
      </c>
      <c r="U179" s="49">
        <v>1408.3846153846155</v>
      </c>
      <c r="V179" s="49">
        <v>0</v>
      </c>
      <c r="W179" s="49">
        <v>0</v>
      </c>
      <c r="X179" s="49">
        <v>1365.173957061457</v>
      </c>
      <c r="Y179" s="434">
        <v>0</v>
      </c>
      <c r="Z179" s="434">
        <v>0</v>
      </c>
      <c r="AA179" s="49">
        <v>2.2912335412335411E-2</v>
      </c>
      <c r="AB179" s="49">
        <v>0.97578828828828834</v>
      </c>
      <c r="AC179" s="49">
        <v>1.2993762993762994E-3</v>
      </c>
      <c r="AD179" s="285">
        <v>0</v>
      </c>
      <c r="AE179" s="285">
        <v>0</v>
      </c>
      <c r="AF179" s="359">
        <v>1</v>
      </c>
      <c r="AG179" s="360">
        <v>2.2912335412335411E-2</v>
      </c>
      <c r="AH179" s="360">
        <v>0.97578828828828834</v>
      </c>
      <c r="AI179" s="361">
        <v>0.99870062370062374</v>
      </c>
      <c r="AJ179" s="360">
        <v>1.2993762993762994E-3</v>
      </c>
      <c r="AK179" s="360">
        <v>2.1266123068989742E-2</v>
      </c>
      <c r="AL179" s="360">
        <v>0.90567955883037798</v>
      </c>
      <c r="AM179" s="360">
        <v>0.92694568189936777</v>
      </c>
      <c r="AN179" s="360">
        <v>1.2060183214928021E-3</v>
      </c>
      <c r="AO179" s="360">
        <v>2.1375199128497804E-2</v>
      </c>
      <c r="AP179" s="360">
        <v>0.91032487933067496</v>
      </c>
      <c r="AQ179" s="360">
        <v>0.9317000784591728</v>
      </c>
      <c r="AR179" s="360">
        <v>1.2122041093666051E-3</v>
      </c>
      <c r="AS179" s="360">
        <v>0</v>
      </c>
      <c r="AT179" s="360">
        <v>0</v>
      </c>
      <c r="AU179" s="360">
        <v>0.86034621066728312</v>
      </c>
      <c r="AV179" s="360">
        <v>0.89302531034485355</v>
      </c>
      <c r="AW179" s="360">
        <v>0.92694568189936777</v>
      </c>
      <c r="AX179" s="360">
        <v>0.96215447338226234</v>
      </c>
      <c r="AY179" s="360">
        <v>0.99870062370062374</v>
      </c>
      <c r="AZ179" s="360">
        <v>0.86919444686463387</v>
      </c>
      <c r="BA179" s="360">
        <v>0.8999047362582645</v>
      </c>
      <c r="BB179" s="360">
        <v>0.93170007845917269</v>
      </c>
      <c r="BC179" s="360">
        <v>0.96461881044228859</v>
      </c>
      <c r="BD179" s="360">
        <v>0.99870062370062374</v>
      </c>
      <c r="BE179" s="360">
        <v>0</v>
      </c>
      <c r="BF179" s="360">
        <v>0</v>
      </c>
      <c r="BG179" s="360">
        <v>0</v>
      </c>
      <c r="BH179" s="360">
        <v>0</v>
      </c>
      <c r="BI179" s="360">
        <v>0</v>
      </c>
      <c r="BJ179" s="362">
        <v>1.0149709503247597</v>
      </c>
      <c r="BK179" s="362">
        <v>1.0315063449003654</v>
      </c>
      <c r="BL179" s="362">
        <v>1.0483111257807551</v>
      </c>
      <c r="BM179" s="363">
        <v>1.0414189400702014</v>
      </c>
      <c r="BN179" s="363">
        <v>1.0345720674567813</v>
      </c>
      <c r="BO179" s="363">
        <v>1.0312683439759949</v>
      </c>
      <c r="BP179" s="363">
        <v>1.0279751703536291</v>
      </c>
      <c r="BQ179" s="363">
        <v>1.0246925129005708</v>
      </c>
      <c r="BR179" s="363">
        <v>1.021420338035288</v>
      </c>
      <c r="BS179" s="363">
        <v>1.0181586122834847</v>
      </c>
      <c r="BT179" s="363">
        <v>1.0256898987858782</v>
      </c>
      <c r="BU179" s="363">
        <v>1.0332768939722594</v>
      </c>
      <c r="BV179" s="363">
        <v>1.0409200099179721</v>
      </c>
      <c r="BW179" s="363">
        <v>1.0486196617464674</v>
      </c>
      <c r="BX179" s="363">
        <v>1.0563762676518511</v>
      </c>
      <c r="BY179" s="435">
        <v>1.0606343269492049</v>
      </c>
      <c r="BZ179" s="435">
        <v>1.0648923862465585</v>
      </c>
      <c r="CA179" s="435">
        <v>1.0691504455439123</v>
      </c>
      <c r="CB179" s="435">
        <v>1.0734085048412658</v>
      </c>
      <c r="CC179" s="363">
        <v>1.0776665641386196</v>
      </c>
      <c r="CD179" s="435">
        <v>1.0811569142227557</v>
      </c>
      <c r="CE179" s="435">
        <v>1.0846472643068921</v>
      </c>
      <c r="CF179" s="435">
        <v>1.0881376143910282</v>
      </c>
      <c r="CG179" s="435">
        <v>1.0916279644751645</v>
      </c>
      <c r="CH179" s="363">
        <v>1.0951183145593006</v>
      </c>
      <c r="CI179" s="362">
        <v>1.0149709503247597</v>
      </c>
      <c r="CJ179" s="362">
        <v>1.0315063449003654</v>
      </c>
      <c r="CK179" s="362">
        <v>1.0483111257807551</v>
      </c>
      <c r="CL179" s="363">
        <v>1.0414189400702014</v>
      </c>
      <c r="CM179" s="363">
        <v>1.0345720674567813</v>
      </c>
      <c r="CN179" s="363">
        <v>1.0312683439759949</v>
      </c>
      <c r="CO179" s="363">
        <v>1.0279751703536291</v>
      </c>
      <c r="CP179" s="363">
        <v>1.0246925129005708</v>
      </c>
      <c r="CQ179" s="363">
        <v>1.021420338035288</v>
      </c>
      <c r="CR179" s="363">
        <v>1.0181586122834847</v>
      </c>
      <c r="CS179" s="363">
        <v>1.0256898987858782</v>
      </c>
      <c r="CT179" s="363">
        <v>1.0332768939722594</v>
      </c>
      <c r="CU179" s="363">
        <v>1.0409200099179721</v>
      </c>
      <c r="CV179" s="363">
        <v>1.0486196617464674</v>
      </c>
      <c r="CW179" s="363">
        <v>1.0563762676518511</v>
      </c>
      <c r="CX179" s="435">
        <v>1.0606343269492049</v>
      </c>
      <c r="CY179" s="435">
        <v>1.0648923862465585</v>
      </c>
      <c r="CZ179" s="435">
        <v>1.0691504455439123</v>
      </c>
      <c r="DA179" s="435">
        <v>1.0734085048412658</v>
      </c>
      <c r="DB179" s="363">
        <v>1.0776665641386196</v>
      </c>
      <c r="DC179" s="435">
        <v>1.0811569142227557</v>
      </c>
      <c r="DD179" s="435">
        <v>1.0846472643068921</v>
      </c>
      <c r="DE179" s="435">
        <v>1.0881376143910282</v>
      </c>
      <c r="DF179" s="435">
        <v>1.0916279644751645</v>
      </c>
      <c r="DG179" s="363">
        <v>1.0951183145593006</v>
      </c>
      <c r="DH179" s="362">
        <v>0</v>
      </c>
      <c r="DI179" s="362">
        <v>0</v>
      </c>
      <c r="DJ179" s="362">
        <v>0</v>
      </c>
      <c r="DK179" s="363">
        <v>0</v>
      </c>
      <c r="DL179" s="363">
        <v>0</v>
      </c>
      <c r="DM179" s="363">
        <v>0</v>
      </c>
      <c r="DN179" s="363">
        <v>0</v>
      </c>
      <c r="DO179" s="363">
        <v>0</v>
      </c>
      <c r="DP179" s="363">
        <v>0</v>
      </c>
      <c r="DQ179" s="363">
        <v>0</v>
      </c>
      <c r="DR179" s="363">
        <v>0</v>
      </c>
      <c r="DS179" s="363">
        <v>0</v>
      </c>
      <c r="DT179" s="363">
        <v>0</v>
      </c>
      <c r="DU179" s="363">
        <v>0</v>
      </c>
      <c r="DV179" s="363">
        <v>0</v>
      </c>
      <c r="DW179" s="435">
        <v>0</v>
      </c>
      <c r="DX179" s="435">
        <v>0</v>
      </c>
      <c r="DY179" s="435">
        <v>0</v>
      </c>
      <c r="DZ179" s="435">
        <v>0</v>
      </c>
      <c r="EA179" s="363">
        <v>0</v>
      </c>
      <c r="EB179" s="435">
        <v>0</v>
      </c>
      <c r="EC179" s="435">
        <v>0</v>
      </c>
      <c r="ED179" s="435">
        <v>0</v>
      </c>
      <c r="EE179" s="435">
        <v>0</v>
      </c>
      <c r="EF179" s="363">
        <v>0</v>
      </c>
      <c r="EG179" s="364">
        <v>1.3205450823897472E-3</v>
      </c>
      <c r="EH179" s="364">
        <v>1.3420587365344334E-3</v>
      </c>
      <c r="EI179" s="364">
        <v>1.3639228802768087E-3</v>
      </c>
      <c r="EJ179" s="365">
        <v>1.3549556857535799E-3</v>
      </c>
      <c r="EK179" s="365">
        <v>1.346047446600028E-3</v>
      </c>
      <c r="EL179" s="365">
        <v>1.3417490814155541E-3</v>
      </c>
      <c r="EM179" s="365">
        <v>1.3374644423024057E-3</v>
      </c>
      <c r="EN179" s="365">
        <v>1.3331934854287936E-3</v>
      </c>
      <c r="EO179" s="365">
        <v>1.3289361671028988E-3</v>
      </c>
      <c r="EP179" s="365">
        <v>1.3246924437724235E-3</v>
      </c>
      <c r="EQ179" s="365">
        <v>1.3344911511655976E-3</v>
      </c>
      <c r="ER179" s="365">
        <v>1.3443623392821488E-3</v>
      </c>
      <c r="ES179" s="365">
        <v>1.3543065442596567E-3</v>
      </c>
      <c r="ET179" s="365">
        <v>1.3643243062014929E-3</v>
      </c>
      <c r="EU179" s="365">
        <v>1.3744161692061556E-3</v>
      </c>
      <c r="EV179" s="436">
        <v>1.3799561891090358E-3</v>
      </c>
      <c r="EW179" s="436">
        <v>1.385496209011916E-3</v>
      </c>
      <c r="EX179" s="436">
        <v>1.391036228914796E-3</v>
      </c>
      <c r="EY179" s="436">
        <v>1.3965762488176762E-3</v>
      </c>
      <c r="EZ179" s="365">
        <v>1.4021162687205563E-3</v>
      </c>
      <c r="FA179" s="436">
        <v>1.4066574475966119E-3</v>
      </c>
      <c r="FB179" s="436">
        <v>1.4111986264726672E-3</v>
      </c>
      <c r="FC179" s="436">
        <v>1.4157398053487227E-3</v>
      </c>
      <c r="FD179" s="436">
        <v>1.420280984224778E-3</v>
      </c>
      <c r="FE179" s="365">
        <v>1.4248221631008335E-3</v>
      </c>
      <c r="FF179" s="364">
        <v>0</v>
      </c>
      <c r="FG179" s="364">
        <v>0</v>
      </c>
      <c r="FH179" s="364">
        <v>0</v>
      </c>
      <c r="FI179" s="365">
        <v>0</v>
      </c>
      <c r="FJ179" s="365">
        <v>0</v>
      </c>
      <c r="FK179" s="365">
        <v>0</v>
      </c>
      <c r="FL179" s="365">
        <v>0</v>
      </c>
      <c r="FM179" s="365">
        <v>0</v>
      </c>
      <c r="FN179" s="365">
        <v>0</v>
      </c>
      <c r="FO179" s="365">
        <v>0</v>
      </c>
      <c r="FP179" s="365">
        <v>0</v>
      </c>
      <c r="FQ179" s="365">
        <v>0</v>
      </c>
      <c r="FR179" s="365">
        <v>0</v>
      </c>
      <c r="FS179" s="365">
        <v>0</v>
      </c>
      <c r="FT179" s="365">
        <v>0</v>
      </c>
      <c r="FU179" s="436">
        <v>0</v>
      </c>
      <c r="FV179" s="436">
        <v>0</v>
      </c>
      <c r="FW179" s="436">
        <v>0</v>
      </c>
      <c r="FX179" s="436">
        <v>0</v>
      </c>
      <c r="FY179" s="365">
        <v>0</v>
      </c>
      <c r="FZ179" s="436">
        <v>0</v>
      </c>
      <c r="GA179" s="436">
        <v>0</v>
      </c>
      <c r="GB179" s="436">
        <v>0</v>
      </c>
      <c r="GC179" s="436">
        <v>0</v>
      </c>
      <c r="GD179" s="365">
        <v>0</v>
      </c>
    </row>
    <row r="180" spans="1:186" ht="15" x14ac:dyDescent="0.25">
      <c r="A180" s="357">
        <v>124</v>
      </c>
      <c r="B180" s="357">
        <v>92</v>
      </c>
      <c r="C180" s="357" t="s">
        <v>1090</v>
      </c>
      <c r="D180" s="2">
        <v>99705</v>
      </c>
      <c r="E180" s="268" t="s">
        <v>19</v>
      </c>
      <c r="F180" s="358" t="s">
        <v>915</v>
      </c>
      <c r="G180" s="49">
        <v>143</v>
      </c>
      <c r="H180" s="49">
        <v>62</v>
      </c>
      <c r="I180" s="49">
        <v>51</v>
      </c>
      <c r="J180" s="49">
        <v>11</v>
      </c>
      <c r="K180" s="49">
        <v>0</v>
      </c>
      <c r="L180" s="49">
        <v>0</v>
      </c>
      <c r="M180" s="49">
        <v>0</v>
      </c>
      <c r="N180" s="49">
        <v>0</v>
      </c>
      <c r="O180" s="49">
        <v>0</v>
      </c>
      <c r="P180" s="49">
        <v>0</v>
      </c>
      <c r="Q180" s="49">
        <v>0</v>
      </c>
      <c r="R180" s="49">
        <v>0</v>
      </c>
      <c r="S180" s="49">
        <v>834.49503068156923</v>
      </c>
      <c r="T180" s="49">
        <v>834.49503068156923</v>
      </c>
      <c r="U180" s="49">
        <v>1408.3846153846155</v>
      </c>
      <c r="V180" s="49">
        <v>0</v>
      </c>
      <c r="W180" s="49">
        <v>0</v>
      </c>
      <c r="X180" s="49">
        <v>1365.173957061457</v>
      </c>
      <c r="Y180" s="434">
        <v>0</v>
      </c>
      <c r="Z180" s="434">
        <v>0</v>
      </c>
      <c r="AA180" s="49">
        <v>1.4205647955647955</v>
      </c>
      <c r="AB180" s="49">
        <v>60.498873873873876</v>
      </c>
      <c r="AC180" s="49">
        <v>8.0561330561330566E-2</v>
      </c>
      <c r="AD180" s="285">
        <v>0</v>
      </c>
      <c r="AE180" s="285">
        <v>0</v>
      </c>
      <c r="AF180" s="359">
        <v>62</v>
      </c>
      <c r="AG180" s="360">
        <v>1.1685291060291059</v>
      </c>
      <c r="AH180" s="360">
        <v>49.765202702702702</v>
      </c>
      <c r="AI180" s="361">
        <v>50.933731808731807</v>
      </c>
      <c r="AJ180" s="360">
        <v>6.6268191268191265E-2</v>
      </c>
      <c r="AK180" s="360">
        <v>1.3184996302773642</v>
      </c>
      <c r="AL180" s="360">
        <v>56.152132647483434</v>
      </c>
      <c r="AM180" s="360">
        <v>57.470632277760799</v>
      </c>
      <c r="AN180" s="360">
        <v>7.4773135932553733E-2</v>
      </c>
      <c r="AO180" s="360">
        <v>1.0901351555533878</v>
      </c>
      <c r="AP180" s="360">
        <v>46.426568845864416</v>
      </c>
      <c r="AQ180" s="360">
        <v>47.516704001417807</v>
      </c>
      <c r="AR180" s="360">
        <v>6.1822409577696857E-2</v>
      </c>
      <c r="AS180" s="360">
        <v>0</v>
      </c>
      <c r="AT180" s="360">
        <v>0</v>
      </c>
      <c r="AU180" s="360">
        <v>53.341465061371551</v>
      </c>
      <c r="AV180" s="360">
        <v>55.367569241380913</v>
      </c>
      <c r="AW180" s="360">
        <v>57.470632277760799</v>
      </c>
      <c r="AX180" s="360">
        <v>59.653577349700264</v>
      </c>
      <c r="AY180" s="360">
        <v>61.919438669438669</v>
      </c>
      <c r="AZ180" s="360">
        <v>44.328916790096329</v>
      </c>
      <c r="BA180" s="360">
        <v>45.895141549171484</v>
      </c>
      <c r="BB180" s="360">
        <v>47.516704001417807</v>
      </c>
      <c r="BC180" s="360">
        <v>49.195559332556712</v>
      </c>
      <c r="BD180" s="360">
        <v>50.933731808731807</v>
      </c>
      <c r="BE180" s="360">
        <v>0</v>
      </c>
      <c r="BF180" s="360">
        <v>0</v>
      </c>
      <c r="BG180" s="360">
        <v>0</v>
      </c>
      <c r="BH180" s="360">
        <v>0</v>
      </c>
      <c r="BI180" s="360">
        <v>0</v>
      </c>
      <c r="BJ180" s="362">
        <v>62.928198920135095</v>
      </c>
      <c r="BK180" s="362">
        <v>63.953393383822657</v>
      </c>
      <c r="BL180" s="362">
        <v>64.995289798406816</v>
      </c>
      <c r="BM180" s="363">
        <v>64.567974284352488</v>
      </c>
      <c r="BN180" s="363">
        <v>64.143468182320447</v>
      </c>
      <c r="BO180" s="363">
        <v>63.938637326511682</v>
      </c>
      <c r="BP180" s="363">
        <v>63.73446056192499</v>
      </c>
      <c r="BQ180" s="363">
        <v>63.530935799835383</v>
      </c>
      <c r="BR180" s="363">
        <v>63.328060958187848</v>
      </c>
      <c r="BS180" s="363">
        <v>63.125833961576049</v>
      </c>
      <c r="BT180" s="363">
        <v>63.592773724724445</v>
      </c>
      <c r="BU180" s="363">
        <v>64.063167426280089</v>
      </c>
      <c r="BV180" s="363">
        <v>64.537040614914261</v>
      </c>
      <c r="BW180" s="363">
        <v>65.014419028280983</v>
      </c>
      <c r="BX180" s="363">
        <v>65.495328594414772</v>
      </c>
      <c r="BY180" s="435">
        <v>65.759328270850702</v>
      </c>
      <c r="BZ180" s="435">
        <v>66.023327947286631</v>
      </c>
      <c r="CA180" s="435">
        <v>66.287327623722547</v>
      </c>
      <c r="CB180" s="435">
        <v>66.551327300158476</v>
      </c>
      <c r="CC180" s="363">
        <v>66.815326976594406</v>
      </c>
      <c r="CD180" s="435">
        <v>67.031728681810847</v>
      </c>
      <c r="CE180" s="435">
        <v>67.248130387027302</v>
      </c>
      <c r="CF180" s="435">
        <v>67.464532092243743</v>
      </c>
      <c r="CG180" s="435">
        <v>67.680933797460199</v>
      </c>
      <c r="CH180" s="363">
        <v>67.89733550267664</v>
      </c>
      <c r="CI180" s="362">
        <v>51.763518466562736</v>
      </c>
      <c r="CJ180" s="362">
        <v>52.606823589918633</v>
      </c>
      <c r="CK180" s="362">
        <v>53.463867414818516</v>
      </c>
      <c r="CL180" s="363">
        <v>53.112365943580279</v>
      </c>
      <c r="CM180" s="363">
        <v>52.763175440295853</v>
      </c>
      <c r="CN180" s="363">
        <v>52.594685542775743</v>
      </c>
      <c r="CO180" s="363">
        <v>52.426733688035078</v>
      </c>
      <c r="CP180" s="363">
        <v>52.259318157929116</v>
      </c>
      <c r="CQ180" s="363">
        <v>52.092437239799686</v>
      </c>
      <c r="CR180" s="363">
        <v>51.926089226457719</v>
      </c>
      <c r="CS180" s="363">
        <v>52.310184838079792</v>
      </c>
      <c r="CT180" s="363">
        <v>52.697121592585241</v>
      </c>
      <c r="CU180" s="363">
        <v>53.086920505816579</v>
      </c>
      <c r="CV180" s="363">
        <v>53.479602749069841</v>
      </c>
      <c r="CW180" s="363">
        <v>53.875189650244415</v>
      </c>
      <c r="CX180" s="435">
        <v>54.092350674409452</v>
      </c>
      <c r="CY180" s="435">
        <v>54.309511698574489</v>
      </c>
      <c r="CZ180" s="435">
        <v>54.526672722739526</v>
      </c>
      <c r="DA180" s="435">
        <v>54.743833746904563</v>
      </c>
      <c r="DB180" s="363">
        <v>54.960994771069601</v>
      </c>
      <c r="DC180" s="435">
        <v>55.139002625360547</v>
      </c>
      <c r="DD180" s="435">
        <v>55.317010479651493</v>
      </c>
      <c r="DE180" s="435">
        <v>55.49501833394244</v>
      </c>
      <c r="DF180" s="435">
        <v>55.673026188233386</v>
      </c>
      <c r="DG180" s="363">
        <v>55.851034042524333</v>
      </c>
      <c r="DH180" s="362">
        <v>0</v>
      </c>
      <c r="DI180" s="362">
        <v>0</v>
      </c>
      <c r="DJ180" s="362">
        <v>0</v>
      </c>
      <c r="DK180" s="363">
        <v>0</v>
      </c>
      <c r="DL180" s="363">
        <v>0</v>
      </c>
      <c r="DM180" s="363">
        <v>0</v>
      </c>
      <c r="DN180" s="363">
        <v>0</v>
      </c>
      <c r="DO180" s="363">
        <v>0</v>
      </c>
      <c r="DP180" s="363">
        <v>0</v>
      </c>
      <c r="DQ180" s="363">
        <v>0</v>
      </c>
      <c r="DR180" s="363">
        <v>0</v>
      </c>
      <c r="DS180" s="363">
        <v>0</v>
      </c>
      <c r="DT180" s="363">
        <v>0</v>
      </c>
      <c r="DU180" s="363">
        <v>0</v>
      </c>
      <c r="DV180" s="363">
        <v>0</v>
      </c>
      <c r="DW180" s="435">
        <v>0</v>
      </c>
      <c r="DX180" s="435">
        <v>0</v>
      </c>
      <c r="DY180" s="435">
        <v>0</v>
      </c>
      <c r="DZ180" s="435">
        <v>0</v>
      </c>
      <c r="EA180" s="363">
        <v>0</v>
      </c>
      <c r="EB180" s="435">
        <v>0</v>
      </c>
      <c r="EC180" s="435">
        <v>0</v>
      </c>
      <c r="ED180" s="435">
        <v>0</v>
      </c>
      <c r="EE180" s="435">
        <v>0</v>
      </c>
      <c r="EF180" s="363">
        <v>0</v>
      </c>
      <c r="EG180" s="364">
        <v>8.1873795108164324E-2</v>
      </c>
      <c r="EH180" s="364">
        <v>8.3207641665134877E-2</v>
      </c>
      <c r="EI180" s="364">
        <v>8.4563218577162147E-2</v>
      </c>
      <c r="EJ180" s="365">
        <v>8.4007252516721961E-2</v>
      </c>
      <c r="EK180" s="365">
        <v>8.3454941689201742E-2</v>
      </c>
      <c r="EL180" s="365">
        <v>8.3188443047764363E-2</v>
      </c>
      <c r="EM180" s="365">
        <v>8.2922795422749163E-2</v>
      </c>
      <c r="EN180" s="365">
        <v>8.265799609658521E-2</v>
      </c>
      <c r="EO180" s="365">
        <v>8.2394042360379727E-2</v>
      </c>
      <c r="EP180" s="365">
        <v>8.2130931513890268E-2</v>
      </c>
      <c r="EQ180" s="365">
        <v>8.2738451372267055E-2</v>
      </c>
      <c r="ER180" s="365">
        <v>8.3350465035493232E-2</v>
      </c>
      <c r="ES180" s="365">
        <v>8.3967005744098711E-2</v>
      </c>
      <c r="ET180" s="365">
        <v>8.4588106984492567E-2</v>
      </c>
      <c r="EU180" s="365">
        <v>8.5213802490781657E-2</v>
      </c>
      <c r="EV180" s="436">
        <v>8.5557283724760222E-2</v>
      </c>
      <c r="EW180" s="436">
        <v>8.5900764958738787E-2</v>
      </c>
      <c r="EX180" s="436">
        <v>8.6244246192717366E-2</v>
      </c>
      <c r="EY180" s="436">
        <v>8.6587727426695932E-2</v>
      </c>
      <c r="EZ180" s="365">
        <v>8.6931208660674497E-2</v>
      </c>
      <c r="FA180" s="436">
        <v>8.7212761750989937E-2</v>
      </c>
      <c r="FB180" s="436">
        <v>8.7494314841305376E-2</v>
      </c>
      <c r="FC180" s="436">
        <v>8.7775867931620802E-2</v>
      </c>
      <c r="FD180" s="436">
        <v>8.8057421021936241E-2</v>
      </c>
      <c r="FE180" s="365">
        <v>8.8338974112251681E-2</v>
      </c>
      <c r="FF180" s="364">
        <v>0</v>
      </c>
      <c r="FG180" s="364">
        <v>0</v>
      </c>
      <c r="FH180" s="364">
        <v>0</v>
      </c>
      <c r="FI180" s="365">
        <v>0</v>
      </c>
      <c r="FJ180" s="365">
        <v>0</v>
      </c>
      <c r="FK180" s="365">
        <v>0</v>
      </c>
      <c r="FL180" s="365">
        <v>0</v>
      </c>
      <c r="FM180" s="365">
        <v>0</v>
      </c>
      <c r="FN180" s="365">
        <v>0</v>
      </c>
      <c r="FO180" s="365">
        <v>0</v>
      </c>
      <c r="FP180" s="365">
        <v>0</v>
      </c>
      <c r="FQ180" s="365">
        <v>0</v>
      </c>
      <c r="FR180" s="365">
        <v>0</v>
      </c>
      <c r="FS180" s="365">
        <v>0</v>
      </c>
      <c r="FT180" s="365">
        <v>0</v>
      </c>
      <c r="FU180" s="436">
        <v>0</v>
      </c>
      <c r="FV180" s="436">
        <v>0</v>
      </c>
      <c r="FW180" s="436">
        <v>0</v>
      </c>
      <c r="FX180" s="436">
        <v>0</v>
      </c>
      <c r="FY180" s="365">
        <v>0</v>
      </c>
      <c r="FZ180" s="436">
        <v>0</v>
      </c>
      <c r="GA180" s="436">
        <v>0</v>
      </c>
      <c r="GB180" s="436">
        <v>0</v>
      </c>
      <c r="GC180" s="436">
        <v>0</v>
      </c>
      <c r="GD180" s="365">
        <v>0</v>
      </c>
    </row>
    <row r="181" spans="1:186" ht="15" x14ac:dyDescent="0.25">
      <c r="A181" s="357">
        <v>85</v>
      </c>
      <c r="B181" s="357">
        <v>93</v>
      </c>
      <c r="C181" s="357" t="s">
        <v>1091</v>
      </c>
      <c r="D181" s="2">
        <v>99709</v>
      </c>
      <c r="E181" s="268" t="s">
        <v>19</v>
      </c>
      <c r="F181" s="358" t="s">
        <v>915</v>
      </c>
      <c r="G181" s="49">
        <v>0</v>
      </c>
      <c r="H181" s="49">
        <v>1</v>
      </c>
      <c r="I181" s="49">
        <v>0</v>
      </c>
      <c r="J181" s="49">
        <v>1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834.49503068156923</v>
      </c>
      <c r="T181" s="49">
        <v>834.49503068156923</v>
      </c>
      <c r="U181" s="49">
        <v>1408.3846153846155</v>
      </c>
      <c r="V181" s="49">
        <v>0</v>
      </c>
      <c r="W181" s="49">
        <v>0</v>
      </c>
      <c r="X181" s="49">
        <v>1365.173957061457</v>
      </c>
      <c r="Y181" s="434">
        <v>0</v>
      </c>
      <c r="Z181" s="434">
        <v>0</v>
      </c>
      <c r="AA181" s="49">
        <v>2.2912335412335411E-2</v>
      </c>
      <c r="AB181" s="49">
        <v>0.97578828828828834</v>
      </c>
      <c r="AC181" s="49">
        <v>1.2993762993762994E-3</v>
      </c>
      <c r="AD181" s="285">
        <v>0</v>
      </c>
      <c r="AE181" s="285">
        <v>0</v>
      </c>
      <c r="AF181" s="359">
        <v>1</v>
      </c>
      <c r="AG181" s="360">
        <v>0</v>
      </c>
      <c r="AH181" s="360">
        <v>0</v>
      </c>
      <c r="AI181" s="361">
        <v>0</v>
      </c>
      <c r="AJ181" s="360">
        <v>0</v>
      </c>
      <c r="AK181" s="360">
        <v>2.1816172512088276E-2</v>
      </c>
      <c r="AL181" s="360">
        <v>0.9291050104439259</v>
      </c>
      <c r="AM181" s="360">
        <v>0.95092118295601413</v>
      </c>
      <c r="AN181" s="360">
        <v>1.2372120517252332E-3</v>
      </c>
      <c r="AO181" s="360">
        <v>0</v>
      </c>
      <c r="AP181" s="360">
        <v>0</v>
      </c>
      <c r="AQ181" s="360">
        <v>0</v>
      </c>
      <c r="AR181" s="360">
        <v>0</v>
      </c>
      <c r="AS181" s="360">
        <v>0</v>
      </c>
      <c r="AT181" s="360">
        <v>0</v>
      </c>
      <c r="AU181" s="360">
        <v>0.90542758734225925</v>
      </c>
      <c r="AV181" s="360">
        <v>0.92789561505403773</v>
      </c>
      <c r="AW181" s="360">
        <v>0.95092118295601413</v>
      </c>
      <c r="AX181" s="360">
        <v>0.97451812631079682</v>
      </c>
      <c r="AY181" s="360">
        <v>0.99870062370062374</v>
      </c>
      <c r="AZ181" s="360">
        <v>0</v>
      </c>
      <c r="BA181" s="360">
        <v>0</v>
      </c>
      <c r="BB181" s="360">
        <v>0</v>
      </c>
      <c r="BC181" s="360">
        <v>0</v>
      </c>
      <c r="BD181" s="360">
        <v>0</v>
      </c>
      <c r="BE181" s="360">
        <v>0</v>
      </c>
      <c r="BF181" s="360">
        <v>0</v>
      </c>
      <c r="BG181" s="360">
        <v>0</v>
      </c>
      <c r="BH181" s="360">
        <v>0</v>
      </c>
      <c r="BI181" s="360">
        <v>0</v>
      </c>
      <c r="BJ181" s="362">
        <v>1.0038165964890691</v>
      </c>
      <c r="BK181" s="362">
        <v>1.0089587765081409</v>
      </c>
      <c r="BL181" s="362">
        <v>1.0141272980077591</v>
      </c>
      <c r="BM181" s="363">
        <v>1.0074598559668233</v>
      </c>
      <c r="BN181" s="363">
        <v>1.0008362494319984</v>
      </c>
      <c r="BO181" s="363">
        <v>0.99764025533774547</v>
      </c>
      <c r="BP181" s="363">
        <v>0.99445446708711238</v>
      </c>
      <c r="BQ181" s="363">
        <v>0.99127885208953648</v>
      </c>
      <c r="BR181" s="363">
        <v>0.98811337785852826</v>
      </c>
      <c r="BS181" s="363">
        <v>0.9849580120113377</v>
      </c>
      <c r="BT181" s="363">
        <v>0.99224371474153272</v>
      </c>
      <c r="BU181" s="363">
        <v>0.99958330958045261</v>
      </c>
      <c r="BV181" s="363">
        <v>1.006977195166292</v>
      </c>
      <c r="BW181" s="363">
        <v>1.0144257730859598</v>
      </c>
      <c r="BX181" s="363">
        <v>1.021929447896889</v>
      </c>
      <c r="BY181" s="435">
        <v>1.026048658371514</v>
      </c>
      <c r="BZ181" s="435">
        <v>1.0301678688461391</v>
      </c>
      <c r="CA181" s="435">
        <v>1.0342870793207644</v>
      </c>
      <c r="CB181" s="435">
        <v>1.0384062897953894</v>
      </c>
      <c r="CC181" s="363">
        <v>1.0425255002700144</v>
      </c>
      <c r="CD181" s="435">
        <v>1.0459020353585742</v>
      </c>
      <c r="CE181" s="435">
        <v>1.0492785704471337</v>
      </c>
      <c r="CF181" s="435">
        <v>1.0526551055356934</v>
      </c>
      <c r="CG181" s="435">
        <v>1.0560316406242529</v>
      </c>
      <c r="CH181" s="363">
        <v>1.0594081757128126</v>
      </c>
      <c r="CI181" s="362">
        <v>0</v>
      </c>
      <c r="CJ181" s="362">
        <v>0</v>
      </c>
      <c r="CK181" s="362">
        <v>0</v>
      </c>
      <c r="CL181" s="363">
        <v>0</v>
      </c>
      <c r="CM181" s="363">
        <v>0</v>
      </c>
      <c r="CN181" s="363">
        <v>0</v>
      </c>
      <c r="CO181" s="363">
        <v>0</v>
      </c>
      <c r="CP181" s="363">
        <v>0</v>
      </c>
      <c r="CQ181" s="363">
        <v>0</v>
      </c>
      <c r="CR181" s="363">
        <v>0</v>
      </c>
      <c r="CS181" s="363">
        <v>0</v>
      </c>
      <c r="CT181" s="363">
        <v>0</v>
      </c>
      <c r="CU181" s="363">
        <v>0</v>
      </c>
      <c r="CV181" s="363">
        <v>0</v>
      </c>
      <c r="CW181" s="363">
        <v>0</v>
      </c>
      <c r="CX181" s="435">
        <v>0</v>
      </c>
      <c r="CY181" s="435">
        <v>0</v>
      </c>
      <c r="CZ181" s="435">
        <v>0</v>
      </c>
      <c r="DA181" s="435">
        <v>0</v>
      </c>
      <c r="DB181" s="363">
        <v>0</v>
      </c>
      <c r="DC181" s="435">
        <v>0</v>
      </c>
      <c r="DD181" s="435">
        <v>0</v>
      </c>
      <c r="DE181" s="435">
        <v>0</v>
      </c>
      <c r="DF181" s="435">
        <v>0</v>
      </c>
      <c r="DG181" s="363">
        <v>0</v>
      </c>
      <c r="DH181" s="362">
        <v>0</v>
      </c>
      <c r="DI181" s="362">
        <v>0</v>
      </c>
      <c r="DJ181" s="362">
        <v>0</v>
      </c>
      <c r="DK181" s="363">
        <v>0</v>
      </c>
      <c r="DL181" s="363">
        <v>0</v>
      </c>
      <c r="DM181" s="363">
        <v>0</v>
      </c>
      <c r="DN181" s="363">
        <v>0</v>
      </c>
      <c r="DO181" s="363">
        <v>0</v>
      </c>
      <c r="DP181" s="363">
        <v>0</v>
      </c>
      <c r="DQ181" s="363">
        <v>0</v>
      </c>
      <c r="DR181" s="363">
        <v>0</v>
      </c>
      <c r="DS181" s="363">
        <v>0</v>
      </c>
      <c r="DT181" s="363">
        <v>0</v>
      </c>
      <c r="DU181" s="363">
        <v>0</v>
      </c>
      <c r="DV181" s="363">
        <v>0</v>
      </c>
      <c r="DW181" s="435">
        <v>0</v>
      </c>
      <c r="DX181" s="435">
        <v>0</v>
      </c>
      <c r="DY181" s="435">
        <v>0</v>
      </c>
      <c r="DZ181" s="435">
        <v>0</v>
      </c>
      <c r="EA181" s="363">
        <v>0</v>
      </c>
      <c r="EB181" s="435">
        <v>0</v>
      </c>
      <c r="EC181" s="435">
        <v>0</v>
      </c>
      <c r="ED181" s="435">
        <v>0</v>
      </c>
      <c r="EE181" s="435">
        <v>0</v>
      </c>
      <c r="EF181" s="363">
        <v>0</v>
      </c>
      <c r="EG181" s="364">
        <v>1.3060325221039152E-3</v>
      </c>
      <c r="EH181" s="364">
        <v>1.31272284219118E-3</v>
      </c>
      <c r="EI181" s="364">
        <v>1.319447434306218E-3</v>
      </c>
      <c r="EJ181" s="365">
        <v>1.3107726463268583E-3</v>
      </c>
      <c r="EK181" s="365">
        <v>1.3021548912724413E-3</v>
      </c>
      <c r="EL181" s="365">
        <v>1.2979966892242331E-3</v>
      </c>
      <c r="EM181" s="365">
        <v>1.2938517656610881E-3</v>
      </c>
      <c r="EN181" s="365">
        <v>1.2897200781805055E-3</v>
      </c>
      <c r="EO181" s="365">
        <v>1.2856015845153894E-3</v>
      </c>
      <c r="EP181" s="365">
        <v>1.2814962425336165E-3</v>
      </c>
      <c r="EQ181" s="365">
        <v>1.2909754290157855E-3</v>
      </c>
      <c r="ER181" s="365">
        <v>1.3005247327354315E-3</v>
      </c>
      <c r="ES181" s="365">
        <v>1.3101446723475046E-3</v>
      </c>
      <c r="ET181" s="365">
        <v>1.3198357703434293E-3</v>
      </c>
      <c r="EU181" s="365">
        <v>1.3295985530794808E-3</v>
      </c>
      <c r="EV181" s="436">
        <v>1.3349579213784986E-3</v>
      </c>
      <c r="EW181" s="436">
        <v>1.3403172896775165E-3</v>
      </c>
      <c r="EX181" s="436">
        <v>1.3456766579765342E-3</v>
      </c>
      <c r="EY181" s="436">
        <v>1.3510360262755522E-3</v>
      </c>
      <c r="EZ181" s="365">
        <v>1.3563953945745699E-3</v>
      </c>
      <c r="FA181" s="436">
        <v>1.3607884925300208E-3</v>
      </c>
      <c r="FB181" s="436">
        <v>1.365181590485472E-3</v>
      </c>
      <c r="FC181" s="436">
        <v>1.3695746884409229E-3</v>
      </c>
      <c r="FD181" s="436">
        <v>1.373967786396374E-3</v>
      </c>
      <c r="FE181" s="365">
        <v>1.378360884351825E-3</v>
      </c>
      <c r="FF181" s="364">
        <v>0</v>
      </c>
      <c r="FG181" s="364">
        <v>0</v>
      </c>
      <c r="FH181" s="364">
        <v>0</v>
      </c>
      <c r="FI181" s="365">
        <v>0</v>
      </c>
      <c r="FJ181" s="365">
        <v>0</v>
      </c>
      <c r="FK181" s="365">
        <v>0</v>
      </c>
      <c r="FL181" s="365">
        <v>0</v>
      </c>
      <c r="FM181" s="365">
        <v>0</v>
      </c>
      <c r="FN181" s="365">
        <v>0</v>
      </c>
      <c r="FO181" s="365">
        <v>0</v>
      </c>
      <c r="FP181" s="365">
        <v>0</v>
      </c>
      <c r="FQ181" s="365">
        <v>0</v>
      </c>
      <c r="FR181" s="365">
        <v>0</v>
      </c>
      <c r="FS181" s="365">
        <v>0</v>
      </c>
      <c r="FT181" s="365">
        <v>0</v>
      </c>
      <c r="FU181" s="436">
        <v>0</v>
      </c>
      <c r="FV181" s="436">
        <v>0</v>
      </c>
      <c r="FW181" s="436">
        <v>0</v>
      </c>
      <c r="FX181" s="436">
        <v>0</v>
      </c>
      <c r="FY181" s="365">
        <v>0</v>
      </c>
      <c r="FZ181" s="436">
        <v>0</v>
      </c>
      <c r="GA181" s="436">
        <v>0</v>
      </c>
      <c r="GB181" s="436">
        <v>0</v>
      </c>
      <c r="GC181" s="436">
        <v>0</v>
      </c>
      <c r="GD181" s="365">
        <v>0</v>
      </c>
    </row>
    <row r="182" spans="1:186" ht="15" x14ac:dyDescent="0.25">
      <c r="A182" s="357">
        <v>93</v>
      </c>
      <c r="B182" s="357">
        <v>93</v>
      </c>
      <c r="C182" s="357" t="s">
        <v>1092</v>
      </c>
      <c r="D182" s="2">
        <v>99709</v>
      </c>
      <c r="E182" s="268" t="s">
        <v>19</v>
      </c>
      <c r="F182" s="358" t="s">
        <v>915</v>
      </c>
      <c r="G182" s="49">
        <v>3</v>
      </c>
      <c r="H182" s="49">
        <v>1</v>
      </c>
      <c r="I182" s="49">
        <v>1</v>
      </c>
      <c r="J182" s="49">
        <v>0</v>
      </c>
      <c r="K182" s="49">
        <v>0</v>
      </c>
      <c r="L182" s="49">
        <v>10</v>
      </c>
      <c r="M182" s="49">
        <v>10</v>
      </c>
      <c r="N182" s="49">
        <v>0</v>
      </c>
      <c r="O182" s="49">
        <v>0</v>
      </c>
      <c r="P182" s="49">
        <v>0</v>
      </c>
      <c r="Q182" s="49">
        <v>10</v>
      </c>
      <c r="R182" s="49">
        <v>0</v>
      </c>
      <c r="S182" s="49">
        <v>1771.8</v>
      </c>
      <c r="T182" s="49">
        <v>1771.8</v>
      </c>
      <c r="U182" s="49">
        <v>0</v>
      </c>
      <c r="V182" s="49">
        <v>0</v>
      </c>
      <c r="W182" s="49">
        <v>0</v>
      </c>
      <c r="X182" s="49">
        <v>1771.8</v>
      </c>
      <c r="Y182" s="434">
        <v>17718</v>
      </c>
      <c r="Z182" s="434">
        <v>0</v>
      </c>
      <c r="AA182" s="49">
        <v>0</v>
      </c>
      <c r="AB182" s="49">
        <v>1</v>
      </c>
      <c r="AC182" s="49">
        <v>0</v>
      </c>
      <c r="AD182" s="285">
        <v>0</v>
      </c>
      <c r="AE182" s="285">
        <v>0</v>
      </c>
      <c r="AF182" s="359">
        <v>1</v>
      </c>
      <c r="AG182" s="360">
        <v>0</v>
      </c>
      <c r="AH182" s="360">
        <v>1</v>
      </c>
      <c r="AI182" s="361">
        <v>1</v>
      </c>
      <c r="AJ182" s="360">
        <v>0</v>
      </c>
      <c r="AK182" s="360">
        <v>0</v>
      </c>
      <c r="AL182" s="360">
        <v>0.95215839500773936</v>
      </c>
      <c r="AM182" s="360">
        <v>0.95215839500773936</v>
      </c>
      <c r="AN182" s="360">
        <v>0</v>
      </c>
      <c r="AO182" s="360">
        <v>0</v>
      </c>
      <c r="AP182" s="360">
        <v>0.95395462889797633</v>
      </c>
      <c r="AQ182" s="360">
        <v>0.95395462889797633</v>
      </c>
      <c r="AR182" s="360">
        <v>0</v>
      </c>
      <c r="AS182" s="360">
        <v>0</v>
      </c>
      <c r="AT182" s="360">
        <v>0</v>
      </c>
      <c r="AU182" s="360">
        <v>0.90660560918371424</v>
      </c>
      <c r="AV182" s="360">
        <v>0.92910286930209141</v>
      </c>
      <c r="AW182" s="360">
        <v>0.95215839500773936</v>
      </c>
      <c r="AX182" s="360">
        <v>0.97578603956386833</v>
      </c>
      <c r="AY182" s="360">
        <v>1</v>
      </c>
      <c r="AZ182" s="360">
        <v>0.91002943399587566</v>
      </c>
      <c r="BA182" s="360">
        <v>0.93173321878838855</v>
      </c>
      <c r="BB182" s="360">
        <v>0.95395462889797633</v>
      </c>
      <c r="BC182" s="360">
        <v>0.97670600945114305</v>
      </c>
      <c r="BD182" s="360">
        <v>1</v>
      </c>
      <c r="BE182" s="360">
        <v>0</v>
      </c>
      <c r="BF182" s="360">
        <v>0</v>
      </c>
      <c r="BG182" s="360">
        <v>0</v>
      </c>
      <c r="BH182" s="360">
        <v>0</v>
      </c>
      <c r="BI182" s="360">
        <v>0</v>
      </c>
      <c r="BJ182" s="362">
        <v>1.005122629011173</v>
      </c>
      <c r="BK182" s="362">
        <v>1.0102714993503321</v>
      </c>
      <c r="BL182" s="362">
        <v>1.0154467454420653</v>
      </c>
      <c r="BM182" s="363">
        <v>1.0087706286131499</v>
      </c>
      <c r="BN182" s="363">
        <v>1.0021384043232706</v>
      </c>
      <c r="BO182" s="363">
        <v>0.99893825202696962</v>
      </c>
      <c r="BP182" s="363">
        <v>0.99574831885277337</v>
      </c>
      <c r="BQ182" s="363">
        <v>0.99256857216771699</v>
      </c>
      <c r="BR182" s="363">
        <v>0.98939897944304356</v>
      </c>
      <c r="BS182" s="363">
        <v>0.98623950825387119</v>
      </c>
      <c r="BT182" s="363">
        <v>0.99353469017054841</v>
      </c>
      <c r="BU182" s="363">
        <v>1.0008838343131881</v>
      </c>
      <c r="BV182" s="363">
        <v>1.0082873398386394</v>
      </c>
      <c r="BW182" s="363">
        <v>1.0157456088563031</v>
      </c>
      <c r="BX182" s="363">
        <v>1.0232590464499682</v>
      </c>
      <c r="BY182" s="435">
        <v>1.0273836162928924</v>
      </c>
      <c r="BZ182" s="435">
        <v>1.0315081861358164</v>
      </c>
      <c r="CA182" s="435">
        <v>1.0356327559787406</v>
      </c>
      <c r="CB182" s="435">
        <v>1.0397573258216646</v>
      </c>
      <c r="CC182" s="363">
        <v>1.0438818956645888</v>
      </c>
      <c r="CD182" s="435">
        <v>1.0472628238511039</v>
      </c>
      <c r="CE182" s="435">
        <v>1.0506437520376191</v>
      </c>
      <c r="CF182" s="435">
        <v>1.0540246802241342</v>
      </c>
      <c r="CG182" s="435">
        <v>1.0574056084106493</v>
      </c>
      <c r="CH182" s="363">
        <v>1.0607865365971645</v>
      </c>
      <c r="CI182" s="362">
        <v>1.005122629011173</v>
      </c>
      <c r="CJ182" s="362">
        <v>1.0102714993503321</v>
      </c>
      <c r="CK182" s="362">
        <v>1.0154467454420653</v>
      </c>
      <c r="CL182" s="363">
        <v>1.0087706286131499</v>
      </c>
      <c r="CM182" s="363">
        <v>1.0021384043232706</v>
      </c>
      <c r="CN182" s="363">
        <v>0.99893825202696962</v>
      </c>
      <c r="CO182" s="363">
        <v>0.99574831885277337</v>
      </c>
      <c r="CP182" s="363">
        <v>0.99256857216771699</v>
      </c>
      <c r="CQ182" s="363">
        <v>0.98939897944304356</v>
      </c>
      <c r="CR182" s="363">
        <v>0.98623950825387119</v>
      </c>
      <c r="CS182" s="363">
        <v>0.99353469017054841</v>
      </c>
      <c r="CT182" s="363">
        <v>1.0008838343131881</v>
      </c>
      <c r="CU182" s="363">
        <v>1.0082873398386394</v>
      </c>
      <c r="CV182" s="363">
        <v>1.0157456088563031</v>
      </c>
      <c r="CW182" s="363">
        <v>1.0232590464499682</v>
      </c>
      <c r="CX182" s="435">
        <v>1.0273836162928924</v>
      </c>
      <c r="CY182" s="435">
        <v>1.0315081861358164</v>
      </c>
      <c r="CZ182" s="435">
        <v>1.0356327559787406</v>
      </c>
      <c r="DA182" s="435">
        <v>1.0397573258216646</v>
      </c>
      <c r="DB182" s="363">
        <v>1.0438818956645888</v>
      </c>
      <c r="DC182" s="435">
        <v>1.0472628238511039</v>
      </c>
      <c r="DD182" s="435">
        <v>1.0506437520376191</v>
      </c>
      <c r="DE182" s="435">
        <v>1.0540246802241342</v>
      </c>
      <c r="DF182" s="435">
        <v>1.0574056084106493</v>
      </c>
      <c r="DG182" s="363">
        <v>1.0607865365971645</v>
      </c>
      <c r="DH182" s="362">
        <v>0</v>
      </c>
      <c r="DI182" s="362">
        <v>0</v>
      </c>
      <c r="DJ182" s="362">
        <v>0</v>
      </c>
      <c r="DK182" s="363">
        <v>0</v>
      </c>
      <c r="DL182" s="363">
        <v>0</v>
      </c>
      <c r="DM182" s="363">
        <v>0</v>
      </c>
      <c r="DN182" s="363">
        <v>0</v>
      </c>
      <c r="DO182" s="363">
        <v>0</v>
      </c>
      <c r="DP182" s="363">
        <v>0</v>
      </c>
      <c r="DQ182" s="363">
        <v>0</v>
      </c>
      <c r="DR182" s="363">
        <v>0</v>
      </c>
      <c r="DS182" s="363">
        <v>0</v>
      </c>
      <c r="DT182" s="363">
        <v>0</v>
      </c>
      <c r="DU182" s="363">
        <v>0</v>
      </c>
      <c r="DV182" s="363">
        <v>0</v>
      </c>
      <c r="DW182" s="435">
        <v>0</v>
      </c>
      <c r="DX182" s="435">
        <v>0</v>
      </c>
      <c r="DY182" s="435">
        <v>0</v>
      </c>
      <c r="DZ182" s="435">
        <v>0</v>
      </c>
      <c r="EA182" s="363">
        <v>0</v>
      </c>
      <c r="EB182" s="435">
        <v>0</v>
      </c>
      <c r="EC182" s="435">
        <v>0</v>
      </c>
      <c r="ED182" s="435">
        <v>0</v>
      </c>
      <c r="EE182" s="435">
        <v>0</v>
      </c>
      <c r="EF182" s="363">
        <v>0</v>
      </c>
      <c r="EG182" s="364">
        <v>0</v>
      </c>
      <c r="EH182" s="364">
        <v>0</v>
      </c>
      <c r="EI182" s="364">
        <v>0</v>
      </c>
      <c r="EJ182" s="365">
        <v>0</v>
      </c>
      <c r="EK182" s="365">
        <v>0</v>
      </c>
      <c r="EL182" s="365">
        <v>0</v>
      </c>
      <c r="EM182" s="365">
        <v>0</v>
      </c>
      <c r="EN182" s="365">
        <v>0</v>
      </c>
      <c r="EO182" s="365">
        <v>0</v>
      </c>
      <c r="EP182" s="365">
        <v>0</v>
      </c>
      <c r="EQ182" s="365">
        <v>0</v>
      </c>
      <c r="ER182" s="365">
        <v>0</v>
      </c>
      <c r="ES182" s="365">
        <v>0</v>
      </c>
      <c r="ET182" s="365">
        <v>0</v>
      </c>
      <c r="EU182" s="365">
        <v>0</v>
      </c>
      <c r="EV182" s="436">
        <v>0</v>
      </c>
      <c r="EW182" s="436">
        <v>0</v>
      </c>
      <c r="EX182" s="436">
        <v>0</v>
      </c>
      <c r="EY182" s="436">
        <v>0</v>
      </c>
      <c r="EZ182" s="365">
        <v>0</v>
      </c>
      <c r="FA182" s="436">
        <v>0</v>
      </c>
      <c r="FB182" s="436">
        <v>0</v>
      </c>
      <c r="FC182" s="436">
        <v>0</v>
      </c>
      <c r="FD182" s="436">
        <v>0</v>
      </c>
      <c r="FE182" s="365">
        <v>0</v>
      </c>
      <c r="FF182" s="364">
        <v>0</v>
      </c>
      <c r="FG182" s="364">
        <v>0</v>
      </c>
      <c r="FH182" s="364">
        <v>0</v>
      </c>
      <c r="FI182" s="365">
        <v>0</v>
      </c>
      <c r="FJ182" s="365">
        <v>0</v>
      </c>
      <c r="FK182" s="365">
        <v>0</v>
      </c>
      <c r="FL182" s="365">
        <v>0</v>
      </c>
      <c r="FM182" s="365">
        <v>0</v>
      </c>
      <c r="FN182" s="365">
        <v>0</v>
      </c>
      <c r="FO182" s="365">
        <v>0</v>
      </c>
      <c r="FP182" s="365">
        <v>0</v>
      </c>
      <c r="FQ182" s="365">
        <v>0</v>
      </c>
      <c r="FR182" s="365">
        <v>0</v>
      </c>
      <c r="FS182" s="365">
        <v>0</v>
      </c>
      <c r="FT182" s="365">
        <v>0</v>
      </c>
      <c r="FU182" s="436">
        <v>0</v>
      </c>
      <c r="FV182" s="436">
        <v>0</v>
      </c>
      <c r="FW182" s="436">
        <v>0</v>
      </c>
      <c r="FX182" s="436">
        <v>0</v>
      </c>
      <c r="FY182" s="365">
        <v>0</v>
      </c>
      <c r="FZ182" s="436">
        <v>0</v>
      </c>
      <c r="GA182" s="436">
        <v>0</v>
      </c>
      <c r="GB182" s="436">
        <v>0</v>
      </c>
      <c r="GC182" s="436">
        <v>0</v>
      </c>
      <c r="GD182" s="365">
        <v>0</v>
      </c>
    </row>
    <row r="183" spans="1:186" ht="15" x14ac:dyDescent="0.25">
      <c r="A183" s="357">
        <v>98</v>
      </c>
      <c r="B183" s="357">
        <v>93</v>
      </c>
      <c r="C183" s="357" t="s">
        <v>1093</v>
      </c>
      <c r="D183" s="2">
        <v>99709</v>
      </c>
      <c r="E183" s="268" t="s">
        <v>19</v>
      </c>
      <c r="F183" s="358" t="s">
        <v>915</v>
      </c>
      <c r="G183" s="49">
        <v>39</v>
      </c>
      <c r="H183" s="49">
        <v>18</v>
      </c>
      <c r="I183" s="49">
        <v>18</v>
      </c>
      <c r="J183" s="49">
        <v>0</v>
      </c>
      <c r="K183" s="49">
        <v>0</v>
      </c>
      <c r="L183" s="49">
        <v>22</v>
      </c>
      <c r="M183" s="49">
        <v>22</v>
      </c>
      <c r="N183" s="49">
        <v>0</v>
      </c>
      <c r="O183" s="49">
        <v>0</v>
      </c>
      <c r="P183" s="49">
        <v>0</v>
      </c>
      <c r="Q183" s="49">
        <v>22</v>
      </c>
      <c r="R183" s="49">
        <v>0</v>
      </c>
      <c r="S183" s="49">
        <v>1831.2272727272727</v>
      </c>
      <c r="T183" s="49">
        <v>1831.2272727272727</v>
      </c>
      <c r="U183" s="49">
        <v>0</v>
      </c>
      <c r="V183" s="49">
        <v>0</v>
      </c>
      <c r="W183" s="49">
        <v>0</v>
      </c>
      <c r="X183" s="49">
        <v>1831.2272727272727</v>
      </c>
      <c r="Y183" s="434">
        <v>40287</v>
      </c>
      <c r="Z183" s="434">
        <v>0</v>
      </c>
      <c r="AA183" s="49">
        <v>0</v>
      </c>
      <c r="AB183" s="49">
        <v>18</v>
      </c>
      <c r="AC183" s="49">
        <v>0</v>
      </c>
      <c r="AD183" s="285">
        <v>0</v>
      </c>
      <c r="AE183" s="285">
        <v>0</v>
      </c>
      <c r="AF183" s="359">
        <v>18</v>
      </c>
      <c r="AG183" s="360">
        <v>0</v>
      </c>
      <c r="AH183" s="360">
        <v>18</v>
      </c>
      <c r="AI183" s="361">
        <v>18</v>
      </c>
      <c r="AJ183" s="360">
        <v>0</v>
      </c>
      <c r="AK183" s="360">
        <v>0</v>
      </c>
      <c r="AL183" s="360">
        <v>17.13885111013931</v>
      </c>
      <c r="AM183" s="360">
        <v>17.13885111013931</v>
      </c>
      <c r="AN183" s="360">
        <v>0</v>
      </c>
      <c r="AO183" s="360">
        <v>0</v>
      </c>
      <c r="AP183" s="360">
        <v>17.171183320163575</v>
      </c>
      <c r="AQ183" s="360">
        <v>17.171183320163575</v>
      </c>
      <c r="AR183" s="360">
        <v>0</v>
      </c>
      <c r="AS183" s="360">
        <v>0</v>
      </c>
      <c r="AT183" s="360">
        <v>0</v>
      </c>
      <c r="AU183" s="360">
        <v>16.318900965306856</v>
      </c>
      <c r="AV183" s="360">
        <v>16.723851647437645</v>
      </c>
      <c r="AW183" s="360">
        <v>17.13885111013931</v>
      </c>
      <c r="AX183" s="360">
        <v>17.564148712149631</v>
      </c>
      <c r="AY183" s="360">
        <v>18</v>
      </c>
      <c r="AZ183" s="360">
        <v>16.380529811925761</v>
      </c>
      <c r="BA183" s="360">
        <v>16.771197938190994</v>
      </c>
      <c r="BB183" s="360">
        <v>17.171183320163575</v>
      </c>
      <c r="BC183" s="360">
        <v>17.580708170120573</v>
      </c>
      <c r="BD183" s="360">
        <v>18</v>
      </c>
      <c r="BE183" s="360">
        <v>0</v>
      </c>
      <c r="BF183" s="360">
        <v>0</v>
      </c>
      <c r="BG183" s="360">
        <v>0</v>
      </c>
      <c r="BH183" s="360">
        <v>0</v>
      </c>
      <c r="BI183" s="360">
        <v>0</v>
      </c>
      <c r="BJ183" s="362">
        <v>18.092207322201112</v>
      </c>
      <c r="BK183" s="362">
        <v>18.184886988305976</v>
      </c>
      <c r="BL183" s="362">
        <v>18.278041417957176</v>
      </c>
      <c r="BM183" s="363">
        <v>18.157871315036701</v>
      </c>
      <c r="BN183" s="363">
        <v>18.038491277818874</v>
      </c>
      <c r="BO183" s="363">
        <v>17.980888536485455</v>
      </c>
      <c r="BP183" s="363">
        <v>17.923469739349922</v>
      </c>
      <c r="BQ183" s="363">
        <v>17.866234299018906</v>
      </c>
      <c r="BR183" s="363">
        <v>17.809181629974788</v>
      </c>
      <c r="BS183" s="363">
        <v>17.752311148569682</v>
      </c>
      <c r="BT183" s="363">
        <v>17.883624423069872</v>
      </c>
      <c r="BU183" s="363">
        <v>18.015909017637384</v>
      </c>
      <c r="BV183" s="363">
        <v>18.14917211709551</v>
      </c>
      <c r="BW183" s="363">
        <v>18.283420959413458</v>
      </c>
      <c r="BX183" s="363">
        <v>18.418662836099433</v>
      </c>
      <c r="BY183" s="435">
        <v>18.492905093272068</v>
      </c>
      <c r="BZ183" s="435">
        <v>18.567147350444699</v>
      </c>
      <c r="CA183" s="435">
        <v>18.641389607617334</v>
      </c>
      <c r="CB183" s="435">
        <v>18.715631864789966</v>
      </c>
      <c r="CC183" s="363">
        <v>18.789874121962601</v>
      </c>
      <c r="CD183" s="435">
        <v>18.850730829319872</v>
      </c>
      <c r="CE183" s="435">
        <v>18.911587536677146</v>
      </c>
      <c r="CF183" s="435">
        <v>18.972444244034417</v>
      </c>
      <c r="CG183" s="435">
        <v>19.033300951391691</v>
      </c>
      <c r="CH183" s="363">
        <v>19.094157658748962</v>
      </c>
      <c r="CI183" s="362">
        <v>18.092207322201112</v>
      </c>
      <c r="CJ183" s="362">
        <v>18.184886988305976</v>
      </c>
      <c r="CK183" s="362">
        <v>18.278041417957176</v>
      </c>
      <c r="CL183" s="363">
        <v>18.157871315036701</v>
      </c>
      <c r="CM183" s="363">
        <v>18.038491277818874</v>
      </c>
      <c r="CN183" s="363">
        <v>17.980888536485455</v>
      </c>
      <c r="CO183" s="363">
        <v>17.923469739349922</v>
      </c>
      <c r="CP183" s="363">
        <v>17.866234299018906</v>
      </c>
      <c r="CQ183" s="363">
        <v>17.809181629974788</v>
      </c>
      <c r="CR183" s="363">
        <v>17.752311148569682</v>
      </c>
      <c r="CS183" s="363">
        <v>17.883624423069872</v>
      </c>
      <c r="CT183" s="363">
        <v>18.015909017637384</v>
      </c>
      <c r="CU183" s="363">
        <v>18.14917211709551</v>
      </c>
      <c r="CV183" s="363">
        <v>18.283420959413458</v>
      </c>
      <c r="CW183" s="363">
        <v>18.418662836099433</v>
      </c>
      <c r="CX183" s="435">
        <v>18.492905093272068</v>
      </c>
      <c r="CY183" s="435">
        <v>18.567147350444699</v>
      </c>
      <c r="CZ183" s="435">
        <v>18.641389607617334</v>
      </c>
      <c r="DA183" s="435">
        <v>18.715631864789966</v>
      </c>
      <c r="DB183" s="363">
        <v>18.789874121962601</v>
      </c>
      <c r="DC183" s="435">
        <v>18.850730829319872</v>
      </c>
      <c r="DD183" s="435">
        <v>18.911587536677146</v>
      </c>
      <c r="DE183" s="435">
        <v>18.972444244034417</v>
      </c>
      <c r="DF183" s="435">
        <v>19.033300951391691</v>
      </c>
      <c r="DG183" s="363">
        <v>19.094157658748962</v>
      </c>
      <c r="DH183" s="362">
        <v>0</v>
      </c>
      <c r="DI183" s="362">
        <v>0</v>
      </c>
      <c r="DJ183" s="362">
        <v>0</v>
      </c>
      <c r="DK183" s="363">
        <v>0</v>
      </c>
      <c r="DL183" s="363">
        <v>0</v>
      </c>
      <c r="DM183" s="363">
        <v>0</v>
      </c>
      <c r="DN183" s="363">
        <v>0</v>
      </c>
      <c r="DO183" s="363">
        <v>0</v>
      </c>
      <c r="DP183" s="363">
        <v>0</v>
      </c>
      <c r="DQ183" s="363">
        <v>0</v>
      </c>
      <c r="DR183" s="363">
        <v>0</v>
      </c>
      <c r="DS183" s="363">
        <v>0</v>
      </c>
      <c r="DT183" s="363">
        <v>0</v>
      </c>
      <c r="DU183" s="363">
        <v>0</v>
      </c>
      <c r="DV183" s="363">
        <v>0</v>
      </c>
      <c r="DW183" s="435">
        <v>0</v>
      </c>
      <c r="DX183" s="435">
        <v>0</v>
      </c>
      <c r="DY183" s="435">
        <v>0</v>
      </c>
      <c r="DZ183" s="435">
        <v>0</v>
      </c>
      <c r="EA183" s="363">
        <v>0</v>
      </c>
      <c r="EB183" s="435">
        <v>0</v>
      </c>
      <c r="EC183" s="435">
        <v>0</v>
      </c>
      <c r="ED183" s="435">
        <v>0</v>
      </c>
      <c r="EE183" s="435">
        <v>0</v>
      </c>
      <c r="EF183" s="363">
        <v>0</v>
      </c>
      <c r="EG183" s="364">
        <v>0</v>
      </c>
      <c r="EH183" s="364">
        <v>0</v>
      </c>
      <c r="EI183" s="364">
        <v>0</v>
      </c>
      <c r="EJ183" s="365">
        <v>0</v>
      </c>
      <c r="EK183" s="365">
        <v>0</v>
      </c>
      <c r="EL183" s="365">
        <v>0</v>
      </c>
      <c r="EM183" s="365">
        <v>0</v>
      </c>
      <c r="EN183" s="365">
        <v>0</v>
      </c>
      <c r="EO183" s="365">
        <v>0</v>
      </c>
      <c r="EP183" s="365">
        <v>0</v>
      </c>
      <c r="EQ183" s="365">
        <v>0</v>
      </c>
      <c r="ER183" s="365">
        <v>0</v>
      </c>
      <c r="ES183" s="365">
        <v>0</v>
      </c>
      <c r="ET183" s="365">
        <v>0</v>
      </c>
      <c r="EU183" s="365">
        <v>0</v>
      </c>
      <c r="EV183" s="436">
        <v>0</v>
      </c>
      <c r="EW183" s="436">
        <v>0</v>
      </c>
      <c r="EX183" s="436">
        <v>0</v>
      </c>
      <c r="EY183" s="436">
        <v>0</v>
      </c>
      <c r="EZ183" s="365">
        <v>0</v>
      </c>
      <c r="FA183" s="436">
        <v>0</v>
      </c>
      <c r="FB183" s="436">
        <v>0</v>
      </c>
      <c r="FC183" s="436">
        <v>0</v>
      </c>
      <c r="FD183" s="436">
        <v>0</v>
      </c>
      <c r="FE183" s="365">
        <v>0</v>
      </c>
      <c r="FF183" s="364">
        <v>0</v>
      </c>
      <c r="FG183" s="364">
        <v>0</v>
      </c>
      <c r="FH183" s="364">
        <v>0</v>
      </c>
      <c r="FI183" s="365">
        <v>0</v>
      </c>
      <c r="FJ183" s="365">
        <v>0</v>
      </c>
      <c r="FK183" s="365">
        <v>0</v>
      </c>
      <c r="FL183" s="365">
        <v>0</v>
      </c>
      <c r="FM183" s="365">
        <v>0</v>
      </c>
      <c r="FN183" s="365">
        <v>0</v>
      </c>
      <c r="FO183" s="365">
        <v>0</v>
      </c>
      <c r="FP183" s="365">
        <v>0</v>
      </c>
      <c r="FQ183" s="365">
        <v>0</v>
      </c>
      <c r="FR183" s="365">
        <v>0</v>
      </c>
      <c r="FS183" s="365">
        <v>0</v>
      </c>
      <c r="FT183" s="365">
        <v>0</v>
      </c>
      <c r="FU183" s="436">
        <v>0</v>
      </c>
      <c r="FV183" s="436">
        <v>0</v>
      </c>
      <c r="FW183" s="436">
        <v>0</v>
      </c>
      <c r="FX183" s="436">
        <v>0</v>
      </c>
      <c r="FY183" s="365">
        <v>0</v>
      </c>
      <c r="FZ183" s="436">
        <v>0</v>
      </c>
      <c r="GA183" s="436">
        <v>0</v>
      </c>
      <c r="GB183" s="436">
        <v>0</v>
      </c>
      <c r="GC183" s="436">
        <v>0</v>
      </c>
      <c r="GD183" s="365">
        <v>0</v>
      </c>
    </row>
    <row r="184" spans="1:186" ht="15" x14ac:dyDescent="0.25">
      <c r="A184" s="357">
        <v>99</v>
      </c>
      <c r="B184" s="357">
        <v>93</v>
      </c>
      <c r="C184" s="357" t="s">
        <v>1094</v>
      </c>
      <c r="D184" s="2">
        <v>99709</v>
      </c>
      <c r="E184" s="268" t="s">
        <v>1527</v>
      </c>
      <c r="F184" s="358" t="s">
        <v>985</v>
      </c>
      <c r="G184" s="49">
        <v>1</v>
      </c>
      <c r="H184" s="49">
        <v>2</v>
      </c>
      <c r="I184" s="49">
        <v>1</v>
      </c>
      <c r="J184" s="49">
        <v>1</v>
      </c>
      <c r="K184" s="49">
        <v>0</v>
      </c>
      <c r="L184" s="49">
        <v>6</v>
      </c>
      <c r="M184" s="49">
        <v>6</v>
      </c>
      <c r="N184" s="49">
        <v>0</v>
      </c>
      <c r="O184" s="49">
        <v>0</v>
      </c>
      <c r="P184" s="49">
        <v>0</v>
      </c>
      <c r="Q184" s="49">
        <v>6</v>
      </c>
      <c r="R184" s="49">
        <v>0</v>
      </c>
      <c r="S184" s="49">
        <v>1641.3333333333333</v>
      </c>
      <c r="T184" s="49">
        <v>1641.3333333333333</v>
      </c>
      <c r="U184" s="49">
        <v>0</v>
      </c>
      <c r="V184" s="49">
        <v>0</v>
      </c>
      <c r="W184" s="49">
        <v>0</v>
      </c>
      <c r="X184" s="49">
        <v>1641.3333333333333</v>
      </c>
      <c r="Y184" s="434">
        <v>9848</v>
      </c>
      <c r="Z184" s="434">
        <v>0</v>
      </c>
      <c r="AA184" s="49">
        <v>0</v>
      </c>
      <c r="AB184" s="49">
        <v>2</v>
      </c>
      <c r="AC184" s="49">
        <v>0</v>
      </c>
      <c r="AD184" s="285">
        <v>0</v>
      </c>
      <c r="AE184" s="285">
        <v>0</v>
      </c>
      <c r="AF184" s="359">
        <v>2</v>
      </c>
      <c r="AG184" s="360">
        <v>0</v>
      </c>
      <c r="AH184" s="360">
        <v>1</v>
      </c>
      <c r="AI184" s="361">
        <v>1</v>
      </c>
      <c r="AJ184" s="360">
        <v>0</v>
      </c>
      <c r="AK184" s="360">
        <v>0</v>
      </c>
      <c r="AL184" s="360">
        <v>1.9043167900154787</v>
      </c>
      <c r="AM184" s="360">
        <v>1.9043167900154787</v>
      </c>
      <c r="AN184" s="360">
        <v>0</v>
      </c>
      <c r="AO184" s="360">
        <v>0</v>
      </c>
      <c r="AP184" s="360">
        <v>0.95395462889797633</v>
      </c>
      <c r="AQ184" s="360">
        <v>0.95395462889797633</v>
      </c>
      <c r="AR184" s="360">
        <v>0</v>
      </c>
      <c r="AS184" s="360">
        <v>0</v>
      </c>
      <c r="AT184" s="360">
        <v>0</v>
      </c>
      <c r="AU184" s="360">
        <v>1.8132112183674285</v>
      </c>
      <c r="AV184" s="360">
        <v>1.8582057386041828</v>
      </c>
      <c r="AW184" s="360">
        <v>1.9043167900154787</v>
      </c>
      <c r="AX184" s="360">
        <v>1.9515720791277367</v>
      </c>
      <c r="AY184" s="360">
        <v>2</v>
      </c>
      <c r="AZ184" s="360">
        <v>0.91002943399587566</v>
      </c>
      <c r="BA184" s="360">
        <v>0.93173321878838855</v>
      </c>
      <c r="BB184" s="360">
        <v>0.95395462889797633</v>
      </c>
      <c r="BC184" s="360">
        <v>0.97670600945114305</v>
      </c>
      <c r="BD184" s="360">
        <v>1</v>
      </c>
      <c r="BE184" s="360">
        <v>0</v>
      </c>
      <c r="BF184" s="360">
        <v>0</v>
      </c>
      <c r="BG184" s="360">
        <v>0</v>
      </c>
      <c r="BH184" s="360">
        <v>0</v>
      </c>
      <c r="BI184" s="360">
        <v>0</v>
      </c>
      <c r="BJ184" s="362">
        <v>2.0186866484247719</v>
      </c>
      <c r="BK184" s="362">
        <v>2.0375478922642194</v>
      </c>
      <c r="BL184" s="362">
        <v>2.0565853628199076</v>
      </c>
      <c r="BM184" s="363">
        <v>2.0430642163762842</v>
      </c>
      <c r="BN184" s="363">
        <v>2.02963196553819</v>
      </c>
      <c r="BO184" s="363">
        <v>2.0231506937226973</v>
      </c>
      <c r="BP184" s="363">
        <v>2.0166901187059643</v>
      </c>
      <c r="BQ184" s="363">
        <v>2.010250174396413</v>
      </c>
      <c r="BR184" s="363">
        <v>2.0038307949135175</v>
      </c>
      <c r="BS184" s="363">
        <v>1.9974319145871304</v>
      </c>
      <c r="BT184" s="363">
        <v>2.0122068542048801</v>
      </c>
      <c r="BU184" s="363">
        <v>2.0270910835756939</v>
      </c>
      <c r="BV184" s="363">
        <v>2.0420854111123599</v>
      </c>
      <c r="BW184" s="363">
        <v>2.0571906512074696</v>
      </c>
      <c r="BX184" s="363">
        <v>2.0724076242776488</v>
      </c>
      <c r="BY184" s="435">
        <v>2.0807611199237384</v>
      </c>
      <c r="BZ184" s="435">
        <v>2.0891146155698279</v>
      </c>
      <c r="CA184" s="435">
        <v>2.0974681112159175</v>
      </c>
      <c r="CB184" s="435">
        <v>2.105821606862007</v>
      </c>
      <c r="CC184" s="363">
        <v>2.1141751025080966</v>
      </c>
      <c r="CD184" s="435">
        <v>2.1210224999243987</v>
      </c>
      <c r="CE184" s="435">
        <v>2.1278698973407004</v>
      </c>
      <c r="CF184" s="435">
        <v>2.1347172947570026</v>
      </c>
      <c r="CG184" s="435">
        <v>2.1415646921733043</v>
      </c>
      <c r="CH184" s="363">
        <v>2.1484120895896064</v>
      </c>
      <c r="CI184" s="362">
        <v>1.0093433242123859</v>
      </c>
      <c r="CJ184" s="362">
        <v>1.0187739461321097</v>
      </c>
      <c r="CK184" s="362">
        <v>1.0282926814099538</v>
      </c>
      <c r="CL184" s="363">
        <v>1.0215321081881421</v>
      </c>
      <c r="CM184" s="363">
        <v>1.014815982769095</v>
      </c>
      <c r="CN184" s="363">
        <v>1.0115753468613486</v>
      </c>
      <c r="CO184" s="363">
        <v>1.0083450593529821</v>
      </c>
      <c r="CP184" s="363">
        <v>1.0051250871982065</v>
      </c>
      <c r="CQ184" s="363">
        <v>1.0019153974567587</v>
      </c>
      <c r="CR184" s="363">
        <v>0.99871595729356522</v>
      </c>
      <c r="CS184" s="363">
        <v>1.0061034271024401</v>
      </c>
      <c r="CT184" s="363">
        <v>1.0135455417878469</v>
      </c>
      <c r="CU184" s="363">
        <v>1.0210427055561799</v>
      </c>
      <c r="CV184" s="363">
        <v>1.0285953256037348</v>
      </c>
      <c r="CW184" s="363">
        <v>1.0362038121388244</v>
      </c>
      <c r="CX184" s="435">
        <v>1.0403805599618692</v>
      </c>
      <c r="CY184" s="435">
        <v>1.044557307784914</v>
      </c>
      <c r="CZ184" s="435">
        <v>1.0487340556079587</v>
      </c>
      <c r="DA184" s="435">
        <v>1.0529108034310035</v>
      </c>
      <c r="DB184" s="363">
        <v>1.0570875512540483</v>
      </c>
      <c r="DC184" s="435">
        <v>1.0605112499621994</v>
      </c>
      <c r="DD184" s="435">
        <v>1.0639349486703502</v>
      </c>
      <c r="DE184" s="435">
        <v>1.0673586473785013</v>
      </c>
      <c r="DF184" s="435">
        <v>1.0707823460866521</v>
      </c>
      <c r="DG184" s="363">
        <v>1.0742060447948032</v>
      </c>
      <c r="DH184" s="362">
        <v>0</v>
      </c>
      <c r="DI184" s="362">
        <v>0</v>
      </c>
      <c r="DJ184" s="362">
        <v>0</v>
      </c>
      <c r="DK184" s="363">
        <v>0</v>
      </c>
      <c r="DL184" s="363">
        <v>0</v>
      </c>
      <c r="DM184" s="363">
        <v>0</v>
      </c>
      <c r="DN184" s="363">
        <v>0</v>
      </c>
      <c r="DO184" s="363">
        <v>0</v>
      </c>
      <c r="DP184" s="363">
        <v>0</v>
      </c>
      <c r="DQ184" s="363">
        <v>0</v>
      </c>
      <c r="DR184" s="363">
        <v>0</v>
      </c>
      <c r="DS184" s="363">
        <v>0</v>
      </c>
      <c r="DT184" s="363">
        <v>0</v>
      </c>
      <c r="DU184" s="363">
        <v>0</v>
      </c>
      <c r="DV184" s="363">
        <v>0</v>
      </c>
      <c r="DW184" s="435">
        <v>0</v>
      </c>
      <c r="DX184" s="435">
        <v>0</v>
      </c>
      <c r="DY184" s="435">
        <v>0</v>
      </c>
      <c r="DZ184" s="435">
        <v>0</v>
      </c>
      <c r="EA184" s="363">
        <v>0</v>
      </c>
      <c r="EB184" s="435">
        <v>0</v>
      </c>
      <c r="EC184" s="435">
        <v>0</v>
      </c>
      <c r="ED184" s="435">
        <v>0</v>
      </c>
      <c r="EE184" s="435">
        <v>0</v>
      </c>
      <c r="EF184" s="363">
        <v>0</v>
      </c>
      <c r="EG184" s="364">
        <v>0</v>
      </c>
      <c r="EH184" s="364">
        <v>0</v>
      </c>
      <c r="EI184" s="364">
        <v>0</v>
      </c>
      <c r="EJ184" s="365">
        <v>0</v>
      </c>
      <c r="EK184" s="365">
        <v>0</v>
      </c>
      <c r="EL184" s="365">
        <v>0</v>
      </c>
      <c r="EM184" s="365">
        <v>0</v>
      </c>
      <c r="EN184" s="365">
        <v>0</v>
      </c>
      <c r="EO184" s="365">
        <v>0</v>
      </c>
      <c r="EP184" s="365">
        <v>0</v>
      </c>
      <c r="EQ184" s="365">
        <v>0</v>
      </c>
      <c r="ER184" s="365">
        <v>0</v>
      </c>
      <c r="ES184" s="365">
        <v>0</v>
      </c>
      <c r="ET184" s="365">
        <v>0</v>
      </c>
      <c r="EU184" s="365">
        <v>0</v>
      </c>
      <c r="EV184" s="436">
        <v>0</v>
      </c>
      <c r="EW184" s="436">
        <v>0</v>
      </c>
      <c r="EX184" s="436">
        <v>0</v>
      </c>
      <c r="EY184" s="436">
        <v>0</v>
      </c>
      <c r="EZ184" s="365">
        <v>0</v>
      </c>
      <c r="FA184" s="436">
        <v>0</v>
      </c>
      <c r="FB184" s="436">
        <v>0</v>
      </c>
      <c r="FC184" s="436">
        <v>0</v>
      </c>
      <c r="FD184" s="436">
        <v>0</v>
      </c>
      <c r="FE184" s="365">
        <v>0</v>
      </c>
      <c r="FF184" s="364">
        <v>0</v>
      </c>
      <c r="FG184" s="364">
        <v>0</v>
      </c>
      <c r="FH184" s="364">
        <v>0</v>
      </c>
      <c r="FI184" s="365">
        <v>0</v>
      </c>
      <c r="FJ184" s="365">
        <v>0</v>
      </c>
      <c r="FK184" s="365">
        <v>0</v>
      </c>
      <c r="FL184" s="365">
        <v>0</v>
      </c>
      <c r="FM184" s="365">
        <v>0</v>
      </c>
      <c r="FN184" s="365">
        <v>0</v>
      </c>
      <c r="FO184" s="365">
        <v>0</v>
      </c>
      <c r="FP184" s="365">
        <v>0</v>
      </c>
      <c r="FQ184" s="365">
        <v>0</v>
      </c>
      <c r="FR184" s="365">
        <v>0</v>
      </c>
      <c r="FS184" s="365">
        <v>0</v>
      </c>
      <c r="FT184" s="365">
        <v>0</v>
      </c>
      <c r="FU184" s="436">
        <v>0</v>
      </c>
      <c r="FV184" s="436">
        <v>0</v>
      </c>
      <c r="FW184" s="436">
        <v>0</v>
      </c>
      <c r="FX184" s="436">
        <v>0</v>
      </c>
      <c r="FY184" s="365">
        <v>0</v>
      </c>
      <c r="FZ184" s="436">
        <v>0</v>
      </c>
      <c r="GA184" s="436">
        <v>0</v>
      </c>
      <c r="GB184" s="436">
        <v>0</v>
      </c>
      <c r="GC184" s="436">
        <v>0</v>
      </c>
      <c r="GD184" s="365">
        <v>0</v>
      </c>
    </row>
    <row r="185" spans="1:186" ht="15" x14ac:dyDescent="0.25">
      <c r="A185" s="357">
        <v>100</v>
      </c>
      <c r="B185" s="357">
        <v>93</v>
      </c>
      <c r="C185" s="357" t="s">
        <v>1095</v>
      </c>
      <c r="D185" s="2">
        <v>99709</v>
      </c>
      <c r="E185" s="268" t="s">
        <v>1527</v>
      </c>
      <c r="F185" s="358" t="s">
        <v>985</v>
      </c>
      <c r="G185" s="49">
        <v>887</v>
      </c>
      <c r="H185" s="49">
        <v>411</v>
      </c>
      <c r="I185" s="49">
        <v>362</v>
      </c>
      <c r="J185" s="49">
        <v>49</v>
      </c>
      <c r="K185" s="49">
        <v>0</v>
      </c>
      <c r="L185" s="49">
        <v>5</v>
      </c>
      <c r="M185" s="49">
        <v>5</v>
      </c>
      <c r="N185" s="49">
        <v>0</v>
      </c>
      <c r="O185" s="49">
        <v>0</v>
      </c>
      <c r="P185" s="49">
        <v>0</v>
      </c>
      <c r="Q185" s="49">
        <v>5</v>
      </c>
      <c r="R185" s="49">
        <v>0</v>
      </c>
      <c r="S185" s="49">
        <v>1424.4</v>
      </c>
      <c r="T185" s="49">
        <v>1424.4</v>
      </c>
      <c r="U185" s="49">
        <v>0</v>
      </c>
      <c r="V185" s="49">
        <v>0</v>
      </c>
      <c r="W185" s="49">
        <v>0</v>
      </c>
      <c r="X185" s="49">
        <v>1424.4</v>
      </c>
      <c r="Y185" s="434">
        <v>7122</v>
      </c>
      <c r="Z185" s="434">
        <v>0</v>
      </c>
      <c r="AA185" s="49">
        <v>0</v>
      </c>
      <c r="AB185" s="49">
        <v>411</v>
      </c>
      <c r="AC185" s="49">
        <v>0</v>
      </c>
      <c r="AD185" s="285">
        <v>0</v>
      </c>
      <c r="AE185" s="285">
        <v>0</v>
      </c>
      <c r="AF185" s="359">
        <v>411</v>
      </c>
      <c r="AG185" s="360">
        <v>0</v>
      </c>
      <c r="AH185" s="360">
        <v>362</v>
      </c>
      <c r="AI185" s="361">
        <v>362</v>
      </c>
      <c r="AJ185" s="360">
        <v>0</v>
      </c>
      <c r="AK185" s="360">
        <v>0</v>
      </c>
      <c r="AL185" s="360">
        <v>391.33710034818085</v>
      </c>
      <c r="AM185" s="360">
        <v>391.33710034818085</v>
      </c>
      <c r="AN185" s="360">
        <v>0</v>
      </c>
      <c r="AO185" s="360">
        <v>0</v>
      </c>
      <c r="AP185" s="360">
        <v>345.3315756610674</v>
      </c>
      <c r="AQ185" s="360">
        <v>345.3315756610674</v>
      </c>
      <c r="AR185" s="360">
        <v>0</v>
      </c>
      <c r="AS185" s="360">
        <v>0</v>
      </c>
      <c r="AT185" s="360">
        <v>0</v>
      </c>
      <c r="AU185" s="360">
        <v>372.61490537450652</v>
      </c>
      <c r="AV185" s="360">
        <v>381.86127928315955</v>
      </c>
      <c r="AW185" s="360">
        <v>391.33710034818085</v>
      </c>
      <c r="AX185" s="360">
        <v>401.04806226074993</v>
      </c>
      <c r="AY185" s="360">
        <v>411</v>
      </c>
      <c r="AZ185" s="360">
        <v>329.430655106507</v>
      </c>
      <c r="BA185" s="360">
        <v>337.28742520139667</v>
      </c>
      <c r="BB185" s="360">
        <v>345.3315756610674</v>
      </c>
      <c r="BC185" s="360">
        <v>353.56757542131379</v>
      </c>
      <c r="BD185" s="360">
        <v>362</v>
      </c>
      <c r="BE185" s="360">
        <v>0</v>
      </c>
      <c r="BF185" s="360">
        <v>0</v>
      </c>
      <c r="BG185" s="360">
        <v>0</v>
      </c>
      <c r="BH185" s="360">
        <v>0</v>
      </c>
      <c r="BI185" s="360">
        <v>0</v>
      </c>
      <c r="BJ185" s="362">
        <v>414.84010625129059</v>
      </c>
      <c r="BK185" s="362">
        <v>418.71609186029707</v>
      </c>
      <c r="BL185" s="362">
        <v>422.628292059491</v>
      </c>
      <c r="BM185" s="363">
        <v>419.84969646532642</v>
      </c>
      <c r="BN185" s="363">
        <v>417.08936891809805</v>
      </c>
      <c r="BO185" s="363">
        <v>415.75746756001433</v>
      </c>
      <c r="BP185" s="363">
        <v>414.42981939407571</v>
      </c>
      <c r="BQ185" s="363">
        <v>413.10641083846286</v>
      </c>
      <c r="BR185" s="363">
        <v>411.78722835472786</v>
      </c>
      <c r="BS185" s="363">
        <v>410.47225844765529</v>
      </c>
      <c r="BT185" s="363">
        <v>413.50850853910288</v>
      </c>
      <c r="BU185" s="363">
        <v>416.56721767480508</v>
      </c>
      <c r="BV185" s="363">
        <v>419.64855198358998</v>
      </c>
      <c r="BW185" s="363">
        <v>422.75267882313506</v>
      </c>
      <c r="BX185" s="363">
        <v>425.87976678905682</v>
      </c>
      <c r="BY185" s="435">
        <v>427.59641014432822</v>
      </c>
      <c r="BZ185" s="435">
        <v>429.31305349959962</v>
      </c>
      <c r="CA185" s="435">
        <v>431.02969685487102</v>
      </c>
      <c r="CB185" s="435">
        <v>432.74634021014242</v>
      </c>
      <c r="CC185" s="363">
        <v>434.46298356541382</v>
      </c>
      <c r="CD185" s="435">
        <v>435.8701237344639</v>
      </c>
      <c r="CE185" s="435">
        <v>437.27726390351393</v>
      </c>
      <c r="CF185" s="435">
        <v>438.68440407256401</v>
      </c>
      <c r="CG185" s="435">
        <v>440.09154424161403</v>
      </c>
      <c r="CH185" s="363">
        <v>441.49868441066411</v>
      </c>
      <c r="CI185" s="362">
        <v>365.38228336488373</v>
      </c>
      <c r="CJ185" s="362">
        <v>368.79616849982369</v>
      </c>
      <c r="CK185" s="362">
        <v>372.24195067040324</v>
      </c>
      <c r="CL185" s="363">
        <v>369.79462316410741</v>
      </c>
      <c r="CM185" s="363">
        <v>367.36338576241235</v>
      </c>
      <c r="CN185" s="363">
        <v>366.1902755638082</v>
      </c>
      <c r="CO185" s="363">
        <v>365.02091148577955</v>
      </c>
      <c r="CP185" s="363">
        <v>363.85528156575072</v>
      </c>
      <c r="CQ185" s="363">
        <v>362.69337387934667</v>
      </c>
      <c r="CR185" s="363">
        <v>361.53517654027058</v>
      </c>
      <c r="CS185" s="363">
        <v>364.20944061108327</v>
      </c>
      <c r="CT185" s="363">
        <v>366.90348612720055</v>
      </c>
      <c r="CU185" s="363">
        <v>369.61745941133711</v>
      </c>
      <c r="CV185" s="363">
        <v>372.35150786855201</v>
      </c>
      <c r="CW185" s="363">
        <v>375.10577999425436</v>
      </c>
      <c r="CX185" s="435">
        <v>376.61776270619657</v>
      </c>
      <c r="CY185" s="435">
        <v>378.12974541813878</v>
      </c>
      <c r="CZ185" s="435">
        <v>379.64172813008105</v>
      </c>
      <c r="DA185" s="435">
        <v>381.15371084202326</v>
      </c>
      <c r="DB185" s="363">
        <v>382.66569355396547</v>
      </c>
      <c r="DC185" s="435">
        <v>383.9050724863161</v>
      </c>
      <c r="DD185" s="435">
        <v>385.14445141866679</v>
      </c>
      <c r="DE185" s="435">
        <v>386.38383035101742</v>
      </c>
      <c r="DF185" s="435">
        <v>387.62320928336811</v>
      </c>
      <c r="DG185" s="363">
        <v>388.86258821571874</v>
      </c>
      <c r="DH185" s="362">
        <v>0</v>
      </c>
      <c r="DI185" s="362">
        <v>0</v>
      </c>
      <c r="DJ185" s="362">
        <v>0</v>
      </c>
      <c r="DK185" s="363">
        <v>0</v>
      </c>
      <c r="DL185" s="363">
        <v>0</v>
      </c>
      <c r="DM185" s="363">
        <v>0</v>
      </c>
      <c r="DN185" s="363">
        <v>0</v>
      </c>
      <c r="DO185" s="363">
        <v>0</v>
      </c>
      <c r="DP185" s="363">
        <v>0</v>
      </c>
      <c r="DQ185" s="363">
        <v>0</v>
      </c>
      <c r="DR185" s="363">
        <v>0</v>
      </c>
      <c r="DS185" s="363">
        <v>0</v>
      </c>
      <c r="DT185" s="363">
        <v>0</v>
      </c>
      <c r="DU185" s="363">
        <v>0</v>
      </c>
      <c r="DV185" s="363">
        <v>0</v>
      </c>
      <c r="DW185" s="435">
        <v>0</v>
      </c>
      <c r="DX185" s="435">
        <v>0</v>
      </c>
      <c r="DY185" s="435">
        <v>0</v>
      </c>
      <c r="DZ185" s="435">
        <v>0</v>
      </c>
      <c r="EA185" s="363">
        <v>0</v>
      </c>
      <c r="EB185" s="435">
        <v>0</v>
      </c>
      <c r="EC185" s="435">
        <v>0</v>
      </c>
      <c r="ED185" s="435">
        <v>0</v>
      </c>
      <c r="EE185" s="435">
        <v>0</v>
      </c>
      <c r="EF185" s="363">
        <v>0</v>
      </c>
      <c r="EG185" s="364">
        <v>0</v>
      </c>
      <c r="EH185" s="364">
        <v>0</v>
      </c>
      <c r="EI185" s="364">
        <v>0</v>
      </c>
      <c r="EJ185" s="365">
        <v>0</v>
      </c>
      <c r="EK185" s="365">
        <v>0</v>
      </c>
      <c r="EL185" s="365">
        <v>0</v>
      </c>
      <c r="EM185" s="365">
        <v>0</v>
      </c>
      <c r="EN185" s="365">
        <v>0</v>
      </c>
      <c r="EO185" s="365">
        <v>0</v>
      </c>
      <c r="EP185" s="365">
        <v>0</v>
      </c>
      <c r="EQ185" s="365">
        <v>0</v>
      </c>
      <c r="ER185" s="365">
        <v>0</v>
      </c>
      <c r="ES185" s="365">
        <v>0</v>
      </c>
      <c r="ET185" s="365">
        <v>0</v>
      </c>
      <c r="EU185" s="365">
        <v>0</v>
      </c>
      <c r="EV185" s="436">
        <v>0</v>
      </c>
      <c r="EW185" s="436">
        <v>0</v>
      </c>
      <c r="EX185" s="436">
        <v>0</v>
      </c>
      <c r="EY185" s="436">
        <v>0</v>
      </c>
      <c r="EZ185" s="365">
        <v>0</v>
      </c>
      <c r="FA185" s="436">
        <v>0</v>
      </c>
      <c r="FB185" s="436">
        <v>0</v>
      </c>
      <c r="FC185" s="436">
        <v>0</v>
      </c>
      <c r="FD185" s="436">
        <v>0</v>
      </c>
      <c r="FE185" s="365">
        <v>0</v>
      </c>
      <c r="FF185" s="364">
        <v>0</v>
      </c>
      <c r="FG185" s="364">
        <v>0</v>
      </c>
      <c r="FH185" s="364">
        <v>0</v>
      </c>
      <c r="FI185" s="365">
        <v>0</v>
      </c>
      <c r="FJ185" s="365">
        <v>0</v>
      </c>
      <c r="FK185" s="365">
        <v>0</v>
      </c>
      <c r="FL185" s="365">
        <v>0</v>
      </c>
      <c r="FM185" s="365">
        <v>0</v>
      </c>
      <c r="FN185" s="365">
        <v>0</v>
      </c>
      <c r="FO185" s="365">
        <v>0</v>
      </c>
      <c r="FP185" s="365">
        <v>0</v>
      </c>
      <c r="FQ185" s="365">
        <v>0</v>
      </c>
      <c r="FR185" s="365">
        <v>0</v>
      </c>
      <c r="FS185" s="365">
        <v>0</v>
      </c>
      <c r="FT185" s="365">
        <v>0</v>
      </c>
      <c r="FU185" s="436">
        <v>0</v>
      </c>
      <c r="FV185" s="436">
        <v>0</v>
      </c>
      <c r="FW185" s="436">
        <v>0</v>
      </c>
      <c r="FX185" s="436">
        <v>0</v>
      </c>
      <c r="FY185" s="365">
        <v>0</v>
      </c>
      <c r="FZ185" s="436">
        <v>0</v>
      </c>
      <c r="GA185" s="436">
        <v>0</v>
      </c>
      <c r="GB185" s="436">
        <v>0</v>
      </c>
      <c r="GC185" s="436">
        <v>0</v>
      </c>
      <c r="GD185" s="365">
        <v>0</v>
      </c>
    </row>
    <row r="186" spans="1:186" ht="15" x14ac:dyDescent="0.25">
      <c r="A186" s="357">
        <v>101</v>
      </c>
      <c r="B186" s="357">
        <v>93</v>
      </c>
      <c r="C186" s="357" t="s">
        <v>1096</v>
      </c>
      <c r="D186" s="2">
        <v>99709</v>
      </c>
      <c r="E186" s="268" t="s">
        <v>1527</v>
      </c>
      <c r="F186" s="358" t="s">
        <v>985</v>
      </c>
      <c r="G186" s="49">
        <v>31</v>
      </c>
      <c r="H186" s="49">
        <v>12</v>
      </c>
      <c r="I186" s="49">
        <v>12</v>
      </c>
      <c r="J186" s="49">
        <v>0</v>
      </c>
      <c r="K186" s="49">
        <v>0</v>
      </c>
      <c r="L186" s="49">
        <v>48</v>
      </c>
      <c r="M186" s="49">
        <v>48</v>
      </c>
      <c r="N186" s="49">
        <v>0</v>
      </c>
      <c r="O186" s="49">
        <v>0</v>
      </c>
      <c r="P186" s="49">
        <v>0</v>
      </c>
      <c r="Q186" s="49">
        <v>48</v>
      </c>
      <c r="R186" s="49">
        <v>0</v>
      </c>
      <c r="S186" s="49">
        <v>2905.4166666666665</v>
      </c>
      <c r="T186" s="49">
        <v>2905.4166666666665</v>
      </c>
      <c r="U186" s="49">
        <v>0</v>
      </c>
      <c r="V186" s="49">
        <v>0</v>
      </c>
      <c r="W186" s="49">
        <v>0</v>
      </c>
      <c r="X186" s="49">
        <v>2905.4166666666665</v>
      </c>
      <c r="Y186" s="434">
        <v>139460</v>
      </c>
      <c r="Z186" s="434">
        <v>0</v>
      </c>
      <c r="AA186" s="49">
        <v>0</v>
      </c>
      <c r="AB186" s="49">
        <v>12</v>
      </c>
      <c r="AC186" s="49">
        <v>0</v>
      </c>
      <c r="AD186" s="285">
        <v>0</v>
      </c>
      <c r="AE186" s="285">
        <v>0</v>
      </c>
      <c r="AF186" s="359">
        <v>12</v>
      </c>
      <c r="AG186" s="360">
        <v>0</v>
      </c>
      <c r="AH186" s="360">
        <v>12</v>
      </c>
      <c r="AI186" s="361">
        <v>12</v>
      </c>
      <c r="AJ186" s="360">
        <v>0</v>
      </c>
      <c r="AK186" s="360">
        <v>0</v>
      </c>
      <c r="AL186" s="360">
        <v>11.425900740092873</v>
      </c>
      <c r="AM186" s="360">
        <v>11.425900740092873</v>
      </c>
      <c r="AN186" s="360">
        <v>0</v>
      </c>
      <c r="AO186" s="360">
        <v>0</v>
      </c>
      <c r="AP186" s="360">
        <v>11.447455546775716</v>
      </c>
      <c r="AQ186" s="360">
        <v>11.447455546775716</v>
      </c>
      <c r="AR186" s="360">
        <v>0</v>
      </c>
      <c r="AS186" s="360">
        <v>0</v>
      </c>
      <c r="AT186" s="360">
        <v>0</v>
      </c>
      <c r="AU186" s="360">
        <v>10.87926731020457</v>
      </c>
      <c r="AV186" s="360">
        <v>11.149234431625096</v>
      </c>
      <c r="AW186" s="360">
        <v>11.425900740092873</v>
      </c>
      <c r="AX186" s="360">
        <v>11.709432474766421</v>
      </c>
      <c r="AY186" s="360">
        <v>12</v>
      </c>
      <c r="AZ186" s="360">
        <v>10.920353207950507</v>
      </c>
      <c r="BA186" s="360">
        <v>11.180798625460662</v>
      </c>
      <c r="BB186" s="360">
        <v>11.447455546775716</v>
      </c>
      <c r="BC186" s="360">
        <v>11.720472113413717</v>
      </c>
      <c r="BD186" s="360">
        <v>12</v>
      </c>
      <c r="BE186" s="360">
        <v>0</v>
      </c>
      <c r="BF186" s="360">
        <v>0</v>
      </c>
      <c r="BG186" s="360">
        <v>0</v>
      </c>
      <c r="BH186" s="360">
        <v>0</v>
      </c>
      <c r="BI186" s="360">
        <v>0</v>
      </c>
      <c r="BJ186" s="362">
        <v>12.096994961636589</v>
      </c>
      <c r="BK186" s="362">
        <v>12.194773925155085</v>
      </c>
      <c r="BL186" s="362">
        <v>12.293343227574859</v>
      </c>
      <c r="BM186" s="363">
        <v>12.212519889498656</v>
      </c>
      <c r="BN186" s="363">
        <v>12.132227929409453</v>
      </c>
      <c r="BO186" s="363">
        <v>12.093485798681746</v>
      </c>
      <c r="BP186" s="363">
        <v>12.054867384117474</v>
      </c>
      <c r="BQ186" s="363">
        <v>12.01637229065088</v>
      </c>
      <c r="BR186" s="363">
        <v>11.978000124477783</v>
      </c>
      <c r="BS186" s="363">
        <v>11.939750493051546</v>
      </c>
      <c r="BT186" s="363">
        <v>12.028068443364409</v>
      </c>
      <c r="BU186" s="363">
        <v>12.117039678714676</v>
      </c>
      <c r="BV186" s="363">
        <v>12.206669031430756</v>
      </c>
      <c r="BW186" s="363">
        <v>12.296961369585636</v>
      </c>
      <c r="BX186" s="363">
        <v>12.387921597261268</v>
      </c>
      <c r="BY186" s="435">
        <v>12.437855040814821</v>
      </c>
      <c r="BZ186" s="435">
        <v>12.487788484368375</v>
      </c>
      <c r="CA186" s="435">
        <v>12.537721927921927</v>
      </c>
      <c r="CB186" s="435">
        <v>12.587655371475481</v>
      </c>
      <c r="CC186" s="363">
        <v>12.637588815029034</v>
      </c>
      <c r="CD186" s="435">
        <v>12.67851948008968</v>
      </c>
      <c r="CE186" s="435">
        <v>12.719450145150326</v>
      </c>
      <c r="CF186" s="435">
        <v>12.760380810210973</v>
      </c>
      <c r="CG186" s="435">
        <v>12.801311475271619</v>
      </c>
      <c r="CH186" s="363">
        <v>12.842242140332266</v>
      </c>
      <c r="CI186" s="362">
        <v>12.096994961636589</v>
      </c>
      <c r="CJ186" s="362">
        <v>12.194773925155085</v>
      </c>
      <c r="CK186" s="362">
        <v>12.293343227574859</v>
      </c>
      <c r="CL186" s="363">
        <v>12.212519889498656</v>
      </c>
      <c r="CM186" s="363">
        <v>12.132227929409453</v>
      </c>
      <c r="CN186" s="363">
        <v>12.093485798681746</v>
      </c>
      <c r="CO186" s="363">
        <v>12.054867384117474</v>
      </c>
      <c r="CP186" s="363">
        <v>12.01637229065088</v>
      </c>
      <c r="CQ186" s="363">
        <v>11.978000124477783</v>
      </c>
      <c r="CR186" s="363">
        <v>11.939750493051546</v>
      </c>
      <c r="CS186" s="363">
        <v>12.028068443364409</v>
      </c>
      <c r="CT186" s="363">
        <v>12.117039678714676</v>
      </c>
      <c r="CU186" s="363">
        <v>12.206669031430756</v>
      </c>
      <c r="CV186" s="363">
        <v>12.296961369585636</v>
      </c>
      <c r="CW186" s="363">
        <v>12.387921597261268</v>
      </c>
      <c r="CX186" s="435">
        <v>12.437855040814821</v>
      </c>
      <c r="CY186" s="435">
        <v>12.487788484368375</v>
      </c>
      <c r="CZ186" s="435">
        <v>12.537721927921927</v>
      </c>
      <c r="DA186" s="435">
        <v>12.587655371475481</v>
      </c>
      <c r="DB186" s="363">
        <v>12.637588815029034</v>
      </c>
      <c r="DC186" s="435">
        <v>12.67851948008968</v>
      </c>
      <c r="DD186" s="435">
        <v>12.719450145150326</v>
      </c>
      <c r="DE186" s="435">
        <v>12.760380810210973</v>
      </c>
      <c r="DF186" s="435">
        <v>12.801311475271619</v>
      </c>
      <c r="DG186" s="363">
        <v>12.842242140332266</v>
      </c>
      <c r="DH186" s="362">
        <v>0</v>
      </c>
      <c r="DI186" s="362">
        <v>0</v>
      </c>
      <c r="DJ186" s="362">
        <v>0</v>
      </c>
      <c r="DK186" s="363">
        <v>0</v>
      </c>
      <c r="DL186" s="363">
        <v>0</v>
      </c>
      <c r="DM186" s="363">
        <v>0</v>
      </c>
      <c r="DN186" s="363">
        <v>0</v>
      </c>
      <c r="DO186" s="363">
        <v>0</v>
      </c>
      <c r="DP186" s="363">
        <v>0</v>
      </c>
      <c r="DQ186" s="363">
        <v>0</v>
      </c>
      <c r="DR186" s="363">
        <v>0</v>
      </c>
      <c r="DS186" s="363">
        <v>0</v>
      </c>
      <c r="DT186" s="363">
        <v>0</v>
      </c>
      <c r="DU186" s="363">
        <v>0</v>
      </c>
      <c r="DV186" s="363">
        <v>0</v>
      </c>
      <c r="DW186" s="435">
        <v>0</v>
      </c>
      <c r="DX186" s="435">
        <v>0</v>
      </c>
      <c r="DY186" s="435">
        <v>0</v>
      </c>
      <c r="DZ186" s="435">
        <v>0</v>
      </c>
      <c r="EA186" s="363">
        <v>0</v>
      </c>
      <c r="EB186" s="435">
        <v>0</v>
      </c>
      <c r="EC186" s="435">
        <v>0</v>
      </c>
      <c r="ED186" s="435">
        <v>0</v>
      </c>
      <c r="EE186" s="435">
        <v>0</v>
      </c>
      <c r="EF186" s="363">
        <v>0</v>
      </c>
      <c r="EG186" s="364">
        <v>0</v>
      </c>
      <c r="EH186" s="364">
        <v>0</v>
      </c>
      <c r="EI186" s="364">
        <v>0</v>
      </c>
      <c r="EJ186" s="365">
        <v>0</v>
      </c>
      <c r="EK186" s="365">
        <v>0</v>
      </c>
      <c r="EL186" s="365">
        <v>0</v>
      </c>
      <c r="EM186" s="365">
        <v>0</v>
      </c>
      <c r="EN186" s="365">
        <v>0</v>
      </c>
      <c r="EO186" s="365">
        <v>0</v>
      </c>
      <c r="EP186" s="365">
        <v>0</v>
      </c>
      <c r="EQ186" s="365">
        <v>0</v>
      </c>
      <c r="ER186" s="365">
        <v>0</v>
      </c>
      <c r="ES186" s="365">
        <v>0</v>
      </c>
      <c r="ET186" s="365">
        <v>0</v>
      </c>
      <c r="EU186" s="365">
        <v>0</v>
      </c>
      <c r="EV186" s="436">
        <v>0</v>
      </c>
      <c r="EW186" s="436">
        <v>0</v>
      </c>
      <c r="EX186" s="436">
        <v>0</v>
      </c>
      <c r="EY186" s="436">
        <v>0</v>
      </c>
      <c r="EZ186" s="365">
        <v>0</v>
      </c>
      <c r="FA186" s="436">
        <v>0</v>
      </c>
      <c r="FB186" s="436">
        <v>0</v>
      </c>
      <c r="FC186" s="436">
        <v>0</v>
      </c>
      <c r="FD186" s="436">
        <v>0</v>
      </c>
      <c r="FE186" s="365">
        <v>0</v>
      </c>
      <c r="FF186" s="364">
        <v>0</v>
      </c>
      <c r="FG186" s="364">
        <v>0</v>
      </c>
      <c r="FH186" s="364">
        <v>0</v>
      </c>
      <c r="FI186" s="365">
        <v>0</v>
      </c>
      <c r="FJ186" s="365">
        <v>0</v>
      </c>
      <c r="FK186" s="365">
        <v>0</v>
      </c>
      <c r="FL186" s="365">
        <v>0</v>
      </c>
      <c r="FM186" s="365">
        <v>0</v>
      </c>
      <c r="FN186" s="365">
        <v>0</v>
      </c>
      <c r="FO186" s="365">
        <v>0</v>
      </c>
      <c r="FP186" s="365">
        <v>0</v>
      </c>
      <c r="FQ186" s="365">
        <v>0</v>
      </c>
      <c r="FR186" s="365">
        <v>0</v>
      </c>
      <c r="FS186" s="365">
        <v>0</v>
      </c>
      <c r="FT186" s="365">
        <v>0</v>
      </c>
      <c r="FU186" s="436">
        <v>0</v>
      </c>
      <c r="FV186" s="436">
        <v>0</v>
      </c>
      <c r="FW186" s="436">
        <v>0</v>
      </c>
      <c r="FX186" s="436">
        <v>0</v>
      </c>
      <c r="FY186" s="365">
        <v>0</v>
      </c>
      <c r="FZ186" s="436">
        <v>0</v>
      </c>
      <c r="GA186" s="436">
        <v>0</v>
      </c>
      <c r="GB186" s="436">
        <v>0</v>
      </c>
      <c r="GC186" s="436">
        <v>0</v>
      </c>
      <c r="GD186" s="365">
        <v>0</v>
      </c>
    </row>
    <row r="187" spans="1:186" ht="15" x14ac:dyDescent="0.25">
      <c r="A187" s="357">
        <v>102</v>
      </c>
      <c r="B187" s="357">
        <v>93</v>
      </c>
      <c r="C187" s="357" t="s">
        <v>1097</v>
      </c>
      <c r="D187" s="2">
        <v>99709</v>
      </c>
      <c r="E187" s="268" t="s">
        <v>1527</v>
      </c>
      <c r="F187" s="358" t="s">
        <v>985</v>
      </c>
      <c r="G187" s="49">
        <v>407</v>
      </c>
      <c r="H187" s="49">
        <v>201</v>
      </c>
      <c r="I187" s="49">
        <v>179</v>
      </c>
      <c r="J187" s="49">
        <v>22</v>
      </c>
      <c r="K187" s="49">
        <v>0</v>
      </c>
      <c r="L187" s="49">
        <v>75</v>
      </c>
      <c r="M187" s="49">
        <v>75</v>
      </c>
      <c r="N187" s="49">
        <v>0</v>
      </c>
      <c r="O187" s="49">
        <v>0</v>
      </c>
      <c r="P187" s="49">
        <v>0</v>
      </c>
      <c r="Q187" s="49">
        <v>75</v>
      </c>
      <c r="R187" s="49">
        <v>0</v>
      </c>
      <c r="S187" s="49">
        <v>2481.4133333333334</v>
      </c>
      <c r="T187" s="49">
        <v>2481.4133333333334</v>
      </c>
      <c r="U187" s="49">
        <v>0</v>
      </c>
      <c r="V187" s="49">
        <v>0</v>
      </c>
      <c r="W187" s="49">
        <v>0</v>
      </c>
      <c r="X187" s="49">
        <v>2481.4133333333334</v>
      </c>
      <c r="Y187" s="434">
        <v>186106</v>
      </c>
      <c r="Z187" s="434">
        <v>0</v>
      </c>
      <c r="AA187" s="49">
        <v>0</v>
      </c>
      <c r="AB187" s="49">
        <v>201</v>
      </c>
      <c r="AC187" s="49">
        <v>0</v>
      </c>
      <c r="AD187" s="285">
        <v>0</v>
      </c>
      <c r="AE187" s="285">
        <v>0</v>
      </c>
      <c r="AF187" s="359">
        <v>201</v>
      </c>
      <c r="AG187" s="360">
        <v>0</v>
      </c>
      <c r="AH187" s="360">
        <v>179</v>
      </c>
      <c r="AI187" s="361">
        <v>179</v>
      </c>
      <c r="AJ187" s="360">
        <v>0</v>
      </c>
      <c r="AK187" s="360">
        <v>0</v>
      </c>
      <c r="AL187" s="360">
        <v>191.38383739655561</v>
      </c>
      <c r="AM187" s="360">
        <v>191.38383739655561</v>
      </c>
      <c r="AN187" s="360">
        <v>0</v>
      </c>
      <c r="AO187" s="360">
        <v>0</v>
      </c>
      <c r="AP187" s="360">
        <v>170.75787857273775</v>
      </c>
      <c r="AQ187" s="360">
        <v>170.75787857273775</v>
      </c>
      <c r="AR187" s="360">
        <v>0</v>
      </c>
      <c r="AS187" s="360">
        <v>0</v>
      </c>
      <c r="AT187" s="360">
        <v>0</v>
      </c>
      <c r="AU187" s="360">
        <v>182.22772744592655</v>
      </c>
      <c r="AV187" s="360">
        <v>186.74967672972036</v>
      </c>
      <c r="AW187" s="360">
        <v>191.38383739655561</v>
      </c>
      <c r="AX187" s="360">
        <v>196.13299395233756</v>
      </c>
      <c r="AY187" s="360">
        <v>201</v>
      </c>
      <c r="AZ187" s="360">
        <v>162.89526868526175</v>
      </c>
      <c r="BA187" s="360">
        <v>166.78024616312155</v>
      </c>
      <c r="BB187" s="360">
        <v>170.75787857273775</v>
      </c>
      <c r="BC187" s="360">
        <v>174.8303756917546</v>
      </c>
      <c r="BD187" s="360">
        <v>179</v>
      </c>
      <c r="BE187" s="360">
        <v>0</v>
      </c>
      <c r="BF187" s="360">
        <v>0</v>
      </c>
      <c r="BG187" s="360">
        <v>0</v>
      </c>
      <c r="BH187" s="360">
        <v>0</v>
      </c>
      <c r="BI187" s="360">
        <v>0</v>
      </c>
      <c r="BJ187" s="362">
        <v>202.62466560741288</v>
      </c>
      <c r="BK187" s="362">
        <v>204.26246324634766</v>
      </c>
      <c r="BL187" s="362">
        <v>205.91349906187889</v>
      </c>
      <c r="BM187" s="363">
        <v>204.55970814910251</v>
      </c>
      <c r="BN187" s="363">
        <v>203.21481781760835</v>
      </c>
      <c r="BO187" s="363">
        <v>202.56588712791927</v>
      </c>
      <c r="BP187" s="363">
        <v>201.9190286839677</v>
      </c>
      <c r="BQ187" s="363">
        <v>201.27423586840226</v>
      </c>
      <c r="BR187" s="363">
        <v>200.63150208500286</v>
      </c>
      <c r="BS187" s="363">
        <v>199.99082075861341</v>
      </c>
      <c r="BT187" s="363">
        <v>201.47014642635386</v>
      </c>
      <c r="BU187" s="363">
        <v>202.96041461847085</v>
      </c>
      <c r="BV187" s="363">
        <v>204.46170627646518</v>
      </c>
      <c r="BW187" s="363">
        <v>205.97410294055942</v>
      </c>
      <c r="BX187" s="363">
        <v>207.49768675412625</v>
      </c>
      <c r="BY187" s="435">
        <v>208.33407193364826</v>
      </c>
      <c r="BZ187" s="435">
        <v>209.17045711317027</v>
      </c>
      <c r="CA187" s="435">
        <v>210.00684229269231</v>
      </c>
      <c r="CB187" s="435">
        <v>210.84322747221432</v>
      </c>
      <c r="CC187" s="363">
        <v>211.67961265173633</v>
      </c>
      <c r="CD187" s="435">
        <v>212.36520129150216</v>
      </c>
      <c r="CE187" s="435">
        <v>213.05078993126799</v>
      </c>
      <c r="CF187" s="435">
        <v>213.73637857103381</v>
      </c>
      <c r="CG187" s="435">
        <v>214.42196721079964</v>
      </c>
      <c r="CH187" s="363">
        <v>215.10755585056546</v>
      </c>
      <c r="CI187" s="362">
        <v>180.44684151107913</v>
      </c>
      <c r="CJ187" s="362">
        <v>181.90537771689668</v>
      </c>
      <c r="CK187" s="362">
        <v>183.3757031446583</v>
      </c>
      <c r="CL187" s="363">
        <v>182.17008835168826</v>
      </c>
      <c r="CM187" s="363">
        <v>180.97239994702434</v>
      </c>
      <c r="CN187" s="363">
        <v>180.39449649700271</v>
      </c>
      <c r="CO187" s="363">
        <v>179.81843847975233</v>
      </c>
      <c r="CP187" s="363">
        <v>179.24422000220895</v>
      </c>
      <c r="CQ187" s="363">
        <v>178.67183519012693</v>
      </c>
      <c r="CR187" s="363">
        <v>178.10127818801888</v>
      </c>
      <c r="CS187" s="363">
        <v>179.4186876135191</v>
      </c>
      <c r="CT187" s="363">
        <v>180.74584187416059</v>
      </c>
      <c r="CU187" s="363">
        <v>182.08281305217542</v>
      </c>
      <c r="CV187" s="363">
        <v>183.42967376298571</v>
      </c>
      <c r="CW187" s="363">
        <v>184.78649715914725</v>
      </c>
      <c r="CX187" s="435">
        <v>185.53133769215441</v>
      </c>
      <c r="CY187" s="435">
        <v>186.27617822516157</v>
      </c>
      <c r="CZ187" s="435">
        <v>187.02101875816876</v>
      </c>
      <c r="DA187" s="435">
        <v>187.76585929117593</v>
      </c>
      <c r="DB187" s="363">
        <v>188.51069982418309</v>
      </c>
      <c r="DC187" s="435">
        <v>189.12124891133774</v>
      </c>
      <c r="DD187" s="435">
        <v>189.73179799849237</v>
      </c>
      <c r="DE187" s="435">
        <v>190.34234708564702</v>
      </c>
      <c r="DF187" s="435">
        <v>190.95289617280164</v>
      </c>
      <c r="DG187" s="363">
        <v>191.5634452599563</v>
      </c>
      <c r="DH187" s="362">
        <v>0</v>
      </c>
      <c r="DI187" s="362">
        <v>0</v>
      </c>
      <c r="DJ187" s="362">
        <v>0</v>
      </c>
      <c r="DK187" s="363">
        <v>0</v>
      </c>
      <c r="DL187" s="363">
        <v>0</v>
      </c>
      <c r="DM187" s="363">
        <v>0</v>
      </c>
      <c r="DN187" s="363">
        <v>0</v>
      </c>
      <c r="DO187" s="363">
        <v>0</v>
      </c>
      <c r="DP187" s="363">
        <v>0</v>
      </c>
      <c r="DQ187" s="363">
        <v>0</v>
      </c>
      <c r="DR187" s="363">
        <v>0</v>
      </c>
      <c r="DS187" s="363">
        <v>0</v>
      </c>
      <c r="DT187" s="363">
        <v>0</v>
      </c>
      <c r="DU187" s="363">
        <v>0</v>
      </c>
      <c r="DV187" s="363">
        <v>0</v>
      </c>
      <c r="DW187" s="435">
        <v>0</v>
      </c>
      <c r="DX187" s="435">
        <v>0</v>
      </c>
      <c r="DY187" s="435">
        <v>0</v>
      </c>
      <c r="DZ187" s="435">
        <v>0</v>
      </c>
      <c r="EA187" s="363">
        <v>0</v>
      </c>
      <c r="EB187" s="435">
        <v>0</v>
      </c>
      <c r="EC187" s="435">
        <v>0</v>
      </c>
      <c r="ED187" s="435">
        <v>0</v>
      </c>
      <c r="EE187" s="435">
        <v>0</v>
      </c>
      <c r="EF187" s="363">
        <v>0</v>
      </c>
      <c r="EG187" s="364">
        <v>0</v>
      </c>
      <c r="EH187" s="364">
        <v>0</v>
      </c>
      <c r="EI187" s="364">
        <v>0</v>
      </c>
      <c r="EJ187" s="365">
        <v>0</v>
      </c>
      <c r="EK187" s="365">
        <v>0</v>
      </c>
      <c r="EL187" s="365">
        <v>0</v>
      </c>
      <c r="EM187" s="365">
        <v>0</v>
      </c>
      <c r="EN187" s="365">
        <v>0</v>
      </c>
      <c r="EO187" s="365">
        <v>0</v>
      </c>
      <c r="EP187" s="365">
        <v>0</v>
      </c>
      <c r="EQ187" s="365">
        <v>0</v>
      </c>
      <c r="ER187" s="365">
        <v>0</v>
      </c>
      <c r="ES187" s="365">
        <v>0</v>
      </c>
      <c r="ET187" s="365">
        <v>0</v>
      </c>
      <c r="EU187" s="365">
        <v>0</v>
      </c>
      <c r="EV187" s="436">
        <v>0</v>
      </c>
      <c r="EW187" s="436">
        <v>0</v>
      </c>
      <c r="EX187" s="436">
        <v>0</v>
      </c>
      <c r="EY187" s="436">
        <v>0</v>
      </c>
      <c r="EZ187" s="365">
        <v>0</v>
      </c>
      <c r="FA187" s="436">
        <v>0</v>
      </c>
      <c r="FB187" s="436">
        <v>0</v>
      </c>
      <c r="FC187" s="436">
        <v>0</v>
      </c>
      <c r="FD187" s="436">
        <v>0</v>
      </c>
      <c r="FE187" s="365">
        <v>0</v>
      </c>
      <c r="FF187" s="364">
        <v>0</v>
      </c>
      <c r="FG187" s="364">
        <v>0</v>
      </c>
      <c r="FH187" s="364">
        <v>0</v>
      </c>
      <c r="FI187" s="365">
        <v>0</v>
      </c>
      <c r="FJ187" s="365">
        <v>0</v>
      </c>
      <c r="FK187" s="365">
        <v>0</v>
      </c>
      <c r="FL187" s="365">
        <v>0</v>
      </c>
      <c r="FM187" s="365">
        <v>0</v>
      </c>
      <c r="FN187" s="365">
        <v>0</v>
      </c>
      <c r="FO187" s="365">
        <v>0</v>
      </c>
      <c r="FP187" s="365">
        <v>0</v>
      </c>
      <c r="FQ187" s="365">
        <v>0</v>
      </c>
      <c r="FR187" s="365">
        <v>0</v>
      </c>
      <c r="FS187" s="365">
        <v>0</v>
      </c>
      <c r="FT187" s="365">
        <v>0</v>
      </c>
      <c r="FU187" s="436">
        <v>0</v>
      </c>
      <c r="FV187" s="436">
        <v>0</v>
      </c>
      <c r="FW187" s="436">
        <v>0</v>
      </c>
      <c r="FX187" s="436">
        <v>0</v>
      </c>
      <c r="FY187" s="365">
        <v>0</v>
      </c>
      <c r="FZ187" s="436">
        <v>0</v>
      </c>
      <c r="GA187" s="436">
        <v>0</v>
      </c>
      <c r="GB187" s="436">
        <v>0</v>
      </c>
      <c r="GC187" s="436">
        <v>0</v>
      </c>
      <c r="GD187" s="365">
        <v>0</v>
      </c>
    </row>
    <row r="188" spans="1:186" ht="15" x14ac:dyDescent="0.25">
      <c r="A188" s="357">
        <v>103</v>
      </c>
      <c r="B188" s="357">
        <v>93</v>
      </c>
      <c r="C188" s="357" t="s">
        <v>1098</v>
      </c>
      <c r="D188" s="2">
        <v>99709</v>
      </c>
      <c r="E188" s="268" t="s">
        <v>1527</v>
      </c>
      <c r="F188" s="358" t="s">
        <v>985</v>
      </c>
      <c r="G188" s="49">
        <v>36</v>
      </c>
      <c r="H188" s="49">
        <v>17</v>
      </c>
      <c r="I188" s="49">
        <v>16</v>
      </c>
      <c r="J188" s="49">
        <v>1</v>
      </c>
      <c r="K188" s="49">
        <v>1</v>
      </c>
      <c r="L188" s="49">
        <v>103</v>
      </c>
      <c r="M188" s="49">
        <v>104</v>
      </c>
      <c r="N188" s="49">
        <v>2</v>
      </c>
      <c r="O188" s="49">
        <v>0</v>
      </c>
      <c r="P188" s="49">
        <v>0</v>
      </c>
      <c r="Q188" s="49">
        <v>106</v>
      </c>
      <c r="R188" s="49">
        <v>1909</v>
      </c>
      <c r="S188" s="49">
        <v>3238.8155339805826</v>
      </c>
      <c r="T188" s="49">
        <v>3226.0288461538462</v>
      </c>
      <c r="U188" s="49">
        <v>4132</v>
      </c>
      <c r="V188" s="49">
        <v>0</v>
      </c>
      <c r="W188" s="49">
        <v>0</v>
      </c>
      <c r="X188" s="49">
        <v>3243.1226415094338</v>
      </c>
      <c r="Y188" s="434">
        <v>335507</v>
      </c>
      <c r="Z188" s="434">
        <v>8264</v>
      </c>
      <c r="AA188" s="49">
        <v>0.16346153846153846</v>
      </c>
      <c r="AB188" s="49">
        <v>16.83653846153846</v>
      </c>
      <c r="AC188" s="49">
        <v>0</v>
      </c>
      <c r="AD188" s="285">
        <v>2</v>
      </c>
      <c r="AE188" s="285">
        <v>0</v>
      </c>
      <c r="AF188" s="359">
        <v>19</v>
      </c>
      <c r="AG188" s="360">
        <v>0.15384615384615385</v>
      </c>
      <c r="AH188" s="360">
        <v>15.846153846153845</v>
      </c>
      <c r="AI188" s="361">
        <v>15.999999999999998</v>
      </c>
      <c r="AJ188" s="360">
        <v>0</v>
      </c>
      <c r="AK188" s="360">
        <v>0.15564127610703432</v>
      </c>
      <c r="AL188" s="360">
        <v>16.031051439024534</v>
      </c>
      <c r="AM188" s="360">
        <v>16.186692715131567</v>
      </c>
      <c r="AN188" s="360">
        <v>0</v>
      </c>
      <c r="AO188" s="360">
        <v>0.14676225059968867</v>
      </c>
      <c r="AP188" s="360">
        <v>15.116511811767932</v>
      </c>
      <c r="AQ188" s="360">
        <v>15.263274062367621</v>
      </c>
      <c r="AR188" s="360">
        <v>0</v>
      </c>
      <c r="AS188" s="360">
        <v>1.9193314770024816</v>
      </c>
      <c r="AT188" s="360">
        <v>0</v>
      </c>
      <c r="AU188" s="360">
        <v>15.412295356123142</v>
      </c>
      <c r="AV188" s="360">
        <v>15.794748778135553</v>
      </c>
      <c r="AW188" s="360">
        <v>16.186692715131567</v>
      </c>
      <c r="AX188" s="360">
        <v>16.588362672585763</v>
      </c>
      <c r="AY188" s="360">
        <v>17</v>
      </c>
      <c r="AZ188" s="360">
        <v>14.560470943934009</v>
      </c>
      <c r="BA188" s="360">
        <v>14.907731500614215</v>
      </c>
      <c r="BB188" s="360">
        <v>15.26327406236762</v>
      </c>
      <c r="BC188" s="360">
        <v>15.627296151218287</v>
      </c>
      <c r="BD188" s="360">
        <v>15.999999999999998</v>
      </c>
      <c r="BE188" s="360">
        <v>1.8419166593062641</v>
      </c>
      <c r="BF188" s="360">
        <v>1.8802256838533424</v>
      </c>
      <c r="BG188" s="360">
        <v>1.9193314770024816</v>
      </c>
      <c r="BH188" s="360">
        <v>1.9592506103112393</v>
      </c>
      <c r="BI188" s="360">
        <v>2</v>
      </c>
      <c r="BJ188" s="362">
        <v>17.137409528985167</v>
      </c>
      <c r="BK188" s="362">
        <v>17.275929727303037</v>
      </c>
      <c r="BL188" s="362">
        <v>17.415569572397715</v>
      </c>
      <c r="BM188" s="363">
        <v>17.301069843456428</v>
      </c>
      <c r="BN188" s="363">
        <v>17.187322899996722</v>
      </c>
      <c r="BO188" s="363">
        <v>17.132438214799141</v>
      </c>
      <c r="BP188" s="363">
        <v>17.077728794166418</v>
      </c>
      <c r="BQ188" s="363">
        <v>17.023194078422076</v>
      </c>
      <c r="BR188" s="363">
        <v>16.968833509676855</v>
      </c>
      <c r="BS188" s="363">
        <v>16.914646531823021</v>
      </c>
      <c r="BT188" s="363">
        <v>17.039763628099578</v>
      </c>
      <c r="BU188" s="363">
        <v>17.165806211512457</v>
      </c>
      <c r="BV188" s="363">
        <v>17.292781127860238</v>
      </c>
      <c r="BW188" s="363">
        <v>17.42069527357965</v>
      </c>
      <c r="BX188" s="363">
        <v>17.549555596120129</v>
      </c>
      <c r="BY188" s="435">
        <v>17.620294641154331</v>
      </c>
      <c r="BZ188" s="435">
        <v>17.691033686188529</v>
      </c>
      <c r="CA188" s="435">
        <v>17.761772731222731</v>
      </c>
      <c r="CB188" s="435">
        <v>17.832511776256929</v>
      </c>
      <c r="CC188" s="363">
        <v>17.903250821291131</v>
      </c>
      <c r="CD188" s="435">
        <v>17.961235930127046</v>
      </c>
      <c r="CE188" s="435">
        <v>18.019221038962961</v>
      </c>
      <c r="CF188" s="435">
        <v>18.077206147798879</v>
      </c>
      <c r="CG188" s="435">
        <v>18.135191256634794</v>
      </c>
      <c r="CH188" s="363">
        <v>18.193176365470709</v>
      </c>
      <c r="CI188" s="362">
        <v>16.129326615515449</v>
      </c>
      <c r="CJ188" s="362">
        <v>16.259698566873443</v>
      </c>
      <c r="CK188" s="362">
        <v>16.391124303433141</v>
      </c>
      <c r="CL188" s="363">
        <v>16.283359852664869</v>
      </c>
      <c r="CM188" s="363">
        <v>16.176303905879266</v>
      </c>
      <c r="CN188" s="363">
        <v>16.12464773157566</v>
      </c>
      <c r="CO188" s="363">
        <v>16.073156512156629</v>
      </c>
      <c r="CP188" s="363">
        <v>16.021829720867835</v>
      </c>
      <c r="CQ188" s="363">
        <v>15.97066683263704</v>
      </c>
      <c r="CR188" s="363">
        <v>15.919667324068724</v>
      </c>
      <c r="CS188" s="363">
        <v>16.03742459115254</v>
      </c>
      <c r="CT188" s="363">
        <v>16.156052904952897</v>
      </c>
      <c r="CU188" s="363">
        <v>16.275558708574337</v>
      </c>
      <c r="CV188" s="363">
        <v>16.395948492780843</v>
      </c>
      <c r="CW188" s="363">
        <v>16.517228796348356</v>
      </c>
      <c r="CX188" s="435">
        <v>16.583806721086425</v>
      </c>
      <c r="CY188" s="435">
        <v>16.650384645824495</v>
      </c>
      <c r="CZ188" s="435">
        <v>16.716962570562568</v>
      </c>
      <c r="DA188" s="435">
        <v>16.783540495300638</v>
      </c>
      <c r="DB188" s="363">
        <v>16.850118420038708</v>
      </c>
      <c r="DC188" s="435">
        <v>16.904692640119571</v>
      </c>
      <c r="DD188" s="435">
        <v>16.959266860200433</v>
      </c>
      <c r="DE188" s="435">
        <v>17.013841080281292</v>
      </c>
      <c r="DF188" s="435">
        <v>17.068415300362155</v>
      </c>
      <c r="DG188" s="363">
        <v>17.122989520443017</v>
      </c>
      <c r="DH188" s="362">
        <v>2.0161658269394316</v>
      </c>
      <c r="DI188" s="362">
        <v>2.0324623208591808</v>
      </c>
      <c r="DJ188" s="362">
        <v>2.0488905379291431</v>
      </c>
      <c r="DK188" s="363">
        <v>2.0354199815831091</v>
      </c>
      <c r="DL188" s="363">
        <v>2.0220379882349087</v>
      </c>
      <c r="DM188" s="363">
        <v>2.0155809664469579</v>
      </c>
      <c r="DN188" s="363">
        <v>2.0091445640195791</v>
      </c>
      <c r="DO188" s="363">
        <v>2.0027287151084798</v>
      </c>
      <c r="DP188" s="363">
        <v>1.9963333540796304</v>
      </c>
      <c r="DQ188" s="363">
        <v>1.989958415508591</v>
      </c>
      <c r="DR188" s="363">
        <v>2.0046780738940679</v>
      </c>
      <c r="DS188" s="363">
        <v>2.0195066131191126</v>
      </c>
      <c r="DT188" s="363">
        <v>2.0344448385717926</v>
      </c>
      <c r="DU188" s="363">
        <v>2.0494935615976058</v>
      </c>
      <c r="DV188" s="363">
        <v>2.0646535995435449</v>
      </c>
      <c r="DW188" s="435">
        <v>2.0729758401358036</v>
      </c>
      <c r="DX188" s="435">
        <v>2.0812980807280623</v>
      </c>
      <c r="DY188" s="435">
        <v>2.0896203213203215</v>
      </c>
      <c r="DZ188" s="435">
        <v>2.0979425619125802</v>
      </c>
      <c r="EA188" s="363">
        <v>2.1062648025048389</v>
      </c>
      <c r="EB188" s="435">
        <v>2.1130865800149468</v>
      </c>
      <c r="EC188" s="435">
        <v>2.1199083575250546</v>
      </c>
      <c r="ED188" s="435">
        <v>2.126730135035162</v>
      </c>
      <c r="EE188" s="435">
        <v>2.1335519125452698</v>
      </c>
      <c r="EF188" s="363">
        <v>2.1403736900553776</v>
      </c>
      <c r="EG188" s="364">
        <v>0</v>
      </c>
      <c r="EH188" s="364">
        <v>0</v>
      </c>
      <c r="EI188" s="364">
        <v>0</v>
      </c>
      <c r="EJ188" s="365">
        <v>0</v>
      </c>
      <c r="EK188" s="365">
        <v>0</v>
      </c>
      <c r="EL188" s="365">
        <v>0</v>
      </c>
      <c r="EM188" s="365">
        <v>0</v>
      </c>
      <c r="EN188" s="365">
        <v>0</v>
      </c>
      <c r="EO188" s="365">
        <v>0</v>
      </c>
      <c r="EP188" s="365">
        <v>0</v>
      </c>
      <c r="EQ188" s="365">
        <v>0</v>
      </c>
      <c r="ER188" s="365">
        <v>0</v>
      </c>
      <c r="ES188" s="365">
        <v>0</v>
      </c>
      <c r="ET188" s="365">
        <v>0</v>
      </c>
      <c r="EU188" s="365">
        <v>0</v>
      </c>
      <c r="EV188" s="436">
        <v>0</v>
      </c>
      <c r="EW188" s="436">
        <v>0</v>
      </c>
      <c r="EX188" s="436">
        <v>0</v>
      </c>
      <c r="EY188" s="436">
        <v>0</v>
      </c>
      <c r="EZ188" s="365">
        <v>0</v>
      </c>
      <c r="FA188" s="436">
        <v>0</v>
      </c>
      <c r="FB188" s="436">
        <v>0</v>
      </c>
      <c r="FC188" s="436">
        <v>0</v>
      </c>
      <c r="FD188" s="436">
        <v>0</v>
      </c>
      <c r="FE188" s="365">
        <v>0</v>
      </c>
      <c r="FF188" s="364">
        <v>0</v>
      </c>
      <c r="FG188" s="364">
        <v>0</v>
      </c>
      <c r="FH188" s="364">
        <v>0</v>
      </c>
      <c r="FI188" s="365">
        <v>0</v>
      </c>
      <c r="FJ188" s="365">
        <v>0</v>
      </c>
      <c r="FK188" s="365">
        <v>0</v>
      </c>
      <c r="FL188" s="365">
        <v>0</v>
      </c>
      <c r="FM188" s="365">
        <v>0</v>
      </c>
      <c r="FN188" s="365">
        <v>0</v>
      </c>
      <c r="FO188" s="365">
        <v>0</v>
      </c>
      <c r="FP188" s="365">
        <v>0</v>
      </c>
      <c r="FQ188" s="365">
        <v>0</v>
      </c>
      <c r="FR188" s="365">
        <v>0</v>
      </c>
      <c r="FS188" s="365">
        <v>0</v>
      </c>
      <c r="FT188" s="365">
        <v>0</v>
      </c>
      <c r="FU188" s="436">
        <v>0</v>
      </c>
      <c r="FV188" s="436">
        <v>0</v>
      </c>
      <c r="FW188" s="436">
        <v>0</v>
      </c>
      <c r="FX188" s="436">
        <v>0</v>
      </c>
      <c r="FY188" s="365">
        <v>0</v>
      </c>
      <c r="FZ188" s="436">
        <v>0</v>
      </c>
      <c r="GA188" s="436">
        <v>0</v>
      </c>
      <c r="GB188" s="436">
        <v>0</v>
      </c>
      <c r="GC188" s="436">
        <v>0</v>
      </c>
      <c r="GD188" s="365">
        <v>0</v>
      </c>
    </row>
    <row r="189" spans="1:186" ht="15" x14ac:dyDescent="0.25">
      <c r="A189" s="357">
        <v>104</v>
      </c>
      <c r="B189" s="357">
        <v>93</v>
      </c>
      <c r="C189" s="357" t="s">
        <v>1099</v>
      </c>
      <c r="D189" s="2">
        <v>99709</v>
      </c>
      <c r="E189" s="268" t="s">
        <v>1527</v>
      </c>
      <c r="F189" s="358" t="s">
        <v>985</v>
      </c>
      <c r="G189" s="49">
        <v>1012</v>
      </c>
      <c r="H189" s="49">
        <v>428</v>
      </c>
      <c r="I189" s="49">
        <v>392</v>
      </c>
      <c r="J189" s="49">
        <v>36</v>
      </c>
      <c r="K189" s="49">
        <v>2</v>
      </c>
      <c r="L189" s="49">
        <v>251</v>
      </c>
      <c r="M189" s="49">
        <v>253</v>
      </c>
      <c r="N189" s="49">
        <v>22</v>
      </c>
      <c r="O189" s="49">
        <v>0</v>
      </c>
      <c r="P189" s="49">
        <v>0</v>
      </c>
      <c r="Q189" s="49">
        <v>275</v>
      </c>
      <c r="R189" s="49">
        <v>3374.5</v>
      </c>
      <c r="S189" s="49">
        <v>2335.4621513944221</v>
      </c>
      <c r="T189" s="49">
        <v>2343.675889328063</v>
      </c>
      <c r="U189" s="49">
        <v>7944.363636363636</v>
      </c>
      <c r="V189" s="49">
        <v>0</v>
      </c>
      <c r="W189" s="49">
        <v>0</v>
      </c>
      <c r="X189" s="49">
        <v>2791.7309090909089</v>
      </c>
      <c r="Y189" s="434">
        <v>592950</v>
      </c>
      <c r="Z189" s="434">
        <v>174776</v>
      </c>
      <c r="AA189" s="49">
        <v>3.383399209486166</v>
      </c>
      <c r="AB189" s="49">
        <v>424.61660079051381</v>
      </c>
      <c r="AC189" s="49">
        <v>0</v>
      </c>
      <c r="AD189" s="285">
        <v>22</v>
      </c>
      <c r="AE189" s="285">
        <v>0</v>
      </c>
      <c r="AF189" s="359">
        <v>450</v>
      </c>
      <c r="AG189" s="360">
        <v>3.0988142292490117</v>
      </c>
      <c r="AH189" s="360">
        <v>388.90118577075094</v>
      </c>
      <c r="AI189" s="361">
        <v>391.99999999999994</v>
      </c>
      <c r="AJ189" s="360">
        <v>0</v>
      </c>
      <c r="AK189" s="360">
        <v>3.2215319609748021</v>
      </c>
      <c r="AL189" s="360">
        <v>404.30226110233764</v>
      </c>
      <c r="AM189" s="360">
        <v>407.52379306331244</v>
      </c>
      <c r="AN189" s="360">
        <v>0</v>
      </c>
      <c r="AO189" s="360">
        <v>2.9561281780870097</v>
      </c>
      <c r="AP189" s="360">
        <v>370.99408634991966</v>
      </c>
      <c r="AQ189" s="360">
        <v>373.95021452800665</v>
      </c>
      <c r="AR189" s="360">
        <v>0</v>
      </c>
      <c r="AS189" s="360">
        <v>21.1126462470273</v>
      </c>
      <c r="AT189" s="360">
        <v>0</v>
      </c>
      <c r="AU189" s="360">
        <v>388.02720073062966</v>
      </c>
      <c r="AV189" s="360">
        <v>397.6560280612951</v>
      </c>
      <c r="AW189" s="360">
        <v>407.52379306331244</v>
      </c>
      <c r="AX189" s="360">
        <v>417.63642493333566</v>
      </c>
      <c r="AY189" s="360">
        <v>428</v>
      </c>
      <c r="AZ189" s="360">
        <v>356.73153812638321</v>
      </c>
      <c r="BA189" s="360">
        <v>365.23942176504823</v>
      </c>
      <c r="BB189" s="360">
        <v>373.95021452800665</v>
      </c>
      <c r="BC189" s="360">
        <v>382.86875570484801</v>
      </c>
      <c r="BD189" s="360">
        <v>391.99999999999994</v>
      </c>
      <c r="BE189" s="360">
        <v>20.261083252368906</v>
      </c>
      <c r="BF189" s="360">
        <v>20.682482522386767</v>
      </c>
      <c r="BG189" s="360">
        <v>21.1126462470273</v>
      </c>
      <c r="BH189" s="360">
        <v>21.551756713423632</v>
      </c>
      <c r="BI189" s="360">
        <v>22</v>
      </c>
      <c r="BJ189" s="362">
        <v>438.04168447013052</v>
      </c>
      <c r="BK189" s="362">
        <v>448.31896573231171</v>
      </c>
      <c r="BL189" s="362">
        <v>458.8373713301134</v>
      </c>
      <c r="BM189" s="363">
        <v>455.82071692630353</v>
      </c>
      <c r="BN189" s="363">
        <v>452.82389570165611</v>
      </c>
      <c r="BO189" s="363">
        <v>451.37788243303157</v>
      </c>
      <c r="BP189" s="363">
        <v>449.93648675281815</v>
      </c>
      <c r="BQ189" s="363">
        <v>448.49969391556135</v>
      </c>
      <c r="BR189" s="363">
        <v>447.0674892228937</v>
      </c>
      <c r="BS189" s="363">
        <v>445.63985802338459</v>
      </c>
      <c r="BT189" s="363">
        <v>448.93624171760376</v>
      </c>
      <c r="BU189" s="363">
        <v>452.25700865596923</v>
      </c>
      <c r="BV189" s="363">
        <v>455.60233920055362</v>
      </c>
      <c r="BW189" s="363">
        <v>458.97241504756204</v>
      </c>
      <c r="BX189" s="363">
        <v>462.36741923720018</v>
      </c>
      <c r="BY189" s="435">
        <v>464.23113763808084</v>
      </c>
      <c r="BZ189" s="435">
        <v>466.0948560389615</v>
      </c>
      <c r="CA189" s="435">
        <v>467.95857443984215</v>
      </c>
      <c r="CB189" s="435">
        <v>469.82229284072281</v>
      </c>
      <c r="CC189" s="363">
        <v>471.68601124160347</v>
      </c>
      <c r="CD189" s="435">
        <v>473.2137094775963</v>
      </c>
      <c r="CE189" s="435">
        <v>474.74140771358907</v>
      </c>
      <c r="CF189" s="435">
        <v>476.2691059495819</v>
      </c>
      <c r="CG189" s="435">
        <v>477.79680418557467</v>
      </c>
      <c r="CH189" s="363">
        <v>479.3245024215675</v>
      </c>
      <c r="CI189" s="362">
        <v>401.19705680441859</v>
      </c>
      <c r="CJ189" s="362">
        <v>410.60989384828542</v>
      </c>
      <c r="CK189" s="362">
        <v>420.24357374159911</v>
      </c>
      <c r="CL189" s="363">
        <v>417.48065662409101</v>
      </c>
      <c r="CM189" s="363">
        <v>414.73590447441393</v>
      </c>
      <c r="CN189" s="363">
        <v>413.41151849006621</v>
      </c>
      <c r="CO189" s="363">
        <v>412.09136169884272</v>
      </c>
      <c r="CP189" s="363">
        <v>410.77542059556077</v>
      </c>
      <c r="CQ189" s="363">
        <v>409.46368171816425</v>
      </c>
      <c r="CR189" s="363">
        <v>408.15613164758582</v>
      </c>
      <c r="CS189" s="363">
        <v>411.17524942359967</v>
      </c>
      <c r="CT189" s="363">
        <v>414.21669951668207</v>
      </c>
      <c r="CU189" s="363">
        <v>417.28064711826397</v>
      </c>
      <c r="CV189" s="363">
        <v>420.36725864169227</v>
      </c>
      <c r="CW189" s="363">
        <v>423.47670173126738</v>
      </c>
      <c r="CX189" s="435">
        <v>425.18365877132629</v>
      </c>
      <c r="CY189" s="435">
        <v>426.8906158113852</v>
      </c>
      <c r="CZ189" s="435">
        <v>428.59757285144417</v>
      </c>
      <c r="DA189" s="435">
        <v>430.30452989150308</v>
      </c>
      <c r="DB189" s="363">
        <v>432.01148693156199</v>
      </c>
      <c r="DC189" s="435">
        <v>433.41068718508814</v>
      </c>
      <c r="DD189" s="435">
        <v>434.80988743861423</v>
      </c>
      <c r="DE189" s="435">
        <v>436.20908769214037</v>
      </c>
      <c r="DF189" s="435">
        <v>437.60828794566646</v>
      </c>
      <c r="DG189" s="363">
        <v>439.00748819919261</v>
      </c>
      <c r="DH189" s="362">
        <v>22.516161351268394</v>
      </c>
      <c r="DI189" s="362">
        <v>23.04443281801602</v>
      </c>
      <c r="DJ189" s="362">
        <v>23.585098526314241</v>
      </c>
      <c r="DK189" s="363">
        <v>23.43003685135205</v>
      </c>
      <c r="DL189" s="363">
        <v>23.275994638870174</v>
      </c>
      <c r="DM189" s="363">
        <v>23.201666854034332</v>
      </c>
      <c r="DN189" s="363">
        <v>23.12757642187383</v>
      </c>
      <c r="DO189" s="363">
        <v>23.053722584444742</v>
      </c>
      <c r="DP189" s="363">
        <v>22.980104586223511</v>
      </c>
      <c r="DQ189" s="363">
        <v>22.906721674099209</v>
      </c>
      <c r="DR189" s="363">
        <v>23.076161957446924</v>
      </c>
      <c r="DS189" s="363">
        <v>23.246855585119917</v>
      </c>
      <c r="DT189" s="363">
        <v>23.418811828065841</v>
      </c>
      <c r="DU189" s="363">
        <v>23.592040025809265</v>
      </c>
      <c r="DV189" s="363">
        <v>23.766549586958888</v>
      </c>
      <c r="DW189" s="435">
        <v>23.862348196349949</v>
      </c>
      <c r="DX189" s="435">
        <v>23.958146805741013</v>
      </c>
      <c r="DY189" s="435">
        <v>24.053945415132073</v>
      </c>
      <c r="DZ189" s="435">
        <v>24.149744024523137</v>
      </c>
      <c r="EA189" s="363">
        <v>24.245542633914198</v>
      </c>
      <c r="EB189" s="435">
        <v>24.32406917875495</v>
      </c>
      <c r="EC189" s="435">
        <v>24.402595723595702</v>
      </c>
      <c r="ED189" s="435">
        <v>24.481122268436454</v>
      </c>
      <c r="EE189" s="435">
        <v>24.559648813277207</v>
      </c>
      <c r="EF189" s="363">
        <v>24.638175358117959</v>
      </c>
      <c r="EG189" s="364">
        <v>0</v>
      </c>
      <c r="EH189" s="364">
        <v>0</v>
      </c>
      <c r="EI189" s="364">
        <v>0</v>
      </c>
      <c r="EJ189" s="365">
        <v>0</v>
      </c>
      <c r="EK189" s="365">
        <v>0</v>
      </c>
      <c r="EL189" s="365">
        <v>0</v>
      </c>
      <c r="EM189" s="365">
        <v>0</v>
      </c>
      <c r="EN189" s="365">
        <v>0</v>
      </c>
      <c r="EO189" s="365">
        <v>0</v>
      </c>
      <c r="EP189" s="365">
        <v>0</v>
      </c>
      <c r="EQ189" s="365">
        <v>0</v>
      </c>
      <c r="ER189" s="365">
        <v>0</v>
      </c>
      <c r="ES189" s="365">
        <v>0</v>
      </c>
      <c r="ET189" s="365">
        <v>0</v>
      </c>
      <c r="EU189" s="365">
        <v>0</v>
      </c>
      <c r="EV189" s="436">
        <v>0</v>
      </c>
      <c r="EW189" s="436">
        <v>0</v>
      </c>
      <c r="EX189" s="436">
        <v>0</v>
      </c>
      <c r="EY189" s="436">
        <v>0</v>
      </c>
      <c r="EZ189" s="365">
        <v>0</v>
      </c>
      <c r="FA189" s="436">
        <v>0</v>
      </c>
      <c r="FB189" s="436">
        <v>0</v>
      </c>
      <c r="FC189" s="436">
        <v>0</v>
      </c>
      <c r="FD189" s="436">
        <v>0</v>
      </c>
      <c r="FE189" s="365">
        <v>0</v>
      </c>
      <c r="FF189" s="364">
        <v>0</v>
      </c>
      <c r="FG189" s="364">
        <v>0</v>
      </c>
      <c r="FH189" s="364">
        <v>0</v>
      </c>
      <c r="FI189" s="365">
        <v>0</v>
      </c>
      <c r="FJ189" s="365">
        <v>0</v>
      </c>
      <c r="FK189" s="365">
        <v>0</v>
      </c>
      <c r="FL189" s="365">
        <v>0</v>
      </c>
      <c r="FM189" s="365">
        <v>0</v>
      </c>
      <c r="FN189" s="365">
        <v>0</v>
      </c>
      <c r="FO189" s="365">
        <v>0</v>
      </c>
      <c r="FP189" s="365">
        <v>0</v>
      </c>
      <c r="FQ189" s="365">
        <v>0</v>
      </c>
      <c r="FR189" s="365">
        <v>0</v>
      </c>
      <c r="FS189" s="365">
        <v>0</v>
      </c>
      <c r="FT189" s="365">
        <v>0</v>
      </c>
      <c r="FU189" s="436">
        <v>0</v>
      </c>
      <c r="FV189" s="436">
        <v>0</v>
      </c>
      <c r="FW189" s="436">
        <v>0</v>
      </c>
      <c r="FX189" s="436">
        <v>0</v>
      </c>
      <c r="FY189" s="365">
        <v>0</v>
      </c>
      <c r="FZ189" s="436">
        <v>0</v>
      </c>
      <c r="GA189" s="436">
        <v>0</v>
      </c>
      <c r="GB189" s="436">
        <v>0</v>
      </c>
      <c r="GC189" s="436">
        <v>0</v>
      </c>
      <c r="GD189" s="365">
        <v>0</v>
      </c>
    </row>
    <row r="190" spans="1:186" ht="15" x14ac:dyDescent="0.25">
      <c r="A190" s="357">
        <v>105</v>
      </c>
      <c r="B190" s="357">
        <v>93</v>
      </c>
      <c r="C190" s="357" t="s">
        <v>1100</v>
      </c>
      <c r="D190" s="2">
        <v>99709</v>
      </c>
      <c r="E190" s="268" t="s">
        <v>1527</v>
      </c>
      <c r="F190" s="358" t="s">
        <v>985</v>
      </c>
      <c r="G190" s="49">
        <v>115</v>
      </c>
      <c r="H190" s="49">
        <v>46</v>
      </c>
      <c r="I190" s="49">
        <v>42</v>
      </c>
      <c r="J190" s="49">
        <v>4</v>
      </c>
      <c r="K190" s="49">
        <v>0</v>
      </c>
      <c r="L190" s="49">
        <v>21</v>
      </c>
      <c r="M190" s="49">
        <v>21</v>
      </c>
      <c r="N190" s="49">
        <v>16</v>
      </c>
      <c r="O190" s="49">
        <v>0</v>
      </c>
      <c r="P190" s="49">
        <v>0</v>
      </c>
      <c r="Q190" s="49">
        <v>37</v>
      </c>
      <c r="R190" s="49">
        <v>0</v>
      </c>
      <c r="S190" s="49">
        <v>2972.1428571428573</v>
      </c>
      <c r="T190" s="49">
        <v>2972.1428571428573</v>
      </c>
      <c r="U190" s="49">
        <v>32241.4375</v>
      </c>
      <c r="V190" s="49">
        <v>0</v>
      </c>
      <c r="W190" s="49">
        <v>0</v>
      </c>
      <c r="X190" s="49">
        <v>15629.135135135135</v>
      </c>
      <c r="Y190" s="434">
        <v>62415.000000000007</v>
      </c>
      <c r="Z190" s="434">
        <v>515863</v>
      </c>
      <c r="AA190" s="49">
        <v>0</v>
      </c>
      <c r="AB190" s="49">
        <v>46</v>
      </c>
      <c r="AC190" s="49">
        <v>0</v>
      </c>
      <c r="AD190" s="285">
        <v>16</v>
      </c>
      <c r="AE190" s="285">
        <v>0</v>
      </c>
      <c r="AF190" s="359">
        <v>62</v>
      </c>
      <c r="AG190" s="360">
        <v>0</v>
      </c>
      <c r="AH190" s="360">
        <v>42</v>
      </c>
      <c r="AI190" s="361">
        <v>42</v>
      </c>
      <c r="AJ190" s="360">
        <v>0</v>
      </c>
      <c r="AK190" s="360">
        <v>0</v>
      </c>
      <c r="AL190" s="360">
        <v>43.799286170356012</v>
      </c>
      <c r="AM190" s="360">
        <v>43.799286170356012</v>
      </c>
      <c r="AN190" s="360">
        <v>0</v>
      </c>
      <c r="AO190" s="360">
        <v>0</v>
      </c>
      <c r="AP190" s="360">
        <v>40.066094413715007</v>
      </c>
      <c r="AQ190" s="360">
        <v>40.066094413715007</v>
      </c>
      <c r="AR190" s="360">
        <v>0</v>
      </c>
      <c r="AS190" s="360">
        <v>15.354651816019853</v>
      </c>
      <c r="AT190" s="360">
        <v>0</v>
      </c>
      <c r="AU190" s="360">
        <v>41.703858022450852</v>
      </c>
      <c r="AV190" s="360">
        <v>42.738731987896202</v>
      </c>
      <c r="AW190" s="360">
        <v>43.799286170356012</v>
      </c>
      <c r="AX190" s="360">
        <v>44.886157819937942</v>
      </c>
      <c r="AY190" s="360">
        <v>46</v>
      </c>
      <c r="AZ190" s="360">
        <v>38.221236227826779</v>
      </c>
      <c r="BA190" s="360">
        <v>39.132795189112322</v>
      </c>
      <c r="BB190" s="360">
        <v>40.066094413715007</v>
      </c>
      <c r="BC190" s="360">
        <v>41.021652396948006</v>
      </c>
      <c r="BD190" s="360">
        <v>42</v>
      </c>
      <c r="BE190" s="360">
        <v>14.735333274450113</v>
      </c>
      <c r="BF190" s="360">
        <v>15.041805470826739</v>
      </c>
      <c r="BG190" s="360">
        <v>15.354651816019853</v>
      </c>
      <c r="BH190" s="360">
        <v>15.674004882489914</v>
      </c>
      <c r="BI190" s="360">
        <v>16</v>
      </c>
      <c r="BJ190" s="362">
        <v>47.079246461743004</v>
      </c>
      <c r="BK190" s="362">
        <v>48.183814074033499</v>
      </c>
      <c r="BL190" s="362">
        <v>49.31429691865705</v>
      </c>
      <c r="BM190" s="363">
        <v>48.990077052827019</v>
      </c>
      <c r="BN190" s="363">
        <v>48.667988790364909</v>
      </c>
      <c r="BO190" s="363">
        <v>48.512576149344518</v>
      </c>
      <c r="BP190" s="363">
        <v>48.357659791190741</v>
      </c>
      <c r="BQ190" s="363">
        <v>48.203238131111732</v>
      </c>
      <c r="BR190" s="363">
        <v>48.049309589376428</v>
      </c>
      <c r="BS190" s="363">
        <v>47.89587259129835</v>
      </c>
      <c r="BT190" s="363">
        <v>48.250156820116295</v>
      </c>
      <c r="BU190" s="363">
        <v>48.60706167797801</v>
      </c>
      <c r="BV190" s="363">
        <v>48.966606549592214</v>
      </c>
      <c r="BW190" s="363">
        <v>49.328810963055737</v>
      </c>
      <c r="BX190" s="363">
        <v>49.693694590914042</v>
      </c>
      <c r="BY190" s="435">
        <v>49.89400077418626</v>
      </c>
      <c r="BZ190" s="435">
        <v>50.094306957458478</v>
      </c>
      <c r="CA190" s="435">
        <v>50.294613140730704</v>
      </c>
      <c r="CB190" s="435">
        <v>50.494919324002922</v>
      </c>
      <c r="CC190" s="363">
        <v>50.69522550727514</v>
      </c>
      <c r="CD190" s="435">
        <v>50.859417373760351</v>
      </c>
      <c r="CE190" s="435">
        <v>51.023609240245555</v>
      </c>
      <c r="CF190" s="435">
        <v>51.187801106730767</v>
      </c>
      <c r="CG190" s="435">
        <v>51.351992973215971</v>
      </c>
      <c r="CH190" s="363">
        <v>51.516184839701182</v>
      </c>
      <c r="CI190" s="362">
        <v>42.985398943330566</v>
      </c>
      <c r="CJ190" s="362">
        <v>43.993917198030587</v>
      </c>
      <c r="CK190" s="362">
        <v>45.026097186599912</v>
      </c>
      <c r="CL190" s="363">
        <v>44.730070352581187</v>
      </c>
      <c r="CM190" s="363">
        <v>44.435989765115785</v>
      </c>
      <c r="CN190" s="363">
        <v>44.294091266792819</v>
      </c>
      <c r="CO190" s="363">
        <v>44.152645896304584</v>
      </c>
      <c r="CP190" s="363">
        <v>44.011652206667236</v>
      </c>
      <c r="CQ190" s="363">
        <v>43.871108755517611</v>
      </c>
      <c r="CR190" s="363">
        <v>43.731014105098488</v>
      </c>
      <c r="CS190" s="363">
        <v>44.054491009671402</v>
      </c>
      <c r="CT190" s="363">
        <v>44.380360662501658</v>
      </c>
      <c r="CU190" s="363">
        <v>44.708640762671152</v>
      </c>
      <c r="CV190" s="363">
        <v>45.039349140181322</v>
      </c>
      <c r="CW190" s="363">
        <v>45.37250375692151</v>
      </c>
      <c r="CX190" s="435">
        <v>45.555392011213534</v>
      </c>
      <c r="CY190" s="435">
        <v>45.738280265505566</v>
      </c>
      <c r="CZ190" s="435">
        <v>45.92116851979759</v>
      </c>
      <c r="DA190" s="435">
        <v>46.104056774089621</v>
      </c>
      <c r="DB190" s="363">
        <v>46.286945028381645</v>
      </c>
      <c r="DC190" s="435">
        <v>46.436859341259442</v>
      </c>
      <c r="DD190" s="435">
        <v>46.586773654137247</v>
      </c>
      <c r="DE190" s="435">
        <v>46.736687967015044</v>
      </c>
      <c r="DF190" s="435">
        <v>46.886602279892848</v>
      </c>
      <c r="DG190" s="363">
        <v>47.036516592770646</v>
      </c>
      <c r="DH190" s="362">
        <v>16.37539007364974</v>
      </c>
      <c r="DI190" s="362">
        <v>16.759587504011652</v>
      </c>
      <c r="DJ190" s="362">
        <v>17.152798928228538</v>
      </c>
      <c r="DK190" s="363">
        <v>17.040026800983309</v>
      </c>
      <c r="DL190" s="363">
        <v>16.927996100996488</v>
      </c>
      <c r="DM190" s="363">
        <v>16.873939530206787</v>
      </c>
      <c r="DN190" s="363">
        <v>16.820055579544604</v>
      </c>
      <c r="DO190" s="363">
        <v>16.766343697777994</v>
      </c>
      <c r="DP190" s="363">
        <v>16.712803335435279</v>
      </c>
      <c r="DQ190" s="363">
        <v>16.659433944799424</v>
      </c>
      <c r="DR190" s="363">
        <v>16.782663241779581</v>
      </c>
      <c r="DS190" s="363">
        <v>16.906804061905394</v>
      </c>
      <c r="DT190" s="363">
        <v>17.031863147684248</v>
      </c>
      <c r="DU190" s="363">
        <v>17.157847291497646</v>
      </c>
      <c r="DV190" s="363">
        <v>17.284763335970101</v>
      </c>
      <c r="DW190" s="435">
        <v>17.354435051890874</v>
      </c>
      <c r="DX190" s="435">
        <v>17.424106767811647</v>
      </c>
      <c r="DY190" s="435">
        <v>17.493778483732417</v>
      </c>
      <c r="DZ190" s="435">
        <v>17.56345019965319</v>
      </c>
      <c r="EA190" s="363">
        <v>17.633121915573962</v>
      </c>
      <c r="EB190" s="435">
        <v>17.690232130003601</v>
      </c>
      <c r="EC190" s="435">
        <v>17.747342344433239</v>
      </c>
      <c r="ED190" s="435">
        <v>17.804452558862874</v>
      </c>
      <c r="EE190" s="435">
        <v>17.861562773292512</v>
      </c>
      <c r="EF190" s="363">
        <v>17.91867298772215</v>
      </c>
      <c r="EG190" s="364">
        <v>0</v>
      </c>
      <c r="EH190" s="364">
        <v>0</v>
      </c>
      <c r="EI190" s="364">
        <v>0</v>
      </c>
      <c r="EJ190" s="365">
        <v>0</v>
      </c>
      <c r="EK190" s="365">
        <v>0</v>
      </c>
      <c r="EL190" s="365">
        <v>0</v>
      </c>
      <c r="EM190" s="365">
        <v>0</v>
      </c>
      <c r="EN190" s="365">
        <v>0</v>
      </c>
      <c r="EO190" s="365">
        <v>0</v>
      </c>
      <c r="EP190" s="365">
        <v>0</v>
      </c>
      <c r="EQ190" s="365">
        <v>0</v>
      </c>
      <c r="ER190" s="365">
        <v>0</v>
      </c>
      <c r="ES190" s="365">
        <v>0</v>
      </c>
      <c r="ET190" s="365">
        <v>0</v>
      </c>
      <c r="EU190" s="365">
        <v>0</v>
      </c>
      <c r="EV190" s="436">
        <v>0</v>
      </c>
      <c r="EW190" s="436">
        <v>0</v>
      </c>
      <c r="EX190" s="436">
        <v>0</v>
      </c>
      <c r="EY190" s="436">
        <v>0</v>
      </c>
      <c r="EZ190" s="365">
        <v>0</v>
      </c>
      <c r="FA190" s="436">
        <v>0</v>
      </c>
      <c r="FB190" s="436">
        <v>0</v>
      </c>
      <c r="FC190" s="436">
        <v>0</v>
      </c>
      <c r="FD190" s="436">
        <v>0</v>
      </c>
      <c r="FE190" s="365">
        <v>0</v>
      </c>
      <c r="FF190" s="364">
        <v>0</v>
      </c>
      <c r="FG190" s="364">
        <v>0</v>
      </c>
      <c r="FH190" s="364">
        <v>0</v>
      </c>
      <c r="FI190" s="365">
        <v>0</v>
      </c>
      <c r="FJ190" s="365">
        <v>0</v>
      </c>
      <c r="FK190" s="365">
        <v>0</v>
      </c>
      <c r="FL190" s="365">
        <v>0</v>
      </c>
      <c r="FM190" s="365">
        <v>0</v>
      </c>
      <c r="FN190" s="365">
        <v>0</v>
      </c>
      <c r="FO190" s="365">
        <v>0</v>
      </c>
      <c r="FP190" s="365">
        <v>0</v>
      </c>
      <c r="FQ190" s="365">
        <v>0</v>
      </c>
      <c r="FR190" s="365">
        <v>0</v>
      </c>
      <c r="FS190" s="365">
        <v>0</v>
      </c>
      <c r="FT190" s="365">
        <v>0</v>
      </c>
      <c r="FU190" s="436">
        <v>0</v>
      </c>
      <c r="FV190" s="436">
        <v>0</v>
      </c>
      <c r="FW190" s="436">
        <v>0</v>
      </c>
      <c r="FX190" s="436">
        <v>0</v>
      </c>
      <c r="FY190" s="365">
        <v>0</v>
      </c>
      <c r="FZ190" s="436">
        <v>0</v>
      </c>
      <c r="GA190" s="436">
        <v>0</v>
      </c>
      <c r="GB190" s="436">
        <v>0</v>
      </c>
      <c r="GC190" s="436">
        <v>0</v>
      </c>
      <c r="GD190" s="365">
        <v>0</v>
      </c>
    </row>
    <row r="191" spans="1:186" ht="15" x14ac:dyDescent="0.25">
      <c r="A191" s="357">
        <v>106</v>
      </c>
      <c r="B191" s="357">
        <v>93</v>
      </c>
      <c r="C191" s="357" t="s">
        <v>1101</v>
      </c>
      <c r="D191" s="2">
        <v>99709</v>
      </c>
      <c r="E191" s="268" t="s">
        <v>1527</v>
      </c>
      <c r="F191" s="358" t="s">
        <v>985</v>
      </c>
      <c r="G191" s="49">
        <v>1331</v>
      </c>
      <c r="H191" s="49">
        <v>702</v>
      </c>
      <c r="I191" s="49">
        <v>631</v>
      </c>
      <c r="J191" s="49">
        <v>71</v>
      </c>
      <c r="K191" s="49">
        <v>12</v>
      </c>
      <c r="L191" s="49">
        <v>124</v>
      </c>
      <c r="M191" s="49">
        <v>136</v>
      </c>
      <c r="N191" s="49">
        <v>47</v>
      </c>
      <c r="O191" s="49">
        <v>0</v>
      </c>
      <c r="P191" s="49">
        <v>0</v>
      </c>
      <c r="Q191" s="49">
        <v>183</v>
      </c>
      <c r="R191" s="49">
        <v>47279.75</v>
      </c>
      <c r="S191" s="49">
        <v>2468.7177419354839</v>
      </c>
      <c r="T191" s="366">
        <v>1244.2706552706552</v>
      </c>
      <c r="U191" s="49">
        <v>16585.340425531915</v>
      </c>
      <c r="V191" s="49">
        <v>0</v>
      </c>
      <c r="W191" s="49">
        <v>0</v>
      </c>
      <c r="X191" s="366">
        <v>2206.9279038718291</v>
      </c>
      <c r="Y191" s="434">
        <v>169220.80911680911</v>
      </c>
      <c r="Z191" s="434">
        <v>779511</v>
      </c>
      <c r="AA191" s="49">
        <v>61.941176470588232</v>
      </c>
      <c r="AB191" s="49">
        <v>640.05882352941171</v>
      </c>
      <c r="AC191" s="49">
        <v>0</v>
      </c>
      <c r="AD191" s="285">
        <v>47</v>
      </c>
      <c r="AE191" s="285">
        <v>0</v>
      </c>
      <c r="AF191" s="359">
        <v>749</v>
      </c>
      <c r="AG191" s="360">
        <v>55.67647058823529</v>
      </c>
      <c r="AH191" s="360">
        <v>575.32352941176464</v>
      </c>
      <c r="AI191" s="361">
        <v>630.99999999999989</v>
      </c>
      <c r="AJ191" s="360">
        <v>0</v>
      </c>
      <c r="AK191" s="360">
        <v>58.97781117312644</v>
      </c>
      <c r="AL191" s="360">
        <v>609.43738212230653</v>
      </c>
      <c r="AM191" s="360">
        <v>668.41519329543303</v>
      </c>
      <c r="AN191" s="360">
        <v>0</v>
      </c>
      <c r="AO191" s="360">
        <v>53.112826838349086</v>
      </c>
      <c r="AP191" s="360">
        <v>548.8325439962739</v>
      </c>
      <c r="AQ191" s="360">
        <v>601.94537083462296</v>
      </c>
      <c r="AR191" s="360">
        <v>0</v>
      </c>
      <c r="AS191" s="360">
        <v>45.104289709558323</v>
      </c>
      <c r="AT191" s="360">
        <v>0</v>
      </c>
      <c r="AU191" s="360">
        <v>636.43713764696736</v>
      </c>
      <c r="AV191" s="360">
        <v>652.23021425006812</v>
      </c>
      <c r="AW191" s="360">
        <v>668.41519329543303</v>
      </c>
      <c r="AX191" s="360">
        <v>685.00179977383561</v>
      </c>
      <c r="AY191" s="360">
        <v>702</v>
      </c>
      <c r="AZ191" s="360">
        <v>574.22857285139742</v>
      </c>
      <c r="BA191" s="360">
        <v>587.92366105547308</v>
      </c>
      <c r="BB191" s="360">
        <v>601.94537083462296</v>
      </c>
      <c r="BC191" s="360">
        <v>616.30149196367108</v>
      </c>
      <c r="BD191" s="360">
        <v>630.99999999999989</v>
      </c>
      <c r="BE191" s="360">
        <v>43.285041493697207</v>
      </c>
      <c r="BF191" s="360">
        <v>44.185303570553543</v>
      </c>
      <c r="BG191" s="360">
        <v>45.104289709558323</v>
      </c>
      <c r="BH191" s="360">
        <v>46.042389342314124</v>
      </c>
      <c r="BI191" s="360">
        <v>47</v>
      </c>
      <c r="BJ191" s="362">
        <v>715.89236146209851</v>
      </c>
      <c r="BK191" s="362">
        <v>730.05964843273489</v>
      </c>
      <c r="BL191" s="362">
        <v>744.50730160213686</v>
      </c>
      <c r="BM191" s="363">
        <v>739.61249274309375</v>
      </c>
      <c r="BN191" s="363">
        <v>734.74986510472502</v>
      </c>
      <c r="BO191" s="363">
        <v>732.40357096224113</v>
      </c>
      <c r="BP191" s="363">
        <v>730.06476929640087</v>
      </c>
      <c r="BQ191" s="363">
        <v>727.73343618130082</v>
      </c>
      <c r="BR191" s="363">
        <v>725.40954776744115</v>
      </c>
      <c r="BS191" s="363">
        <v>723.09308028148109</v>
      </c>
      <c r="BT191" s="363">
        <v>728.4417765354807</v>
      </c>
      <c r="BU191" s="363">
        <v>733.83003692361149</v>
      </c>
      <c r="BV191" s="363">
        <v>739.25815410050075</v>
      </c>
      <c r="BW191" s="363">
        <v>744.72642288553311</v>
      </c>
      <c r="BX191" s="363">
        <v>750.23514027886188</v>
      </c>
      <c r="BY191" s="435">
        <v>753.25920075057877</v>
      </c>
      <c r="BZ191" s="435">
        <v>756.28326122229578</v>
      </c>
      <c r="CA191" s="435">
        <v>759.30732169401267</v>
      </c>
      <c r="CB191" s="435">
        <v>762.33138216572968</v>
      </c>
      <c r="CC191" s="363">
        <v>765.35544263744657</v>
      </c>
      <c r="CD191" s="435">
        <v>767.83427841327762</v>
      </c>
      <c r="CE191" s="435">
        <v>770.31311418910866</v>
      </c>
      <c r="CF191" s="435">
        <v>772.7919499649397</v>
      </c>
      <c r="CG191" s="435">
        <v>775.27078574077075</v>
      </c>
      <c r="CH191" s="363">
        <v>777.74962151660179</v>
      </c>
      <c r="CI191" s="362">
        <v>643.48729356493459</v>
      </c>
      <c r="CJ191" s="362">
        <v>656.22170678213047</v>
      </c>
      <c r="CK191" s="362">
        <v>669.20813007257584</v>
      </c>
      <c r="CL191" s="363">
        <v>664.8083802291909</v>
      </c>
      <c r="CM191" s="363">
        <v>660.43755681065716</v>
      </c>
      <c r="CN191" s="363">
        <v>658.32856592190035</v>
      </c>
      <c r="CO191" s="363">
        <v>656.22630972368779</v>
      </c>
      <c r="CP191" s="363">
        <v>654.13076670997248</v>
      </c>
      <c r="CQ191" s="363">
        <v>652.04191544338346</v>
      </c>
      <c r="CR191" s="363">
        <v>649.95973455500632</v>
      </c>
      <c r="CS191" s="363">
        <v>654.7674658032596</v>
      </c>
      <c r="CT191" s="363">
        <v>659.61075968489843</v>
      </c>
      <c r="CU191" s="363">
        <v>664.4898792555781</v>
      </c>
      <c r="CV191" s="363">
        <v>669.40508951676816</v>
      </c>
      <c r="CW191" s="363">
        <v>674.35665743014488</v>
      </c>
      <c r="CX191" s="435">
        <v>677.07486563193038</v>
      </c>
      <c r="CY191" s="435">
        <v>679.79307383371577</v>
      </c>
      <c r="CZ191" s="435">
        <v>682.51128203550127</v>
      </c>
      <c r="DA191" s="435">
        <v>685.22949023728665</v>
      </c>
      <c r="DB191" s="363">
        <v>687.94769843907216</v>
      </c>
      <c r="DC191" s="435">
        <v>690.17582575324502</v>
      </c>
      <c r="DD191" s="435">
        <v>692.403953067418</v>
      </c>
      <c r="DE191" s="435">
        <v>694.63208038159087</v>
      </c>
      <c r="DF191" s="435">
        <v>696.86020769576385</v>
      </c>
      <c r="DG191" s="363">
        <v>699.08833500993671</v>
      </c>
      <c r="DH191" s="362">
        <v>47.93011536854506</v>
      </c>
      <c r="DI191" s="362">
        <v>48.878637430681678</v>
      </c>
      <c r="DJ191" s="362">
        <v>49.845930449145911</v>
      </c>
      <c r="DK191" s="363">
        <v>49.51821532610456</v>
      </c>
      <c r="DL191" s="363">
        <v>49.19265478621378</v>
      </c>
      <c r="DM191" s="363">
        <v>49.035566716845203</v>
      </c>
      <c r="DN191" s="363">
        <v>48.87898028052826</v>
      </c>
      <c r="DO191" s="363">
        <v>48.722893875386234</v>
      </c>
      <c r="DP191" s="363">
        <v>48.567305904657736</v>
      </c>
      <c r="DQ191" s="363">
        <v>48.412214776680358</v>
      </c>
      <c r="DR191" s="363">
        <v>48.770318372033607</v>
      </c>
      <c r="DS191" s="363">
        <v>49.131070848162011</v>
      </c>
      <c r="DT191" s="363">
        <v>49.494491798751469</v>
      </c>
      <c r="DU191" s="363">
        <v>49.860600962421728</v>
      </c>
      <c r="DV191" s="363">
        <v>50.22941822379844</v>
      </c>
      <c r="DW191" s="435">
        <v>50.431883810936185</v>
      </c>
      <c r="DX191" s="435">
        <v>50.63434939807393</v>
      </c>
      <c r="DY191" s="435">
        <v>50.836814985211667</v>
      </c>
      <c r="DZ191" s="435">
        <v>51.039280572349412</v>
      </c>
      <c r="EA191" s="363">
        <v>51.241746159487157</v>
      </c>
      <c r="EB191" s="435">
        <v>51.407708098894645</v>
      </c>
      <c r="EC191" s="435">
        <v>51.57367003830214</v>
      </c>
      <c r="ED191" s="435">
        <v>51.739631977709628</v>
      </c>
      <c r="EE191" s="435">
        <v>51.905593917117123</v>
      </c>
      <c r="EF191" s="363">
        <v>52.071555856524611</v>
      </c>
      <c r="EG191" s="364">
        <v>0</v>
      </c>
      <c r="EH191" s="364">
        <v>0</v>
      </c>
      <c r="EI191" s="364">
        <v>0</v>
      </c>
      <c r="EJ191" s="365">
        <v>0</v>
      </c>
      <c r="EK191" s="365">
        <v>0</v>
      </c>
      <c r="EL191" s="365">
        <v>0</v>
      </c>
      <c r="EM191" s="365">
        <v>0</v>
      </c>
      <c r="EN191" s="365">
        <v>0</v>
      </c>
      <c r="EO191" s="365">
        <v>0</v>
      </c>
      <c r="EP191" s="365">
        <v>0</v>
      </c>
      <c r="EQ191" s="365">
        <v>0</v>
      </c>
      <c r="ER191" s="365">
        <v>0</v>
      </c>
      <c r="ES191" s="365">
        <v>0</v>
      </c>
      <c r="ET191" s="365">
        <v>0</v>
      </c>
      <c r="EU191" s="365">
        <v>0</v>
      </c>
      <c r="EV191" s="436">
        <v>0</v>
      </c>
      <c r="EW191" s="436">
        <v>0</v>
      </c>
      <c r="EX191" s="436">
        <v>0</v>
      </c>
      <c r="EY191" s="436">
        <v>0</v>
      </c>
      <c r="EZ191" s="365">
        <v>0</v>
      </c>
      <c r="FA191" s="436">
        <v>0</v>
      </c>
      <c r="FB191" s="436">
        <v>0</v>
      </c>
      <c r="FC191" s="436">
        <v>0</v>
      </c>
      <c r="FD191" s="436">
        <v>0</v>
      </c>
      <c r="FE191" s="365">
        <v>0</v>
      </c>
      <c r="FF191" s="364">
        <v>0</v>
      </c>
      <c r="FG191" s="364">
        <v>0</v>
      </c>
      <c r="FH191" s="364">
        <v>0</v>
      </c>
      <c r="FI191" s="365">
        <v>0</v>
      </c>
      <c r="FJ191" s="365">
        <v>0</v>
      </c>
      <c r="FK191" s="365">
        <v>0</v>
      </c>
      <c r="FL191" s="365">
        <v>0</v>
      </c>
      <c r="FM191" s="365">
        <v>0</v>
      </c>
      <c r="FN191" s="365">
        <v>0</v>
      </c>
      <c r="FO191" s="365">
        <v>0</v>
      </c>
      <c r="FP191" s="365">
        <v>0</v>
      </c>
      <c r="FQ191" s="365">
        <v>0</v>
      </c>
      <c r="FR191" s="365">
        <v>0</v>
      </c>
      <c r="FS191" s="365">
        <v>0</v>
      </c>
      <c r="FT191" s="365">
        <v>0</v>
      </c>
      <c r="FU191" s="436">
        <v>0</v>
      </c>
      <c r="FV191" s="436">
        <v>0</v>
      </c>
      <c r="FW191" s="436">
        <v>0</v>
      </c>
      <c r="FX191" s="436">
        <v>0</v>
      </c>
      <c r="FY191" s="365">
        <v>0</v>
      </c>
      <c r="FZ191" s="436">
        <v>0</v>
      </c>
      <c r="GA191" s="436">
        <v>0</v>
      </c>
      <c r="GB191" s="436">
        <v>0</v>
      </c>
      <c r="GC191" s="436">
        <v>0</v>
      </c>
      <c r="GD191" s="365">
        <v>0</v>
      </c>
    </row>
    <row r="192" spans="1:186" ht="15" x14ac:dyDescent="0.25">
      <c r="A192" s="357">
        <v>107</v>
      </c>
      <c r="B192" s="357">
        <v>93</v>
      </c>
      <c r="C192" s="357" t="s">
        <v>1102</v>
      </c>
      <c r="D192" s="2">
        <v>99709</v>
      </c>
      <c r="E192" s="268" t="s">
        <v>1527</v>
      </c>
      <c r="F192" s="358" t="s">
        <v>985</v>
      </c>
      <c r="G192" s="49">
        <v>1588</v>
      </c>
      <c r="H192" s="49">
        <v>792</v>
      </c>
      <c r="I192" s="49">
        <v>718</v>
      </c>
      <c r="J192" s="49">
        <v>74</v>
      </c>
      <c r="K192" s="49">
        <v>7</v>
      </c>
      <c r="L192" s="49">
        <v>238</v>
      </c>
      <c r="M192" s="49">
        <v>245</v>
      </c>
      <c r="N192" s="49">
        <v>51</v>
      </c>
      <c r="O192" s="49">
        <v>0</v>
      </c>
      <c r="P192" s="49">
        <v>0</v>
      </c>
      <c r="Q192" s="49">
        <v>296</v>
      </c>
      <c r="R192" s="49">
        <v>4707.5714285714284</v>
      </c>
      <c r="S192" s="49">
        <v>2186.3025210084033</v>
      </c>
      <c r="T192" s="49">
        <v>2258.338775510204</v>
      </c>
      <c r="U192" s="49">
        <v>14416.333333333334</v>
      </c>
      <c r="V192" s="49">
        <v>0</v>
      </c>
      <c r="W192" s="49">
        <v>0</v>
      </c>
      <c r="X192" s="49">
        <v>4353.1283783783783</v>
      </c>
      <c r="Y192" s="434">
        <v>553293</v>
      </c>
      <c r="Z192" s="434">
        <v>735233</v>
      </c>
      <c r="AA192" s="49">
        <v>22.62857142857143</v>
      </c>
      <c r="AB192" s="49">
        <v>769.37142857142862</v>
      </c>
      <c r="AC192" s="49">
        <v>0</v>
      </c>
      <c r="AD192" s="285">
        <v>51</v>
      </c>
      <c r="AE192" s="285">
        <v>0</v>
      </c>
      <c r="AF192" s="359">
        <v>843</v>
      </c>
      <c r="AG192" s="360">
        <v>20.514285714285716</v>
      </c>
      <c r="AH192" s="360">
        <v>697.48571428571427</v>
      </c>
      <c r="AI192" s="361">
        <v>718</v>
      </c>
      <c r="AJ192" s="360">
        <v>0</v>
      </c>
      <c r="AK192" s="360">
        <v>21.54598425274656</v>
      </c>
      <c r="AL192" s="360">
        <v>732.56346459338306</v>
      </c>
      <c r="AM192" s="360">
        <v>754.10944884612957</v>
      </c>
      <c r="AN192" s="360">
        <v>0</v>
      </c>
      <c r="AO192" s="360">
        <v>19.569697815678488</v>
      </c>
      <c r="AP192" s="360">
        <v>665.36972573306844</v>
      </c>
      <c r="AQ192" s="360">
        <v>684.93942354874696</v>
      </c>
      <c r="AR192" s="360">
        <v>0</v>
      </c>
      <c r="AS192" s="360">
        <v>48.942952663563283</v>
      </c>
      <c r="AT192" s="360">
        <v>0</v>
      </c>
      <c r="AU192" s="360">
        <v>718.03164247350162</v>
      </c>
      <c r="AV192" s="360">
        <v>735.84947248725632</v>
      </c>
      <c r="AW192" s="360">
        <v>754.10944884612957</v>
      </c>
      <c r="AX192" s="360">
        <v>772.82254333458377</v>
      </c>
      <c r="AY192" s="360">
        <v>792</v>
      </c>
      <c r="AZ192" s="360">
        <v>653.40113360903877</v>
      </c>
      <c r="BA192" s="360">
        <v>668.98445109006298</v>
      </c>
      <c r="BB192" s="360">
        <v>684.93942354874696</v>
      </c>
      <c r="BC192" s="360">
        <v>701.27491478592071</v>
      </c>
      <c r="BD192" s="360">
        <v>718</v>
      </c>
      <c r="BE192" s="360">
        <v>46.968874812309735</v>
      </c>
      <c r="BF192" s="360">
        <v>47.945754938260229</v>
      </c>
      <c r="BG192" s="360">
        <v>48.942952663563283</v>
      </c>
      <c r="BH192" s="360">
        <v>49.960890562936605</v>
      </c>
      <c r="BI192" s="360">
        <v>51</v>
      </c>
      <c r="BJ192" s="362">
        <v>807.67343344441883</v>
      </c>
      <c r="BK192" s="362">
        <v>823.65703925744447</v>
      </c>
      <c r="BL192" s="362">
        <v>839.95695565369283</v>
      </c>
      <c r="BM192" s="363">
        <v>834.4346071973365</v>
      </c>
      <c r="BN192" s="363">
        <v>828.94856575917686</v>
      </c>
      <c r="BO192" s="363">
        <v>826.30146467534894</v>
      </c>
      <c r="BP192" s="363">
        <v>823.66281664209328</v>
      </c>
      <c r="BQ192" s="363">
        <v>821.0325946660829</v>
      </c>
      <c r="BR192" s="363">
        <v>818.41077184018991</v>
      </c>
      <c r="BS192" s="363">
        <v>815.79732134320943</v>
      </c>
      <c r="BT192" s="363">
        <v>821.83174788618339</v>
      </c>
      <c r="BU192" s="363">
        <v>827.91081088817691</v>
      </c>
      <c r="BV192" s="363">
        <v>834.03484052364183</v>
      </c>
      <c r="BW192" s="363">
        <v>840.20416940931932</v>
      </c>
      <c r="BX192" s="363">
        <v>846.4191326223056</v>
      </c>
      <c r="BY192" s="435">
        <v>849.83089315449911</v>
      </c>
      <c r="BZ192" s="435">
        <v>853.24265368669262</v>
      </c>
      <c r="CA192" s="435">
        <v>856.65441421888602</v>
      </c>
      <c r="CB192" s="435">
        <v>860.06617475107953</v>
      </c>
      <c r="CC192" s="363">
        <v>863.47793528327304</v>
      </c>
      <c r="CD192" s="435">
        <v>866.27457051754391</v>
      </c>
      <c r="CE192" s="435">
        <v>869.07120575181489</v>
      </c>
      <c r="CF192" s="435">
        <v>871.86784098608575</v>
      </c>
      <c r="CG192" s="435">
        <v>874.66447622035673</v>
      </c>
      <c r="CH192" s="363">
        <v>877.4611114546276</v>
      </c>
      <c r="CI192" s="362">
        <v>732.20899648117768</v>
      </c>
      <c r="CJ192" s="362">
        <v>746.69918457934989</v>
      </c>
      <c r="CK192" s="362">
        <v>761.47612898908005</v>
      </c>
      <c r="CL192" s="363">
        <v>756.46975753495906</v>
      </c>
      <c r="CM192" s="363">
        <v>751.49630077662744</v>
      </c>
      <c r="CN192" s="363">
        <v>749.09652984457136</v>
      </c>
      <c r="CO192" s="363">
        <v>746.70442215785715</v>
      </c>
      <c r="CP192" s="363">
        <v>744.31995324526201</v>
      </c>
      <c r="CQ192" s="363">
        <v>741.94309871370751</v>
      </c>
      <c r="CR192" s="363">
        <v>739.57383424801048</v>
      </c>
      <c r="CS192" s="363">
        <v>745.04443810893895</v>
      </c>
      <c r="CT192" s="363">
        <v>750.5555078506452</v>
      </c>
      <c r="CU192" s="363">
        <v>756.10734279794792</v>
      </c>
      <c r="CV192" s="363">
        <v>761.70024448976164</v>
      </c>
      <c r="CW192" s="363">
        <v>767.33451669547401</v>
      </c>
      <c r="CX192" s="435">
        <v>770.42750162238679</v>
      </c>
      <c r="CY192" s="435">
        <v>773.52048654929956</v>
      </c>
      <c r="CZ192" s="435">
        <v>776.61347147621234</v>
      </c>
      <c r="DA192" s="435">
        <v>779.70645640312512</v>
      </c>
      <c r="DB192" s="363">
        <v>782.79944133003789</v>
      </c>
      <c r="DC192" s="435">
        <v>785.33477478736938</v>
      </c>
      <c r="DD192" s="435">
        <v>787.87010824470076</v>
      </c>
      <c r="DE192" s="435">
        <v>790.40544170203225</v>
      </c>
      <c r="DF192" s="435">
        <v>792.94077515936362</v>
      </c>
      <c r="DG192" s="363">
        <v>795.47610861669511</v>
      </c>
      <c r="DH192" s="362">
        <v>52.009274123314846</v>
      </c>
      <c r="DI192" s="362">
        <v>53.038521467335443</v>
      </c>
      <c r="DJ192" s="362">
        <v>54.088137295881737</v>
      </c>
      <c r="DK192" s="363">
        <v>53.732531524070914</v>
      </c>
      <c r="DL192" s="363">
        <v>53.37926370418942</v>
      </c>
      <c r="DM192" s="363">
        <v>53.208806437427775</v>
      </c>
      <c r="DN192" s="363">
        <v>53.038893495892367</v>
      </c>
      <c r="DO192" s="363">
        <v>52.869523141376554</v>
      </c>
      <c r="DP192" s="363">
        <v>52.700693641224355</v>
      </c>
      <c r="DQ192" s="363">
        <v>52.532403268312727</v>
      </c>
      <c r="DR192" s="363">
        <v>52.920983765398169</v>
      </c>
      <c r="DS192" s="363">
        <v>53.312438579920489</v>
      </c>
      <c r="DT192" s="363">
        <v>53.706788973113298</v>
      </c>
      <c r="DU192" s="363">
        <v>54.104056363478897</v>
      </c>
      <c r="DV192" s="363">
        <v>54.504262327951501</v>
      </c>
      <c r="DW192" s="435">
        <v>54.723959028888203</v>
      </c>
      <c r="DX192" s="435">
        <v>54.943655729824904</v>
      </c>
      <c r="DY192" s="435">
        <v>55.163352430761606</v>
      </c>
      <c r="DZ192" s="435">
        <v>55.383049131698307</v>
      </c>
      <c r="EA192" s="363">
        <v>55.602745832635009</v>
      </c>
      <c r="EB192" s="435">
        <v>55.782832192417608</v>
      </c>
      <c r="EC192" s="435">
        <v>55.9629185522002</v>
      </c>
      <c r="ED192" s="435">
        <v>56.1430049119828</v>
      </c>
      <c r="EE192" s="435">
        <v>56.323091271765392</v>
      </c>
      <c r="EF192" s="363">
        <v>56.503177631547992</v>
      </c>
      <c r="EG192" s="364">
        <v>0</v>
      </c>
      <c r="EH192" s="364">
        <v>0</v>
      </c>
      <c r="EI192" s="364">
        <v>0</v>
      </c>
      <c r="EJ192" s="365">
        <v>0</v>
      </c>
      <c r="EK192" s="365">
        <v>0</v>
      </c>
      <c r="EL192" s="365">
        <v>0</v>
      </c>
      <c r="EM192" s="365">
        <v>0</v>
      </c>
      <c r="EN192" s="365">
        <v>0</v>
      </c>
      <c r="EO192" s="365">
        <v>0</v>
      </c>
      <c r="EP192" s="365">
        <v>0</v>
      </c>
      <c r="EQ192" s="365">
        <v>0</v>
      </c>
      <c r="ER192" s="365">
        <v>0</v>
      </c>
      <c r="ES192" s="365">
        <v>0</v>
      </c>
      <c r="ET192" s="365">
        <v>0</v>
      </c>
      <c r="EU192" s="365">
        <v>0</v>
      </c>
      <c r="EV192" s="436">
        <v>0</v>
      </c>
      <c r="EW192" s="436">
        <v>0</v>
      </c>
      <c r="EX192" s="436">
        <v>0</v>
      </c>
      <c r="EY192" s="436">
        <v>0</v>
      </c>
      <c r="EZ192" s="365">
        <v>0</v>
      </c>
      <c r="FA192" s="436">
        <v>0</v>
      </c>
      <c r="FB192" s="436">
        <v>0</v>
      </c>
      <c r="FC192" s="436">
        <v>0</v>
      </c>
      <c r="FD192" s="436">
        <v>0</v>
      </c>
      <c r="FE192" s="365">
        <v>0</v>
      </c>
      <c r="FF192" s="364">
        <v>0</v>
      </c>
      <c r="FG192" s="364">
        <v>0</v>
      </c>
      <c r="FH192" s="364">
        <v>0</v>
      </c>
      <c r="FI192" s="365">
        <v>0</v>
      </c>
      <c r="FJ192" s="365">
        <v>0</v>
      </c>
      <c r="FK192" s="365">
        <v>0</v>
      </c>
      <c r="FL192" s="365">
        <v>0</v>
      </c>
      <c r="FM192" s="365">
        <v>0</v>
      </c>
      <c r="FN192" s="365">
        <v>0</v>
      </c>
      <c r="FO192" s="365">
        <v>0</v>
      </c>
      <c r="FP192" s="365">
        <v>0</v>
      </c>
      <c r="FQ192" s="365">
        <v>0</v>
      </c>
      <c r="FR192" s="365">
        <v>0</v>
      </c>
      <c r="FS192" s="365">
        <v>0</v>
      </c>
      <c r="FT192" s="365">
        <v>0</v>
      </c>
      <c r="FU192" s="436">
        <v>0</v>
      </c>
      <c r="FV192" s="436">
        <v>0</v>
      </c>
      <c r="FW192" s="436">
        <v>0</v>
      </c>
      <c r="FX192" s="436">
        <v>0</v>
      </c>
      <c r="FY192" s="365">
        <v>0</v>
      </c>
      <c r="FZ192" s="436">
        <v>0</v>
      </c>
      <c r="GA192" s="436">
        <v>0</v>
      </c>
      <c r="GB192" s="436">
        <v>0</v>
      </c>
      <c r="GC192" s="436">
        <v>0</v>
      </c>
      <c r="GD192" s="365">
        <v>0</v>
      </c>
    </row>
    <row r="193" spans="1:186" ht="15" x14ac:dyDescent="0.25">
      <c r="A193" s="357">
        <v>108</v>
      </c>
      <c r="B193" s="357">
        <v>93</v>
      </c>
      <c r="C193" s="357" t="s">
        <v>1103</v>
      </c>
      <c r="D193" s="2">
        <v>99701</v>
      </c>
      <c r="E193" s="268" t="s">
        <v>1527</v>
      </c>
      <c r="F193" s="358" t="s">
        <v>985</v>
      </c>
      <c r="G193" s="49">
        <v>812</v>
      </c>
      <c r="H193" s="49">
        <v>218</v>
      </c>
      <c r="I193" s="49">
        <v>198</v>
      </c>
      <c r="J193" s="49">
        <v>20</v>
      </c>
      <c r="K193" s="49">
        <v>6</v>
      </c>
      <c r="L193" s="49">
        <v>145</v>
      </c>
      <c r="M193" s="49">
        <v>151</v>
      </c>
      <c r="N193" s="49">
        <v>16</v>
      </c>
      <c r="O193" s="49">
        <v>0</v>
      </c>
      <c r="P193" s="49">
        <v>0</v>
      </c>
      <c r="Q193" s="49">
        <v>167</v>
      </c>
      <c r="R193" s="49">
        <v>6159.333333333333</v>
      </c>
      <c r="S193" s="49">
        <v>2271.7931034482758</v>
      </c>
      <c r="T193" s="49">
        <v>2426.2649006622519</v>
      </c>
      <c r="U193" s="49">
        <v>20159.5</v>
      </c>
      <c r="V193" s="49">
        <v>0</v>
      </c>
      <c r="W193" s="49">
        <v>0</v>
      </c>
      <c r="X193" s="49">
        <v>4125.2574850299397</v>
      </c>
      <c r="Y193" s="434">
        <v>366366.00000000006</v>
      </c>
      <c r="Z193" s="434">
        <v>322552</v>
      </c>
      <c r="AA193" s="49">
        <v>8.6622516556291398</v>
      </c>
      <c r="AB193" s="49">
        <v>209.33774834437085</v>
      </c>
      <c r="AC193" s="49">
        <v>0</v>
      </c>
      <c r="AD193" s="285">
        <v>16</v>
      </c>
      <c r="AE193" s="285">
        <v>0</v>
      </c>
      <c r="AF193" s="359">
        <v>234</v>
      </c>
      <c r="AG193" s="360">
        <v>7.8675496688741724</v>
      </c>
      <c r="AH193" s="360">
        <v>190.13245033112582</v>
      </c>
      <c r="AI193" s="361">
        <v>198</v>
      </c>
      <c r="AJ193" s="360">
        <v>0</v>
      </c>
      <c r="AK193" s="360">
        <v>8.5661008039231792</v>
      </c>
      <c r="AL193" s="360">
        <v>207.01410276147678</v>
      </c>
      <c r="AM193" s="360">
        <v>215.58020356539996</v>
      </c>
      <c r="AN193" s="360">
        <v>0</v>
      </c>
      <c r="AO193" s="360">
        <v>7.7945486913737199</v>
      </c>
      <c r="AP193" s="360">
        <v>188.36826004153156</v>
      </c>
      <c r="AQ193" s="360">
        <v>196.16280873290526</v>
      </c>
      <c r="AR193" s="360">
        <v>0</v>
      </c>
      <c r="AS193" s="360">
        <v>15.917360188525389</v>
      </c>
      <c r="AT193" s="360">
        <v>0</v>
      </c>
      <c r="AU193" s="360">
        <v>213.18726683164812</v>
      </c>
      <c r="AV193" s="360">
        <v>214.38039644780474</v>
      </c>
      <c r="AW193" s="360">
        <v>215.58020356539998</v>
      </c>
      <c r="AX193" s="360">
        <v>216.78672555591865</v>
      </c>
      <c r="AY193" s="360">
        <v>218</v>
      </c>
      <c r="AZ193" s="360">
        <v>194.34266429284028</v>
      </c>
      <c r="BA193" s="360">
        <v>195.2506155798738</v>
      </c>
      <c r="BB193" s="360">
        <v>196.16280873290529</v>
      </c>
      <c r="BC193" s="360">
        <v>197.07926356954769</v>
      </c>
      <c r="BD193" s="360">
        <v>198</v>
      </c>
      <c r="BE193" s="360">
        <v>15.835147210703312</v>
      </c>
      <c r="BF193" s="360">
        <v>15.876200483462277</v>
      </c>
      <c r="BG193" s="360">
        <v>15.917360188525389</v>
      </c>
      <c r="BH193" s="360">
        <v>15.958626601822797</v>
      </c>
      <c r="BI193" s="360">
        <v>16</v>
      </c>
      <c r="BJ193" s="362">
        <v>219.36917062203432</v>
      </c>
      <c r="BK193" s="362">
        <v>220.74694045595965</v>
      </c>
      <c r="BL193" s="362">
        <v>222.13336350997918</v>
      </c>
      <c r="BM193" s="363">
        <v>220.67293410484388</v>
      </c>
      <c r="BN193" s="363">
        <v>219.22210638229097</v>
      </c>
      <c r="BO193" s="363">
        <v>218.52205923898947</v>
      </c>
      <c r="BP193" s="363">
        <v>217.8242475728072</v>
      </c>
      <c r="BQ193" s="363">
        <v>217.12866424514209</v>
      </c>
      <c r="BR193" s="363">
        <v>216.43530214018804</v>
      </c>
      <c r="BS193" s="363">
        <v>215.74415416486198</v>
      </c>
      <c r="BT193" s="363">
        <v>217.34000673304683</v>
      </c>
      <c r="BU193" s="363">
        <v>218.94766377134232</v>
      </c>
      <c r="BV193" s="363">
        <v>220.56721259703414</v>
      </c>
      <c r="BW193" s="363">
        <v>222.19874117329113</v>
      </c>
      <c r="BX193" s="363">
        <v>223.8423381139427</v>
      </c>
      <c r="BY193" s="435">
        <v>224.74460559015751</v>
      </c>
      <c r="BZ193" s="435">
        <v>225.64687306637234</v>
      </c>
      <c r="CA193" s="435">
        <v>226.54914054258714</v>
      </c>
      <c r="CB193" s="435">
        <v>227.45140801880197</v>
      </c>
      <c r="CC193" s="363">
        <v>228.35367549501677</v>
      </c>
      <c r="CD193" s="435">
        <v>229.09326814547069</v>
      </c>
      <c r="CE193" s="435">
        <v>229.8328607959246</v>
      </c>
      <c r="CF193" s="435">
        <v>230.57245344637852</v>
      </c>
      <c r="CG193" s="435">
        <v>231.31204609683243</v>
      </c>
      <c r="CH193" s="363">
        <v>232.05163874728635</v>
      </c>
      <c r="CI193" s="362">
        <v>199.24355863836143</v>
      </c>
      <c r="CJ193" s="362">
        <v>200.49492757009176</v>
      </c>
      <c r="CK193" s="362">
        <v>201.75415584851319</v>
      </c>
      <c r="CL193" s="363">
        <v>200.42771079247288</v>
      </c>
      <c r="CM193" s="363">
        <v>199.10998653070465</v>
      </c>
      <c r="CN193" s="363">
        <v>198.4741638959629</v>
      </c>
      <c r="CO193" s="363">
        <v>197.84037164869645</v>
      </c>
      <c r="CP193" s="363">
        <v>197.20860330522081</v>
      </c>
      <c r="CQ193" s="363">
        <v>196.57885240255612</v>
      </c>
      <c r="CR193" s="363">
        <v>195.95111249836086</v>
      </c>
      <c r="CS193" s="363">
        <v>197.40055657405171</v>
      </c>
      <c r="CT193" s="363">
        <v>198.86072214094395</v>
      </c>
      <c r="CU193" s="363">
        <v>200.33168850556311</v>
      </c>
      <c r="CV193" s="363">
        <v>201.81353556106257</v>
      </c>
      <c r="CW193" s="363">
        <v>203.30634379156263</v>
      </c>
      <c r="CX193" s="435">
        <v>204.12583443509718</v>
      </c>
      <c r="CY193" s="435">
        <v>204.94532507863173</v>
      </c>
      <c r="CZ193" s="435">
        <v>205.7648157221663</v>
      </c>
      <c r="DA193" s="435">
        <v>206.58430636570085</v>
      </c>
      <c r="DB193" s="363">
        <v>207.4037970092354</v>
      </c>
      <c r="DC193" s="435">
        <v>208.07553712295044</v>
      </c>
      <c r="DD193" s="435">
        <v>208.74727723666547</v>
      </c>
      <c r="DE193" s="435">
        <v>209.41901735038047</v>
      </c>
      <c r="DF193" s="435">
        <v>210.0907574640955</v>
      </c>
      <c r="DG193" s="363">
        <v>210.76249757781054</v>
      </c>
      <c r="DH193" s="362">
        <v>16.100489586938298</v>
      </c>
      <c r="DI193" s="362">
        <v>16.201610308694285</v>
      </c>
      <c r="DJ193" s="362">
        <v>16.303366129172783</v>
      </c>
      <c r="DK193" s="363">
        <v>16.196178649896797</v>
      </c>
      <c r="DL193" s="363">
        <v>16.089695881269062</v>
      </c>
      <c r="DM193" s="363">
        <v>16.038316274421245</v>
      </c>
      <c r="DN193" s="363">
        <v>15.987100739288602</v>
      </c>
      <c r="DO193" s="363">
        <v>15.936048751937035</v>
      </c>
      <c r="DP193" s="363">
        <v>15.885159790105543</v>
      </c>
      <c r="DQ193" s="363">
        <v>15.834433333200879</v>
      </c>
      <c r="DR193" s="363">
        <v>15.951560127196098</v>
      </c>
      <c r="DS193" s="363">
        <v>16.069553304318703</v>
      </c>
      <c r="DT193" s="363">
        <v>16.188419273176816</v>
      </c>
      <c r="DU193" s="363">
        <v>16.308164489782836</v>
      </c>
      <c r="DV193" s="363">
        <v>16.428795457904052</v>
      </c>
      <c r="DW193" s="435">
        <v>16.495016924048258</v>
      </c>
      <c r="DX193" s="435">
        <v>16.561238390192464</v>
      </c>
      <c r="DY193" s="435">
        <v>16.627459856336671</v>
      </c>
      <c r="DZ193" s="435">
        <v>16.693681322480877</v>
      </c>
      <c r="EA193" s="363">
        <v>16.759902788625084</v>
      </c>
      <c r="EB193" s="435">
        <v>16.814184818016198</v>
      </c>
      <c r="EC193" s="435">
        <v>16.868466847407309</v>
      </c>
      <c r="ED193" s="435">
        <v>16.922748876798423</v>
      </c>
      <c r="EE193" s="435">
        <v>16.977030906189533</v>
      </c>
      <c r="EF193" s="363">
        <v>17.031312935580647</v>
      </c>
      <c r="EG193" s="364">
        <v>0</v>
      </c>
      <c r="EH193" s="364">
        <v>0</v>
      </c>
      <c r="EI193" s="364">
        <v>0</v>
      </c>
      <c r="EJ193" s="365">
        <v>0</v>
      </c>
      <c r="EK193" s="365">
        <v>0</v>
      </c>
      <c r="EL193" s="365">
        <v>0</v>
      </c>
      <c r="EM193" s="365">
        <v>0</v>
      </c>
      <c r="EN193" s="365">
        <v>0</v>
      </c>
      <c r="EO193" s="365">
        <v>0</v>
      </c>
      <c r="EP193" s="365">
        <v>0</v>
      </c>
      <c r="EQ193" s="365">
        <v>0</v>
      </c>
      <c r="ER193" s="365">
        <v>0</v>
      </c>
      <c r="ES193" s="365">
        <v>0</v>
      </c>
      <c r="ET193" s="365">
        <v>0</v>
      </c>
      <c r="EU193" s="365">
        <v>0</v>
      </c>
      <c r="EV193" s="436">
        <v>0</v>
      </c>
      <c r="EW193" s="436">
        <v>0</v>
      </c>
      <c r="EX193" s="436">
        <v>0</v>
      </c>
      <c r="EY193" s="436">
        <v>0</v>
      </c>
      <c r="EZ193" s="365">
        <v>0</v>
      </c>
      <c r="FA193" s="436">
        <v>0</v>
      </c>
      <c r="FB193" s="436">
        <v>0</v>
      </c>
      <c r="FC193" s="436">
        <v>0</v>
      </c>
      <c r="FD193" s="436">
        <v>0</v>
      </c>
      <c r="FE193" s="365">
        <v>0</v>
      </c>
      <c r="FF193" s="364">
        <v>0</v>
      </c>
      <c r="FG193" s="364">
        <v>0</v>
      </c>
      <c r="FH193" s="364">
        <v>0</v>
      </c>
      <c r="FI193" s="365">
        <v>0</v>
      </c>
      <c r="FJ193" s="365">
        <v>0</v>
      </c>
      <c r="FK193" s="365">
        <v>0</v>
      </c>
      <c r="FL193" s="365">
        <v>0</v>
      </c>
      <c r="FM193" s="365">
        <v>0</v>
      </c>
      <c r="FN193" s="365">
        <v>0</v>
      </c>
      <c r="FO193" s="365">
        <v>0</v>
      </c>
      <c r="FP193" s="365">
        <v>0</v>
      </c>
      <c r="FQ193" s="365">
        <v>0</v>
      </c>
      <c r="FR193" s="365">
        <v>0</v>
      </c>
      <c r="FS193" s="365">
        <v>0</v>
      </c>
      <c r="FT193" s="365">
        <v>0</v>
      </c>
      <c r="FU193" s="436">
        <v>0</v>
      </c>
      <c r="FV193" s="436">
        <v>0</v>
      </c>
      <c r="FW193" s="436">
        <v>0</v>
      </c>
      <c r="FX193" s="436">
        <v>0</v>
      </c>
      <c r="FY193" s="365">
        <v>0</v>
      </c>
      <c r="FZ193" s="436">
        <v>0</v>
      </c>
      <c r="GA193" s="436">
        <v>0</v>
      </c>
      <c r="GB193" s="436">
        <v>0</v>
      </c>
      <c r="GC193" s="436">
        <v>0</v>
      </c>
      <c r="GD193" s="365">
        <v>0</v>
      </c>
    </row>
    <row r="194" spans="1:186" ht="15" x14ac:dyDescent="0.25">
      <c r="A194" s="357">
        <v>109</v>
      </c>
      <c r="B194" s="357">
        <v>93</v>
      </c>
      <c r="C194" s="357" t="s">
        <v>1104</v>
      </c>
      <c r="D194" s="2">
        <v>99701</v>
      </c>
      <c r="E194" s="268" t="s">
        <v>1527</v>
      </c>
      <c r="F194" s="358" t="s">
        <v>985</v>
      </c>
      <c r="G194" s="49">
        <v>2761</v>
      </c>
      <c r="H194" s="49">
        <v>1287</v>
      </c>
      <c r="I194" s="49">
        <v>1159</v>
      </c>
      <c r="J194" s="49">
        <v>128</v>
      </c>
      <c r="K194" s="49">
        <v>83</v>
      </c>
      <c r="L194" s="49">
        <v>402</v>
      </c>
      <c r="M194" s="49">
        <v>485</v>
      </c>
      <c r="N194" s="49">
        <v>57</v>
      </c>
      <c r="O194" s="49">
        <v>0</v>
      </c>
      <c r="P194" s="49">
        <v>0</v>
      </c>
      <c r="Q194" s="49">
        <v>542</v>
      </c>
      <c r="R194" s="49">
        <v>4661.674698795181</v>
      </c>
      <c r="S194" s="49">
        <v>1732.8034825870648</v>
      </c>
      <c r="T194" s="49">
        <v>2234.0329896907215</v>
      </c>
      <c r="U194" s="49">
        <v>6918</v>
      </c>
      <c r="V194" s="49">
        <v>0</v>
      </c>
      <c r="W194" s="49">
        <v>0</v>
      </c>
      <c r="X194" s="49">
        <v>2726.6273062730629</v>
      </c>
      <c r="Y194" s="434">
        <v>1083506</v>
      </c>
      <c r="Z194" s="434">
        <v>394326</v>
      </c>
      <c r="AA194" s="49">
        <v>220.24948453608246</v>
      </c>
      <c r="AB194" s="49">
        <v>1066.7505154639175</v>
      </c>
      <c r="AC194" s="49">
        <v>0</v>
      </c>
      <c r="AD194" s="285">
        <v>57</v>
      </c>
      <c r="AE194" s="285">
        <v>0</v>
      </c>
      <c r="AF194" s="359">
        <v>1344</v>
      </c>
      <c r="AG194" s="360">
        <v>198.3443298969072</v>
      </c>
      <c r="AH194" s="360">
        <v>960.65567010309269</v>
      </c>
      <c r="AI194" s="361">
        <v>1159</v>
      </c>
      <c r="AJ194" s="360">
        <v>0</v>
      </c>
      <c r="AK194" s="360">
        <v>217.80471885992233</v>
      </c>
      <c r="AL194" s="360">
        <v>1054.9096021890216</v>
      </c>
      <c r="AM194" s="360">
        <v>1272.7143210489439</v>
      </c>
      <c r="AN194" s="360">
        <v>0</v>
      </c>
      <c r="AO194" s="360">
        <v>196.50394368092563</v>
      </c>
      <c r="AP194" s="360">
        <v>951.74199228592886</v>
      </c>
      <c r="AQ194" s="360">
        <v>1148.2459359668544</v>
      </c>
      <c r="AR194" s="360">
        <v>0</v>
      </c>
      <c r="AS194" s="360">
        <v>56.705595671621701</v>
      </c>
      <c r="AT194" s="360">
        <v>0</v>
      </c>
      <c r="AU194" s="360">
        <v>1258.5872129006016</v>
      </c>
      <c r="AV194" s="360">
        <v>1265.6310560932327</v>
      </c>
      <c r="AW194" s="360">
        <v>1272.7143210489439</v>
      </c>
      <c r="AX194" s="360">
        <v>1279.8372283966389</v>
      </c>
      <c r="AY194" s="360">
        <v>1287</v>
      </c>
      <c r="AZ194" s="360">
        <v>1137.5916561383933</v>
      </c>
      <c r="BA194" s="360">
        <v>1142.9063810963321</v>
      </c>
      <c r="BB194" s="360">
        <v>1148.2459359668546</v>
      </c>
      <c r="BC194" s="360">
        <v>1153.6104367530595</v>
      </c>
      <c r="BD194" s="360">
        <v>1159</v>
      </c>
      <c r="BE194" s="360">
        <v>56.412711938130549</v>
      </c>
      <c r="BF194" s="360">
        <v>56.55896422233436</v>
      </c>
      <c r="BG194" s="360">
        <v>56.705595671621701</v>
      </c>
      <c r="BH194" s="360">
        <v>56.852607268993715</v>
      </c>
      <c r="BI194" s="360">
        <v>57</v>
      </c>
      <c r="BJ194" s="362">
        <v>1300.35802538853</v>
      </c>
      <c r="BK194" s="362">
        <v>1313.8546963421575</v>
      </c>
      <c r="BL194" s="362">
        <v>1327.4914518903922</v>
      </c>
      <c r="BM194" s="363">
        <v>1318.7637780246905</v>
      </c>
      <c r="BN194" s="363">
        <v>1310.0934847854307</v>
      </c>
      <c r="BO194" s="363">
        <v>1305.9099322385784</v>
      </c>
      <c r="BP194" s="363">
        <v>1301.739739129137</v>
      </c>
      <c r="BQ194" s="363">
        <v>1297.5828627960984</v>
      </c>
      <c r="BR194" s="363">
        <v>1293.4392607146854</v>
      </c>
      <c r="BS194" s="363">
        <v>1289.3088904959159</v>
      </c>
      <c r="BT194" s="363">
        <v>1298.8458668837407</v>
      </c>
      <c r="BU194" s="363">
        <v>1308.4533879791154</v>
      </c>
      <c r="BV194" s="363">
        <v>1318.131975598973</v>
      </c>
      <c r="BW194" s="363">
        <v>1327.8821554201088</v>
      </c>
      <c r="BX194" s="363">
        <v>1337.7044570077321</v>
      </c>
      <c r="BY194" s="435">
        <v>1343.0964987211782</v>
      </c>
      <c r="BZ194" s="435">
        <v>1348.4885404346242</v>
      </c>
      <c r="CA194" s="435">
        <v>1353.8805821480703</v>
      </c>
      <c r="CB194" s="435">
        <v>1359.2726238615162</v>
      </c>
      <c r="CC194" s="363">
        <v>1364.6646655749623</v>
      </c>
      <c r="CD194" s="435">
        <v>1369.0845460730777</v>
      </c>
      <c r="CE194" s="435">
        <v>1373.5044265711931</v>
      </c>
      <c r="CF194" s="435">
        <v>1377.9243070693085</v>
      </c>
      <c r="CG194" s="435">
        <v>1382.3441875674239</v>
      </c>
      <c r="CH194" s="363">
        <v>1386.7640680655393</v>
      </c>
      <c r="CI194" s="362">
        <v>1171.0294882869514</v>
      </c>
      <c r="CJ194" s="362">
        <v>1183.1838329918885</v>
      </c>
      <c r="CK194" s="362">
        <v>1195.4643300240596</v>
      </c>
      <c r="CL194" s="363">
        <v>1187.6046765583656</v>
      </c>
      <c r="CM194" s="363">
        <v>1179.7966968658232</v>
      </c>
      <c r="CN194" s="363">
        <v>1176.0292241371503</v>
      </c>
      <c r="CO194" s="363">
        <v>1172.2737821683527</v>
      </c>
      <c r="CP194" s="363">
        <v>1168.5303325413195</v>
      </c>
      <c r="CQ194" s="363">
        <v>1164.7988369606219</v>
      </c>
      <c r="CR194" s="363">
        <v>1161.0792572531209</v>
      </c>
      <c r="CS194" s="363">
        <v>1169.6677231688077</v>
      </c>
      <c r="CT194" s="363">
        <v>1178.3197176905942</v>
      </c>
      <c r="CU194" s="363">
        <v>1187.0357107375366</v>
      </c>
      <c r="CV194" s="363">
        <v>1195.8161757046669</v>
      </c>
      <c r="CW194" s="363">
        <v>1204.6615894887036</v>
      </c>
      <c r="CX194" s="435">
        <v>1209.5173597652258</v>
      </c>
      <c r="CY194" s="435">
        <v>1214.3731300417478</v>
      </c>
      <c r="CZ194" s="435">
        <v>1219.22890031827</v>
      </c>
      <c r="DA194" s="435">
        <v>1224.084670594792</v>
      </c>
      <c r="DB194" s="363">
        <v>1228.9404408713142</v>
      </c>
      <c r="DC194" s="435">
        <v>1232.920737295025</v>
      </c>
      <c r="DD194" s="435">
        <v>1236.9010337187358</v>
      </c>
      <c r="DE194" s="435">
        <v>1240.8813301424464</v>
      </c>
      <c r="DF194" s="435">
        <v>1244.8616265661572</v>
      </c>
      <c r="DG194" s="363">
        <v>1248.841922989868</v>
      </c>
      <c r="DH194" s="362">
        <v>57.591614178046783</v>
      </c>
      <c r="DI194" s="362">
        <v>58.189368835666656</v>
      </c>
      <c r="DJ194" s="362">
        <v>58.793327706101287</v>
      </c>
      <c r="DK194" s="363">
        <v>58.406787371722885</v>
      </c>
      <c r="DL194" s="363">
        <v>58.022788370450314</v>
      </c>
      <c r="DM194" s="363">
        <v>57.837502826417229</v>
      </c>
      <c r="DN194" s="363">
        <v>57.65280895909931</v>
      </c>
      <c r="DO194" s="363">
        <v>57.468704879081287</v>
      </c>
      <c r="DP194" s="363">
        <v>57.285188702981408</v>
      </c>
      <c r="DQ194" s="363">
        <v>57.102258553432172</v>
      </c>
      <c r="DR194" s="363">
        <v>57.524642123056111</v>
      </c>
      <c r="DS194" s="363">
        <v>57.950150050357095</v>
      </c>
      <c r="DT194" s="363">
        <v>58.378805446108359</v>
      </c>
      <c r="DU194" s="363">
        <v>58.810631592032792</v>
      </c>
      <c r="DV194" s="363">
        <v>59.24565194206739</v>
      </c>
      <c r="DW194" s="435">
        <v>59.484460316322576</v>
      </c>
      <c r="DX194" s="435">
        <v>59.723268690577761</v>
      </c>
      <c r="DY194" s="435">
        <v>59.962077064832954</v>
      </c>
      <c r="DZ194" s="435">
        <v>60.20088543908814</v>
      </c>
      <c r="EA194" s="363">
        <v>60.439693813343325</v>
      </c>
      <c r="EB194" s="435">
        <v>60.635446096476642</v>
      </c>
      <c r="EC194" s="435">
        <v>60.831198379609958</v>
      </c>
      <c r="ED194" s="435">
        <v>61.026950662743268</v>
      </c>
      <c r="EE194" s="435">
        <v>61.222702945876584</v>
      </c>
      <c r="EF194" s="363">
        <v>61.418455229009901</v>
      </c>
      <c r="EG194" s="364">
        <v>0</v>
      </c>
      <c r="EH194" s="364">
        <v>0</v>
      </c>
      <c r="EI194" s="364">
        <v>0</v>
      </c>
      <c r="EJ194" s="365">
        <v>0</v>
      </c>
      <c r="EK194" s="365">
        <v>0</v>
      </c>
      <c r="EL194" s="365">
        <v>0</v>
      </c>
      <c r="EM194" s="365">
        <v>0</v>
      </c>
      <c r="EN194" s="365">
        <v>0</v>
      </c>
      <c r="EO194" s="365">
        <v>0</v>
      </c>
      <c r="EP194" s="365">
        <v>0</v>
      </c>
      <c r="EQ194" s="365">
        <v>0</v>
      </c>
      <c r="ER194" s="365">
        <v>0</v>
      </c>
      <c r="ES194" s="365">
        <v>0</v>
      </c>
      <c r="ET194" s="365">
        <v>0</v>
      </c>
      <c r="EU194" s="365">
        <v>0</v>
      </c>
      <c r="EV194" s="436">
        <v>0</v>
      </c>
      <c r="EW194" s="436">
        <v>0</v>
      </c>
      <c r="EX194" s="436">
        <v>0</v>
      </c>
      <c r="EY194" s="436">
        <v>0</v>
      </c>
      <c r="EZ194" s="365">
        <v>0</v>
      </c>
      <c r="FA194" s="436">
        <v>0</v>
      </c>
      <c r="FB194" s="436">
        <v>0</v>
      </c>
      <c r="FC194" s="436">
        <v>0</v>
      </c>
      <c r="FD194" s="436">
        <v>0</v>
      </c>
      <c r="FE194" s="365">
        <v>0</v>
      </c>
      <c r="FF194" s="364">
        <v>0</v>
      </c>
      <c r="FG194" s="364">
        <v>0</v>
      </c>
      <c r="FH194" s="364">
        <v>0</v>
      </c>
      <c r="FI194" s="365">
        <v>0</v>
      </c>
      <c r="FJ194" s="365">
        <v>0</v>
      </c>
      <c r="FK194" s="365">
        <v>0</v>
      </c>
      <c r="FL194" s="365">
        <v>0</v>
      </c>
      <c r="FM194" s="365">
        <v>0</v>
      </c>
      <c r="FN194" s="365">
        <v>0</v>
      </c>
      <c r="FO194" s="365">
        <v>0</v>
      </c>
      <c r="FP194" s="365">
        <v>0</v>
      </c>
      <c r="FQ194" s="365">
        <v>0</v>
      </c>
      <c r="FR194" s="365">
        <v>0</v>
      </c>
      <c r="FS194" s="365">
        <v>0</v>
      </c>
      <c r="FT194" s="365">
        <v>0</v>
      </c>
      <c r="FU194" s="436">
        <v>0</v>
      </c>
      <c r="FV194" s="436">
        <v>0</v>
      </c>
      <c r="FW194" s="436">
        <v>0</v>
      </c>
      <c r="FX194" s="436">
        <v>0</v>
      </c>
      <c r="FY194" s="365">
        <v>0</v>
      </c>
      <c r="FZ194" s="436">
        <v>0</v>
      </c>
      <c r="GA194" s="436">
        <v>0</v>
      </c>
      <c r="GB194" s="436">
        <v>0</v>
      </c>
      <c r="GC194" s="436">
        <v>0</v>
      </c>
      <c r="GD194" s="365">
        <v>0</v>
      </c>
    </row>
    <row r="195" spans="1:186" ht="15" x14ac:dyDescent="0.25">
      <c r="A195" s="357">
        <v>110</v>
      </c>
      <c r="B195" s="357">
        <v>93</v>
      </c>
      <c r="C195" s="357" t="s">
        <v>1105</v>
      </c>
      <c r="D195" s="2">
        <v>99703</v>
      </c>
      <c r="E195" s="268" t="s">
        <v>1527</v>
      </c>
      <c r="F195" s="358" t="s">
        <v>985</v>
      </c>
      <c r="G195" s="49">
        <v>2965</v>
      </c>
      <c r="H195" s="49">
        <v>968</v>
      </c>
      <c r="I195" s="49">
        <v>869</v>
      </c>
      <c r="J195" s="49">
        <v>99</v>
      </c>
      <c r="K195" s="49">
        <v>10</v>
      </c>
      <c r="L195" s="49">
        <v>84</v>
      </c>
      <c r="M195" s="49">
        <v>94</v>
      </c>
      <c r="N195" s="49">
        <v>19</v>
      </c>
      <c r="O195" s="49">
        <v>0</v>
      </c>
      <c r="P195" s="49">
        <v>0</v>
      </c>
      <c r="Q195" s="49">
        <v>113</v>
      </c>
      <c r="R195" s="49">
        <v>3289.3</v>
      </c>
      <c r="S195" s="49">
        <v>2072.6309523809523</v>
      </c>
      <c r="T195" s="49">
        <v>2202.0638297872342</v>
      </c>
      <c r="U195" s="49">
        <v>7256.8421052631575</v>
      </c>
      <c r="V195" s="49">
        <v>0</v>
      </c>
      <c r="W195" s="49">
        <v>0</v>
      </c>
      <c r="X195" s="49">
        <v>3051.9823008849557</v>
      </c>
      <c r="Y195" s="434">
        <v>206994.00000000003</v>
      </c>
      <c r="Z195" s="434">
        <v>137880</v>
      </c>
      <c r="AA195" s="49">
        <v>102.97872340425532</v>
      </c>
      <c r="AB195" s="49">
        <v>865.02127659574467</v>
      </c>
      <c r="AC195" s="49">
        <v>0</v>
      </c>
      <c r="AD195" s="285">
        <v>19</v>
      </c>
      <c r="AE195" s="285">
        <v>0</v>
      </c>
      <c r="AF195" s="359">
        <v>987</v>
      </c>
      <c r="AG195" s="360">
        <v>92.446808510638292</v>
      </c>
      <c r="AH195" s="360">
        <v>776.55319148936167</v>
      </c>
      <c r="AI195" s="361">
        <v>869</v>
      </c>
      <c r="AJ195" s="360">
        <v>0</v>
      </c>
      <c r="AK195" s="360">
        <v>100.99317528136152</v>
      </c>
      <c r="AL195" s="360">
        <v>848.34267236343669</v>
      </c>
      <c r="AM195" s="360">
        <v>949.33584764479815</v>
      </c>
      <c r="AN195" s="360">
        <v>0</v>
      </c>
      <c r="AO195" s="360">
        <v>92.74361052829876</v>
      </c>
      <c r="AP195" s="360">
        <v>779.04632843770958</v>
      </c>
      <c r="AQ195" s="360">
        <v>871.78993896600832</v>
      </c>
      <c r="AR195" s="360">
        <v>0</v>
      </c>
      <c r="AS195" s="360">
        <v>18.630295999769469</v>
      </c>
      <c r="AT195" s="360">
        <v>0</v>
      </c>
      <c r="AU195" s="360">
        <v>931.03156159449111</v>
      </c>
      <c r="AV195" s="360">
        <v>940.13915816243207</v>
      </c>
      <c r="AW195" s="360">
        <v>949.33584764479815</v>
      </c>
      <c r="AX195" s="360">
        <v>958.62250157200288</v>
      </c>
      <c r="AY195" s="360">
        <v>968</v>
      </c>
      <c r="AZ195" s="360">
        <v>874.58883507751057</v>
      </c>
      <c r="BA195" s="360">
        <v>873.18826558341664</v>
      </c>
      <c r="BB195" s="360">
        <v>871.78993896600844</v>
      </c>
      <c r="BC195" s="360">
        <v>870.39385163353575</v>
      </c>
      <c r="BD195" s="360">
        <v>869</v>
      </c>
      <c r="BE195" s="360">
        <v>18.267785738896119</v>
      </c>
      <c r="BF195" s="360">
        <v>18.448150464911166</v>
      </c>
      <c r="BG195" s="360">
        <v>18.630295999769469</v>
      </c>
      <c r="BH195" s="360">
        <v>18.814239926067167</v>
      </c>
      <c r="BI195" s="360">
        <v>19</v>
      </c>
      <c r="BJ195" s="362">
        <v>972.02220893955621</v>
      </c>
      <c r="BK195" s="362">
        <v>976.06113085922948</v>
      </c>
      <c r="BL195" s="362">
        <v>980.11683520436929</v>
      </c>
      <c r="BM195" s="363">
        <v>973.67299703443905</v>
      </c>
      <c r="BN195" s="363">
        <v>967.27152427327303</v>
      </c>
      <c r="BO195" s="363">
        <v>964.18271321065333</v>
      </c>
      <c r="BP195" s="363">
        <v>961.10376572154041</v>
      </c>
      <c r="BQ195" s="363">
        <v>958.03465030835127</v>
      </c>
      <c r="BR195" s="363">
        <v>954.97533557408497</v>
      </c>
      <c r="BS195" s="363">
        <v>951.92579022200164</v>
      </c>
      <c r="BT195" s="363">
        <v>958.96715467021897</v>
      </c>
      <c r="BU195" s="363">
        <v>966.06060386474951</v>
      </c>
      <c r="BV195" s="363">
        <v>973.20652307478599</v>
      </c>
      <c r="BW195" s="363">
        <v>980.40530041934585</v>
      </c>
      <c r="BX195" s="363">
        <v>987.65732688834873</v>
      </c>
      <c r="BY195" s="435">
        <v>991.6383927189022</v>
      </c>
      <c r="BZ195" s="435">
        <v>995.61945854945566</v>
      </c>
      <c r="CA195" s="435">
        <v>999.60052438000923</v>
      </c>
      <c r="CB195" s="435">
        <v>1003.5815902105627</v>
      </c>
      <c r="CC195" s="363">
        <v>1007.5626560411162</v>
      </c>
      <c r="CD195" s="435">
        <v>1010.8259533524664</v>
      </c>
      <c r="CE195" s="435">
        <v>1014.0892506638166</v>
      </c>
      <c r="CF195" s="435">
        <v>1017.3525479751669</v>
      </c>
      <c r="CG195" s="435">
        <v>1020.6158452865171</v>
      </c>
      <c r="CH195" s="363">
        <v>1023.8791425978674</v>
      </c>
      <c r="CI195" s="362">
        <v>872.61084666164697</v>
      </c>
      <c r="CJ195" s="362">
        <v>876.23669702135373</v>
      </c>
      <c r="CK195" s="362">
        <v>879.87761342210433</v>
      </c>
      <c r="CL195" s="363">
        <v>874.09280415591695</v>
      </c>
      <c r="CM195" s="363">
        <v>868.34602747259748</v>
      </c>
      <c r="CN195" s="363">
        <v>865.57311754138209</v>
      </c>
      <c r="CO195" s="363">
        <v>862.8090624091102</v>
      </c>
      <c r="CP195" s="363">
        <v>860.05383379954264</v>
      </c>
      <c r="CQ195" s="363">
        <v>857.30740352673547</v>
      </c>
      <c r="CR195" s="363">
        <v>854.56974349475149</v>
      </c>
      <c r="CS195" s="363">
        <v>860.89096839712852</v>
      </c>
      <c r="CT195" s="363">
        <v>867.25895119676386</v>
      </c>
      <c r="CU195" s="363">
        <v>873.67403776031938</v>
      </c>
      <c r="CV195" s="363">
        <v>880.13657651282188</v>
      </c>
      <c r="CW195" s="363">
        <v>886.64691845658581</v>
      </c>
      <c r="CX195" s="435">
        <v>890.22082982719633</v>
      </c>
      <c r="CY195" s="435">
        <v>893.79474119780684</v>
      </c>
      <c r="CZ195" s="435">
        <v>897.36865256841747</v>
      </c>
      <c r="DA195" s="435">
        <v>900.94256393902799</v>
      </c>
      <c r="DB195" s="363">
        <v>904.51647530963851</v>
      </c>
      <c r="DC195" s="435">
        <v>907.44602630505517</v>
      </c>
      <c r="DD195" s="435">
        <v>910.37557730047183</v>
      </c>
      <c r="DE195" s="435">
        <v>913.30512829588861</v>
      </c>
      <c r="DF195" s="435">
        <v>916.23467929130527</v>
      </c>
      <c r="DG195" s="363">
        <v>919.16423028672193</v>
      </c>
      <c r="DH195" s="362">
        <v>19.078948315962364</v>
      </c>
      <c r="DI195" s="362">
        <v>19.15822467595595</v>
      </c>
      <c r="DJ195" s="362">
        <v>19.237830443060968</v>
      </c>
      <c r="DK195" s="363">
        <v>19.111350148403247</v>
      </c>
      <c r="DL195" s="363">
        <v>18.985701406190277</v>
      </c>
      <c r="DM195" s="363">
        <v>18.925073916324809</v>
      </c>
      <c r="DN195" s="363">
        <v>18.864640029658336</v>
      </c>
      <c r="DO195" s="363">
        <v>18.804399127953175</v>
      </c>
      <c r="DP195" s="363">
        <v>18.744350594945882</v>
      </c>
      <c r="DQ195" s="363">
        <v>18.68449381634094</v>
      </c>
      <c r="DR195" s="363">
        <v>18.822702416047687</v>
      </c>
      <c r="DS195" s="363">
        <v>18.961933340320495</v>
      </c>
      <c r="DT195" s="363">
        <v>19.102194151261298</v>
      </c>
      <c r="DU195" s="363">
        <v>19.243492466908648</v>
      </c>
      <c r="DV195" s="363">
        <v>19.385835961651473</v>
      </c>
      <c r="DW195" s="435">
        <v>19.463976716590022</v>
      </c>
      <c r="DX195" s="435">
        <v>19.542117471528574</v>
      </c>
      <c r="DY195" s="435">
        <v>19.620258226467122</v>
      </c>
      <c r="DZ195" s="435">
        <v>19.698398981405674</v>
      </c>
      <c r="EA195" s="363">
        <v>19.776539736344223</v>
      </c>
      <c r="EB195" s="435">
        <v>19.840592059604198</v>
      </c>
      <c r="EC195" s="435">
        <v>19.90464438286417</v>
      </c>
      <c r="ED195" s="435">
        <v>19.968696706124145</v>
      </c>
      <c r="EE195" s="435">
        <v>20.032749029384117</v>
      </c>
      <c r="EF195" s="363">
        <v>20.096801352644093</v>
      </c>
      <c r="EG195" s="364">
        <v>0</v>
      </c>
      <c r="EH195" s="364">
        <v>0</v>
      </c>
      <c r="EI195" s="364">
        <v>0</v>
      </c>
      <c r="EJ195" s="365">
        <v>0</v>
      </c>
      <c r="EK195" s="365">
        <v>0</v>
      </c>
      <c r="EL195" s="365">
        <v>0</v>
      </c>
      <c r="EM195" s="365">
        <v>0</v>
      </c>
      <c r="EN195" s="365">
        <v>0</v>
      </c>
      <c r="EO195" s="365">
        <v>0</v>
      </c>
      <c r="EP195" s="365">
        <v>0</v>
      </c>
      <c r="EQ195" s="365">
        <v>0</v>
      </c>
      <c r="ER195" s="365">
        <v>0</v>
      </c>
      <c r="ES195" s="365">
        <v>0</v>
      </c>
      <c r="ET195" s="365">
        <v>0</v>
      </c>
      <c r="EU195" s="365">
        <v>0</v>
      </c>
      <c r="EV195" s="436">
        <v>0</v>
      </c>
      <c r="EW195" s="436">
        <v>0</v>
      </c>
      <c r="EX195" s="436">
        <v>0</v>
      </c>
      <c r="EY195" s="436">
        <v>0</v>
      </c>
      <c r="EZ195" s="365">
        <v>0</v>
      </c>
      <c r="FA195" s="436">
        <v>0</v>
      </c>
      <c r="FB195" s="436">
        <v>0</v>
      </c>
      <c r="FC195" s="436">
        <v>0</v>
      </c>
      <c r="FD195" s="436">
        <v>0</v>
      </c>
      <c r="FE195" s="365">
        <v>0</v>
      </c>
      <c r="FF195" s="364">
        <v>0</v>
      </c>
      <c r="FG195" s="364">
        <v>0</v>
      </c>
      <c r="FH195" s="364">
        <v>0</v>
      </c>
      <c r="FI195" s="365">
        <v>0</v>
      </c>
      <c r="FJ195" s="365">
        <v>0</v>
      </c>
      <c r="FK195" s="365">
        <v>0</v>
      </c>
      <c r="FL195" s="365">
        <v>0</v>
      </c>
      <c r="FM195" s="365">
        <v>0</v>
      </c>
      <c r="FN195" s="365">
        <v>0</v>
      </c>
      <c r="FO195" s="365">
        <v>0</v>
      </c>
      <c r="FP195" s="365">
        <v>0</v>
      </c>
      <c r="FQ195" s="365">
        <v>0</v>
      </c>
      <c r="FR195" s="365">
        <v>0</v>
      </c>
      <c r="FS195" s="365">
        <v>0</v>
      </c>
      <c r="FT195" s="365">
        <v>0</v>
      </c>
      <c r="FU195" s="436">
        <v>0</v>
      </c>
      <c r="FV195" s="436">
        <v>0</v>
      </c>
      <c r="FW195" s="436">
        <v>0</v>
      </c>
      <c r="FX195" s="436">
        <v>0</v>
      </c>
      <c r="FY195" s="365">
        <v>0</v>
      </c>
      <c r="FZ195" s="436">
        <v>0</v>
      </c>
      <c r="GA195" s="436">
        <v>0</v>
      </c>
      <c r="GB195" s="436">
        <v>0</v>
      </c>
      <c r="GC195" s="436">
        <v>0</v>
      </c>
      <c r="GD195" s="365">
        <v>0</v>
      </c>
    </row>
    <row r="196" spans="1:186" ht="15" x14ac:dyDescent="0.25">
      <c r="A196" s="357">
        <v>111</v>
      </c>
      <c r="B196" s="357">
        <v>93</v>
      </c>
      <c r="C196" s="357" t="s">
        <v>1106</v>
      </c>
      <c r="D196" s="2">
        <v>99703</v>
      </c>
      <c r="E196" s="268" t="s">
        <v>1527</v>
      </c>
      <c r="F196" s="358" t="s">
        <v>985</v>
      </c>
      <c r="G196" s="49">
        <v>1474</v>
      </c>
      <c r="H196" s="49">
        <v>447</v>
      </c>
      <c r="I196" s="49">
        <v>369</v>
      </c>
      <c r="J196" s="49">
        <v>78</v>
      </c>
      <c r="K196" s="49">
        <v>0</v>
      </c>
      <c r="L196" s="49">
        <v>0</v>
      </c>
      <c r="M196" s="49">
        <v>0</v>
      </c>
      <c r="N196" s="49">
        <v>0</v>
      </c>
      <c r="O196" s="49">
        <v>0</v>
      </c>
      <c r="P196" s="49">
        <v>0</v>
      </c>
      <c r="Q196" s="49">
        <v>0</v>
      </c>
      <c r="R196" s="49">
        <v>0</v>
      </c>
      <c r="S196" s="49">
        <v>834.49503068156923</v>
      </c>
      <c r="T196" s="49">
        <v>834.49503068156923</v>
      </c>
      <c r="U196" s="49">
        <v>1408.3846153846155</v>
      </c>
      <c r="V196" s="49">
        <v>0</v>
      </c>
      <c r="W196" s="49">
        <v>0</v>
      </c>
      <c r="X196" s="49">
        <v>1365.173957061457</v>
      </c>
      <c r="Y196" s="434">
        <v>0</v>
      </c>
      <c r="Z196" s="434">
        <v>0</v>
      </c>
      <c r="AA196" s="49">
        <v>10.241813929313929</v>
      </c>
      <c r="AB196" s="49">
        <v>436.17736486486484</v>
      </c>
      <c r="AC196" s="49">
        <v>0.58082120582120578</v>
      </c>
      <c r="AD196" s="285">
        <v>0</v>
      </c>
      <c r="AE196" s="285">
        <v>0</v>
      </c>
      <c r="AF196" s="359">
        <v>447</v>
      </c>
      <c r="AG196" s="360">
        <v>8.4546517671517663</v>
      </c>
      <c r="AH196" s="360">
        <v>360.06587837837833</v>
      </c>
      <c r="AI196" s="361">
        <v>368.52053014553007</v>
      </c>
      <c r="AJ196" s="360">
        <v>0.47946985446985446</v>
      </c>
      <c r="AK196" s="360">
        <v>10.04433998760903</v>
      </c>
      <c r="AL196" s="360">
        <v>427.76736404696373</v>
      </c>
      <c r="AM196" s="360">
        <v>437.81170403457276</v>
      </c>
      <c r="AN196" s="360">
        <v>0.56962230553548365</v>
      </c>
      <c r="AO196" s="360">
        <v>8.4817955673925134</v>
      </c>
      <c r="AP196" s="360">
        <v>361.2218758748316</v>
      </c>
      <c r="AQ196" s="360">
        <v>369.70367144222411</v>
      </c>
      <c r="AR196" s="360">
        <v>0.48100920041923517</v>
      </c>
      <c r="AS196" s="360">
        <v>0</v>
      </c>
      <c r="AT196" s="360">
        <v>0</v>
      </c>
      <c r="AU196" s="360">
        <v>429.37019127941591</v>
      </c>
      <c r="AV196" s="360">
        <v>433.57040386273087</v>
      </c>
      <c r="AW196" s="360">
        <v>437.81170403457276</v>
      </c>
      <c r="AX196" s="360">
        <v>442.09449372458147</v>
      </c>
      <c r="AY196" s="360">
        <v>446.41917879417878</v>
      </c>
      <c r="AZ196" s="360">
        <v>370.89061123374654</v>
      </c>
      <c r="BA196" s="360">
        <v>370.29666576485226</v>
      </c>
      <c r="BB196" s="360">
        <v>369.70367144222411</v>
      </c>
      <c r="BC196" s="360">
        <v>369.11162674269326</v>
      </c>
      <c r="BD196" s="360">
        <v>368.52053014553007</v>
      </c>
      <c r="BE196" s="360">
        <v>0</v>
      </c>
      <c r="BF196" s="360">
        <v>0</v>
      </c>
      <c r="BG196" s="360">
        <v>0</v>
      </c>
      <c r="BH196" s="360">
        <v>0</v>
      </c>
      <c r="BI196" s="360">
        <v>0</v>
      </c>
      <c r="BJ196" s="362">
        <v>448.27412839307885</v>
      </c>
      <c r="BK196" s="362">
        <v>450.13678563129616</v>
      </c>
      <c r="BL196" s="362">
        <v>452.00718253541737</v>
      </c>
      <c r="BM196" s="363">
        <v>449.0354336262202</v>
      </c>
      <c r="BN196" s="363">
        <v>446.08322266226048</v>
      </c>
      <c r="BO196" s="363">
        <v>444.65873454446597</v>
      </c>
      <c r="BP196" s="363">
        <v>443.23879527830877</v>
      </c>
      <c r="BQ196" s="363">
        <v>441.82339033783308</v>
      </c>
      <c r="BR196" s="363">
        <v>440.41250524346935</v>
      </c>
      <c r="BS196" s="363">
        <v>439.00612556188605</v>
      </c>
      <c r="BT196" s="363">
        <v>442.25343975048492</v>
      </c>
      <c r="BU196" s="363">
        <v>445.52477421767554</v>
      </c>
      <c r="BV196" s="363">
        <v>448.82030664068594</v>
      </c>
      <c r="BW196" s="363">
        <v>452.14021601101706</v>
      </c>
      <c r="BX196" s="363">
        <v>455.48468264416368</v>
      </c>
      <c r="BY196" s="435">
        <v>457.320657994165</v>
      </c>
      <c r="BZ196" s="435">
        <v>459.15663334416627</v>
      </c>
      <c r="CA196" s="435">
        <v>460.99260869416759</v>
      </c>
      <c r="CB196" s="435">
        <v>462.82858404416885</v>
      </c>
      <c r="CC196" s="363">
        <v>464.66455939417017</v>
      </c>
      <c r="CD196" s="435">
        <v>466.16951652835843</v>
      </c>
      <c r="CE196" s="435">
        <v>467.67447366254669</v>
      </c>
      <c r="CF196" s="435">
        <v>469.17943079673489</v>
      </c>
      <c r="CG196" s="435">
        <v>470.68438793092315</v>
      </c>
      <c r="CH196" s="363">
        <v>472.18934506511141</v>
      </c>
      <c r="CI196" s="362">
        <v>370.05179726408517</v>
      </c>
      <c r="CJ196" s="362">
        <v>371.58942706476125</v>
      </c>
      <c r="CK196" s="362">
        <v>373.13344598561292</v>
      </c>
      <c r="CL196" s="363">
        <v>370.68025728875887</v>
      </c>
      <c r="CM196" s="363">
        <v>368.24319723126195</v>
      </c>
      <c r="CN196" s="363">
        <v>367.06727750986113</v>
      </c>
      <c r="CO196" s="363">
        <v>365.89511288075147</v>
      </c>
      <c r="CP196" s="363">
        <v>364.72669135270775</v>
      </c>
      <c r="CQ196" s="363">
        <v>363.5620009727968</v>
      </c>
      <c r="CR196" s="363">
        <v>362.40102982625484</v>
      </c>
      <c r="CS196" s="363">
        <v>365.08169858597074</v>
      </c>
      <c r="CT196" s="363">
        <v>367.78219616626899</v>
      </c>
      <c r="CU196" s="363">
        <v>370.50266924029773</v>
      </c>
      <c r="CV196" s="363">
        <v>373.24326556614153</v>
      </c>
      <c r="CW196" s="363">
        <v>376.00413399484643</v>
      </c>
      <c r="CX196" s="435">
        <v>377.5197378072636</v>
      </c>
      <c r="CY196" s="435">
        <v>379.03534161968076</v>
      </c>
      <c r="CZ196" s="435">
        <v>380.55094543209799</v>
      </c>
      <c r="DA196" s="435">
        <v>382.06654924451516</v>
      </c>
      <c r="DB196" s="363">
        <v>383.58215305693233</v>
      </c>
      <c r="DC196" s="435">
        <v>384.82450022139648</v>
      </c>
      <c r="DD196" s="435">
        <v>386.06684738586057</v>
      </c>
      <c r="DE196" s="435">
        <v>387.30919455032472</v>
      </c>
      <c r="DF196" s="435">
        <v>388.55154171478881</v>
      </c>
      <c r="DG196" s="363">
        <v>389.79388887925296</v>
      </c>
      <c r="DH196" s="362">
        <v>0</v>
      </c>
      <c r="DI196" s="362">
        <v>0</v>
      </c>
      <c r="DJ196" s="362">
        <v>0</v>
      </c>
      <c r="DK196" s="363">
        <v>0</v>
      </c>
      <c r="DL196" s="363">
        <v>0</v>
      </c>
      <c r="DM196" s="363">
        <v>0</v>
      </c>
      <c r="DN196" s="363">
        <v>0</v>
      </c>
      <c r="DO196" s="363">
        <v>0</v>
      </c>
      <c r="DP196" s="363">
        <v>0</v>
      </c>
      <c r="DQ196" s="363">
        <v>0</v>
      </c>
      <c r="DR196" s="363">
        <v>0</v>
      </c>
      <c r="DS196" s="363">
        <v>0</v>
      </c>
      <c r="DT196" s="363">
        <v>0</v>
      </c>
      <c r="DU196" s="363">
        <v>0</v>
      </c>
      <c r="DV196" s="363">
        <v>0</v>
      </c>
      <c r="DW196" s="435">
        <v>0</v>
      </c>
      <c r="DX196" s="435">
        <v>0</v>
      </c>
      <c r="DY196" s="435">
        <v>0</v>
      </c>
      <c r="DZ196" s="435">
        <v>0</v>
      </c>
      <c r="EA196" s="363">
        <v>0</v>
      </c>
      <c r="EB196" s="435">
        <v>0</v>
      </c>
      <c r="EC196" s="435">
        <v>0</v>
      </c>
      <c r="ED196" s="435">
        <v>0</v>
      </c>
      <c r="EE196" s="435">
        <v>0</v>
      </c>
      <c r="EF196" s="363">
        <v>0</v>
      </c>
      <c r="EG196" s="364">
        <v>0.58323461929882747</v>
      </c>
      <c r="EH196" s="364">
        <v>0.58565806093064821</v>
      </c>
      <c r="EI196" s="364">
        <v>0.58809157238539855</v>
      </c>
      <c r="EJ196" s="365">
        <v>0.58422512831930806</v>
      </c>
      <c r="EK196" s="365">
        <v>0.58038410442656829</v>
      </c>
      <c r="EL196" s="365">
        <v>0.57853075012290656</v>
      </c>
      <c r="EM196" s="365">
        <v>0.57668331417942853</v>
      </c>
      <c r="EN196" s="365">
        <v>0.57484177769689437</v>
      </c>
      <c r="EO196" s="365">
        <v>0.57300612183641597</v>
      </c>
      <c r="EP196" s="365">
        <v>0.57117632781926353</v>
      </c>
      <c r="EQ196" s="365">
        <v>0.57540130074223905</v>
      </c>
      <c r="ER196" s="365">
        <v>0.5796575256540144</v>
      </c>
      <c r="ES196" s="365">
        <v>0.58394523372454576</v>
      </c>
      <c r="ET196" s="365">
        <v>0.58826465783374582</v>
      </c>
      <c r="EU196" s="365">
        <v>0.59261603258413176</v>
      </c>
      <c r="EV196" s="436">
        <v>0.59500475929503638</v>
      </c>
      <c r="EW196" s="436">
        <v>0.597393486005941</v>
      </c>
      <c r="EX196" s="436">
        <v>0.59978221271684562</v>
      </c>
      <c r="EY196" s="436">
        <v>0.60217093942775024</v>
      </c>
      <c r="EZ196" s="365">
        <v>0.60455966613865486</v>
      </c>
      <c r="FA196" s="436">
        <v>0.6065177160139974</v>
      </c>
      <c r="FB196" s="436">
        <v>0.60847576588933994</v>
      </c>
      <c r="FC196" s="436">
        <v>0.61043381576468236</v>
      </c>
      <c r="FD196" s="436">
        <v>0.6123918656400249</v>
      </c>
      <c r="FE196" s="365">
        <v>0.61434991551536744</v>
      </c>
      <c r="FF196" s="364">
        <v>0</v>
      </c>
      <c r="FG196" s="364">
        <v>0</v>
      </c>
      <c r="FH196" s="364">
        <v>0</v>
      </c>
      <c r="FI196" s="365">
        <v>0</v>
      </c>
      <c r="FJ196" s="365">
        <v>0</v>
      </c>
      <c r="FK196" s="365">
        <v>0</v>
      </c>
      <c r="FL196" s="365">
        <v>0</v>
      </c>
      <c r="FM196" s="365">
        <v>0</v>
      </c>
      <c r="FN196" s="365">
        <v>0</v>
      </c>
      <c r="FO196" s="365">
        <v>0</v>
      </c>
      <c r="FP196" s="365">
        <v>0</v>
      </c>
      <c r="FQ196" s="365">
        <v>0</v>
      </c>
      <c r="FR196" s="365">
        <v>0</v>
      </c>
      <c r="FS196" s="365">
        <v>0</v>
      </c>
      <c r="FT196" s="365">
        <v>0</v>
      </c>
      <c r="FU196" s="436">
        <v>0</v>
      </c>
      <c r="FV196" s="436">
        <v>0</v>
      </c>
      <c r="FW196" s="436">
        <v>0</v>
      </c>
      <c r="FX196" s="436">
        <v>0</v>
      </c>
      <c r="FY196" s="365">
        <v>0</v>
      </c>
      <c r="FZ196" s="436">
        <v>0</v>
      </c>
      <c r="GA196" s="436">
        <v>0</v>
      </c>
      <c r="GB196" s="436">
        <v>0</v>
      </c>
      <c r="GC196" s="436">
        <v>0</v>
      </c>
      <c r="GD196" s="365">
        <v>0</v>
      </c>
    </row>
    <row r="197" spans="1:186" ht="15" x14ac:dyDescent="0.25">
      <c r="A197" s="357">
        <v>112</v>
      </c>
      <c r="B197" s="357">
        <v>93</v>
      </c>
      <c r="C197" s="357" t="s">
        <v>1107</v>
      </c>
      <c r="D197" s="2">
        <v>99703</v>
      </c>
      <c r="E197" s="268" t="s">
        <v>1527</v>
      </c>
      <c r="F197" s="358" t="s">
        <v>985</v>
      </c>
      <c r="G197" s="49">
        <v>279</v>
      </c>
      <c r="H197" s="49">
        <v>0</v>
      </c>
      <c r="I197" s="49">
        <v>0</v>
      </c>
      <c r="J197" s="49">
        <v>0</v>
      </c>
      <c r="K197" s="49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834.49503068156923</v>
      </c>
      <c r="T197" s="49">
        <v>834.49503068156923</v>
      </c>
      <c r="U197" s="49">
        <v>1408.3846153846155</v>
      </c>
      <c r="V197" s="49">
        <v>0</v>
      </c>
      <c r="W197" s="49">
        <v>0</v>
      </c>
      <c r="X197" s="49">
        <v>1365.173957061457</v>
      </c>
      <c r="Y197" s="434">
        <v>0</v>
      </c>
      <c r="Z197" s="434">
        <v>0</v>
      </c>
      <c r="AA197" s="49">
        <v>0</v>
      </c>
      <c r="AB197" s="49">
        <v>0</v>
      </c>
      <c r="AC197" s="49">
        <v>0</v>
      </c>
      <c r="AD197" s="285">
        <v>0</v>
      </c>
      <c r="AE197" s="285">
        <v>0</v>
      </c>
      <c r="AF197" s="359">
        <v>0</v>
      </c>
      <c r="AG197" s="360">
        <v>0</v>
      </c>
      <c r="AH197" s="360">
        <v>0</v>
      </c>
      <c r="AI197" s="361">
        <v>0</v>
      </c>
      <c r="AJ197" s="360">
        <v>0</v>
      </c>
      <c r="AK197" s="360">
        <v>0</v>
      </c>
      <c r="AL197" s="360">
        <v>0</v>
      </c>
      <c r="AM197" s="360">
        <v>0</v>
      </c>
      <c r="AN197" s="360">
        <v>0</v>
      </c>
      <c r="AO197" s="360">
        <v>0</v>
      </c>
      <c r="AP197" s="360">
        <v>0</v>
      </c>
      <c r="AQ197" s="360">
        <v>0</v>
      </c>
      <c r="AR197" s="360">
        <v>0</v>
      </c>
      <c r="AS197" s="360">
        <v>0</v>
      </c>
      <c r="AT197" s="360">
        <v>0</v>
      </c>
      <c r="AU197" s="360">
        <v>0</v>
      </c>
      <c r="AV197" s="360">
        <v>0</v>
      </c>
      <c r="AW197" s="360">
        <v>0</v>
      </c>
      <c r="AX197" s="360">
        <v>0</v>
      </c>
      <c r="AY197" s="360">
        <v>0</v>
      </c>
      <c r="AZ197" s="360">
        <v>0</v>
      </c>
      <c r="BA197" s="360">
        <v>0</v>
      </c>
      <c r="BB197" s="360">
        <v>0</v>
      </c>
      <c r="BC197" s="360">
        <v>0</v>
      </c>
      <c r="BD197" s="360">
        <v>0</v>
      </c>
      <c r="BE197" s="360">
        <v>0</v>
      </c>
      <c r="BF197" s="360">
        <v>0</v>
      </c>
      <c r="BG197" s="360">
        <v>0</v>
      </c>
      <c r="BH197" s="360">
        <v>0</v>
      </c>
      <c r="BI197" s="360">
        <v>0</v>
      </c>
      <c r="BJ197" s="362">
        <v>0</v>
      </c>
      <c r="BK197" s="362">
        <v>0</v>
      </c>
      <c r="BL197" s="362">
        <v>0</v>
      </c>
      <c r="BM197" s="363">
        <v>0</v>
      </c>
      <c r="BN197" s="363">
        <v>0</v>
      </c>
      <c r="BO197" s="363">
        <v>0</v>
      </c>
      <c r="BP197" s="363">
        <v>0</v>
      </c>
      <c r="BQ197" s="363">
        <v>0</v>
      </c>
      <c r="BR197" s="363">
        <v>0</v>
      </c>
      <c r="BS197" s="363">
        <v>0</v>
      </c>
      <c r="BT197" s="363">
        <v>0</v>
      </c>
      <c r="BU197" s="363">
        <v>0</v>
      </c>
      <c r="BV197" s="363">
        <v>0</v>
      </c>
      <c r="BW197" s="363">
        <v>0</v>
      </c>
      <c r="BX197" s="363">
        <v>0</v>
      </c>
      <c r="BY197" s="435">
        <v>0</v>
      </c>
      <c r="BZ197" s="435">
        <v>0</v>
      </c>
      <c r="CA197" s="435">
        <v>0</v>
      </c>
      <c r="CB197" s="435">
        <v>0</v>
      </c>
      <c r="CC197" s="363">
        <v>0</v>
      </c>
      <c r="CD197" s="435">
        <v>0</v>
      </c>
      <c r="CE197" s="435">
        <v>0</v>
      </c>
      <c r="CF197" s="435">
        <v>0</v>
      </c>
      <c r="CG197" s="435">
        <v>0</v>
      </c>
      <c r="CH197" s="363">
        <v>0</v>
      </c>
      <c r="CI197" s="362">
        <v>0</v>
      </c>
      <c r="CJ197" s="362">
        <v>0</v>
      </c>
      <c r="CK197" s="362">
        <v>0</v>
      </c>
      <c r="CL197" s="363">
        <v>0</v>
      </c>
      <c r="CM197" s="363">
        <v>0</v>
      </c>
      <c r="CN197" s="363">
        <v>0</v>
      </c>
      <c r="CO197" s="363">
        <v>0</v>
      </c>
      <c r="CP197" s="363">
        <v>0</v>
      </c>
      <c r="CQ197" s="363">
        <v>0</v>
      </c>
      <c r="CR197" s="363">
        <v>0</v>
      </c>
      <c r="CS197" s="363">
        <v>0</v>
      </c>
      <c r="CT197" s="363">
        <v>0</v>
      </c>
      <c r="CU197" s="363">
        <v>0</v>
      </c>
      <c r="CV197" s="363">
        <v>0</v>
      </c>
      <c r="CW197" s="363">
        <v>0</v>
      </c>
      <c r="CX197" s="435">
        <v>0</v>
      </c>
      <c r="CY197" s="435">
        <v>0</v>
      </c>
      <c r="CZ197" s="435">
        <v>0</v>
      </c>
      <c r="DA197" s="435">
        <v>0</v>
      </c>
      <c r="DB197" s="363">
        <v>0</v>
      </c>
      <c r="DC197" s="435">
        <v>0</v>
      </c>
      <c r="DD197" s="435">
        <v>0</v>
      </c>
      <c r="DE197" s="435">
        <v>0</v>
      </c>
      <c r="DF197" s="435">
        <v>0</v>
      </c>
      <c r="DG197" s="363">
        <v>0</v>
      </c>
      <c r="DH197" s="362">
        <v>0</v>
      </c>
      <c r="DI197" s="362">
        <v>0</v>
      </c>
      <c r="DJ197" s="362">
        <v>0</v>
      </c>
      <c r="DK197" s="363">
        <v>0</v>
      </c>
      <c r="DL197" s="363">
        <v>0</v>
      </c>
      <c r="DM197" s="363">
        <v>0</v>
      </c>
      <c r="DN197" s="363">
        <v>0</v>
      </c>
      <c r="DO197" s="363">
        <v>0</v>
      </c>
      <c r="DP197" s="363">
        <v>0</v>
      </c>
      <c r="DQ197" s="363">
        <v>0</v>
      </c>
      <c r="DR197" s="363">
        <v>0</v>
      </c>
      <c r="DS197" s="363">
        <v>0</v>
      </c>
      <c r="DT197" s="363">
        <v>0</v>
      </c>
      <c r="DU197" s="363">
        <v>0</v>
      </c>
      <c r="DV197" s="363">
        <v>0</v>
      </c>
      <c r="DW197" s="435">
        <v>0</v>
      </c>
      <c r="DX197" s="435">
        <v>0</v>
      </c>
      <c r="DY197" s="435">
        <v>0</v>
      </c>
      <c r="DZ197" s="435">
        <v>0</v>
      </c>
      <c r="EA197" s="363">
        <v>0</v>
      </c>
      <c r="EB197" s="435">
        <v>0</v>
      </c>
      <c r="EC197" s="435">
        <v>0</v>
      </c>
      <c r="ED197" s="435">
        <v>0</v>
      </c>
      <c r="EE197" s="435">
        <v>0</v>
      </c>
      <c r="EF197" s="363">
        <v>0</v>
      </c>
      <c r="EG197" s="364">
        <v>0</v>
      </c>
      <c r="EH197" s="364">
        <v>0</v>
      </c>
      <c r="EI197" s="364">
        <v>0</v>
      </c>
      <c r="EJ197" s="365">
        <v>0</v>
      </c>
      <c r="EK197" s="365">
        <v>0</v>
      </c>
      <c r="EL197" s="365">
        <v>0</v>
      </c>
      <c r="EM197" s="365">
        <v>0</v>
      </c>
      <c r="EN197" s="365">
        <v>0</v>
      </c>
      <c r="EO197" s="365">
        <v>0</v>
      </c>
      <c r="EP197" s="365">
        <v>0</v>
      </c>
      <c r="EQ197" s="365">
        <v>0</v>
      </c>
      <c r="ER197" s="365">
        <v>0</v>
      </c>
      <c r="ES197" s="365">
        <v>0</v>
      </c>
      <c r="ET197" s="365">
        <v>0</v>
      </c>
      <c r="EU197" s="365">
        <v>0</v>
      </c>
      <c r="EV197" s="436">
        <v>0</v>
      </c>
      <c r="EW197" s="436">
        <v>0</v>
      </c>
      <c r="EX197" s="436">
        <v>0</v>
      </c>
      <c r="EY197" s="436">
        <v>0</v>
      </c>
      <c r="EZ197" s="365">
        <v>0</v>
      </c>
      <c r="FA197" s="436">
        <v>0</v>
      </c>
      <c r="FB197" s="436">
        <v>0</v>
      </c>
      <c r="FC197" s="436">
        <v>0</v>
      </c>
      <c r="FD197" s="436">
        <v>0</v>
      </c>
      <c r="FE197" s="365">
        <v>0</v>
      </c>
      <c r="FF197" s="364">
        <v>0</v>
      </c>
      <c r="FG197" s="364">
        <v>0</v>
      </c>
      <c r="FH197" s="364">
        <v>0</v>
      </c>
      <c r="FI197" s="365">
        <v>0</v>
      </c>
      <c r="FJ197" s="365">
        <v>0</v>
      </c>
      <c r="FK197" s="365">
        <v>0</v>
      </c>
      <c r="FL197" s="365">
        <v>0</v>
      </c>
      <c r="FM197" s="365">
        <v>0</v>
      </c>
      <c r="FN197" s="365">
        <v>0</v>
      </c>
      <c r="FO197" s="365">
        <v>0</v>
      </c>
      <c r="FP197" s="365">
        <v>0</v>
      </c>
      <c r="FQ197" s="365">
        <v>0</v>
      </c>
      <c r="FR197" s="365">
        <v>0</v>
      </c>
      <c r="FS197" s="365">
        <v>0</v>
      </c>
      <c r="FT197" s="365">
        <v>0</v>
      </c>
      <c r="FU197" s="436">
        <v>0</v>
      </c>
      <c r="FV197" s="436">
        <v>0</v>
      </c>
      <c r="FW197" s="436">
        <v>0</v>
      </c>
      <c r="FX197" s="436">
        <v>0</v>
      </c>
      <c r="FY197" s="365">
        <v>0</v>
      </c>
      <c r="FZ197" s="436">
        <v>0</v>
      </c>
      <c r="GA197" s="436">
        <v>0</v>
      </c>
      <c r="GB197" s="436">
        <v>0</v>
      </c>
      <c r="GC197" s="436">
        <v>0</v>
      </c>
      <c r="GD197" s="365">
        <v>0</v>
      </c>
    </row>
    <row r="198" spans="1:186" ht="15" x14ac:dyDescent="0.25">
      <c r="A198" s="357">
        <v>113</v>
      </c>
      <c r="B198" s="357">
        <v>93</v>
      </c>
      <c r="C198" s="357" t="s">
        <v>1108</v>
      </c>
      <c r="D198" s="2">
        <v>99703</v>
      </c>
      <c r="E198" s="268" t="s">
        <v>1527</v>
      </c>
      <c r="F198" s="358" t="s">
        <v>985</v>
      </c>
      <c r="G198" s="49">
        <v>404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49">
        <v>0</v>
      </c>
      <c r="O198" s="49">
        <v>0</v>
      </c>
      <c r="P198" s="49">
        <v>0</v>
      </c>
      <c r="Q198" s="49">
        <v>0</v>
      </c>
      <c r="R198" s="49">
        <v>0</v>
      </c>
      <c r="S198" s="49">
        <v>834.49503068156923</v>
      </c>
      <c r="T198" s="49">
        <v>834.49503068156923</v>
      </c>
      <c r="U198" s="49">
        <v>1408.3846153846155</v>
      </c>
      <c r="V198" s="49">
        <v>0</v>
      </c>
      <c r="W198" s="49">
        <v>0</v>
      </c>
      <c r="X198" s="49">
        <v>1365.173957061457</v>
      </c>
      <c r="Y198" s="434">
        <v>0</v>
      </c>
      <c r="Z198" s="434">
        <v>0</v>
      </c>
      <c r="AA198" s="49">
        <v>0</v>
      </c>
      <c r="AB198" s="49">
        <v>0</v>
      </c>
      <c r="AC198" s="49">
        <v>0</v>
      </c>
      <c r="AD198" s="285">
        <v>0</v>
      </c>
      <c r="AE198" s="285">
        <v>0</v>
      </c>
      <c r="AF198" s="359">
        <v>0</v>
      </c>
      <c r="AG198" s="360">
        <v>0</v>
      </c>
      <c r="AH198" s="360">
        <v>0</v>
      </c>
      <c r="AI198" s="361">
        <v>0</v>
      </c>
      <c r="AJ198" s="360">
        <v>0</v>
      </c>
      <c r="AK198" s="360">
        <v>0</v>
      </c>
      <c r="AL198" s="360">
        <v>0</v>
      </c>
      <c r="AM198" s="360">
        <v>0</v>
      </c>
      <c r="AN198" s="360">
        <v>0</v>
      </c>
      <c r="AO198" s="360">
        <v>0</v>
      </c>
      <c r="AP198" s="360">
        <v>0</v>
      </c>
      <c r="AQ198" s="360">
        <v>0</v>
      </c>
      <c r="AR198" s="360">
        <v>0</v>
      </c>
      <c r="AS198" s="360">
        <v>0</v>
      </c>
      <c r="AT198" s="360">
        <v>0</v>
      </c>
      <c r="AU198" s="360">
        <v>0</v>
      </c>
      <c r="AV198" s="360">
        <v>0</v>
      </c>
      <c r="AW198" s="360">
        <v>0</v>
      </c>
      <c r="AX198" s="360">
        <v>0</v>
      </c>
      <c r="AY198" s="360">
        <v>0</v>
      </c>
      <c r="AZ198" s="360">
        <v>0</v>
      </c>
      <c r="BA198" s="360">
        <v>0</v>
      </c>
      <c r="BB198" s="360">
        <v>0</v>
      </c>
      <c r="BC198" s="360">
        <v>0</v>
      </c>
      <c r="BD198" s="360">
        <v>0</v>
      </c>
      <c r="BE198" s="360">
        <v>0</v>
      </c>
      <c r="BF198" s="360">
        <v>0</v>
      </c>
      <c r="BG198" s="360">
        <v>0</v>
      </c>
      <c r="BH198" s="360">
        <v>0</v>
      </c>
      <c r="BI198" s="360">
        <v>0</v>
      </c>
      <c r="BJ198" s="362">
        <v>0</v>
      </c>
      <c r="BK198" s="362">
        <v>0</v>
      </c>
      <c r="BL198" s="362">
        <v>0</v>
      </c>
      <c r="BM198" s="363">
        <v>0</v>
      </c>
      <c r="BN198" s="363">
        <v>0</v>
      </c>
      <c r="BO198" s="363">
        <v>0</v>
      </c>
      <c r="BP198" s="363">
        <v>0</v>
      </c>
      <c r="BQ198" s="363">
        <v>0</v>
      </c>
      <c r="BR198" s="363">
        <v>0</v>
      </c>
      <c r="BS198" s="363">
        <v>0</v>
      </c>
      <c r="BT198" s="363">
        <v>0</v>
      </c>
      <c r="BU198" s="363">
        <v>0</v>
      </c>
      <c r="BV198" s="363">
        <v>0</v>
      </c>
      <c r="BW198" s="363">
        <v>0</v>
      </c>
      <c r="BX198" s="363">
        <v>0</v>
      </c>
      <c r="BY198" s="435">
        <v>0</v>
      </c>
      <c r="BZ198" s="435">
        <v>0</v>
      </c>
      <c r="CA198" s="435">
        <v>0</v>
      </c>
      <c r="CB198" s="435">
        <v>0</v>
      </c>
      <c r="CC198" s="363">
        <v>0</v>
      </c>
      <c r="CD198" s="435">
        <v>0</v>
      </c>
      <c r="CE198" s="435">
        <v>0</v>
      </c>
      <c r="CF198" s="435">
        <v>0</v>
      </c>
      <c r="CG198" s="435">
        <v>0</v>
      </c>
      <c r="CH198" s="363">
        <v>0</v>
      </c>
      <c r="CI198" s="362">
        <v>0</v>
      </c>
      <c r="CJ198" s="362">
        <v>0</v>
      </c>
      <c r="CK198" s="362">
        <v>0</v>
      </c>
      <c r="CL198" s="363">
        <v>0</v>
      </c>
      <c r="CM198" s="363">
        <v>0</v>
      </c>
      <c r="CN198" s="363">
        <v>0</v>
      </c>
      <c r="CO198" s="363">
        <v>0</v>
      </c>
      <c r="CP198" s="363">
        <v>0</v>
      </c>
      <c r="CQ198" s="363">
        <v>0</v>
      </c>
      <c r="CR198" s="363">
        <v>0</v>
      </c>
      <c r="CS198" s="363">
        <v>0</v>
      </c>
      <c r="CT198" s="363">
        <v>0</v>
      </c>
      <c r="CU198" s="363">
        <v>0</v>
      </c>
      <c r="CV198" s="363">
        <v>0</v>
      </c>
      <c r="CW198" s="363">
        <v>0</v>
      </c>
      <c r="CX198" s="435">
        <v>0</v>
      </c>
      <c r="CY198" s="435">
        <v>0</v>
      </c>
      <c r="CZ198" s="435">
        <v>0</v>
      </c>
      <c r="DA198" s="435">
        <v>0</v>
      </c>
      <c r="DB198" s="363">
        <v>0</v>
      </c>
      <c r="DC198" s="435">
        <v>0</v>
      </c>
      <c r="DD198" s="435">
        <v>0</v>
      </c>
      <c r="DE198" s="435">
        <v>0</v>
      </c>
      <c r="DF198" s="435">
        <v>0</v>
      </c>
      <c r="DG198" s="363">
        <v>0</v>
      </c>
      <c r="DH198" s="362">
        <v>0</v>
      </c>
      <c r="DI198" s="362">
        <v>0</v>
      </c>
      <c r="DJ198" s="362">
        <v>0</v>
      </c>
      <c r="DK198" s="363">
        <v>0</v>
      </c>
      <c r="DL198" s="363">
        <v>0</v>
      </c>
      <c r="DM198" s="363">
        <v>0</v>
      </c>
      <c r="DN198" s="363">
        <v>0</v>
      </c>
      <c r="DO198" s="363">
        <v>0</v>
      </c>
      <c r="DP198" s="363">
        <v>0</v>
      </c>
      <c r="DQ198" s="363">
        <v>0</v>
      </c>
      <c r="DR198" s="363">
        <v>0</v>
      </c>
      <c r="DS198" s="363">
        <v>0</v>
      </c>
      <c r="DT198" s="363">
        <v>0</v>
      </c>
      <c r="DU198" s="363">
        <v>0</v>
      </c>
      <c r="DV198" s="363">
        <v>0</v>
      </c>
      <c r="DW198" s="435">
        <v>0</v>
      </c>
      <c r="DX198" s="435">
        <v>0</v>
      </c>
      <c r="DY198" s="435">
        <v>0</v>
      </c>
      <c r="DZ198" s="435">
        <v>0</v>
      </c>
      <c r="EA198" s="363">
        <v>0</v>
      </c>
      <c r="EB198" s="435">
        <v>0</v>
      </c>
      <c r="EC198" s="435">
        <v>0</v>
      </c>
      <c r="ED198" s="435">
        <v>0</v>
      </c>
      <c r="EE198" s="435">
        <v>0</v>
      </c>
      <c r="EF198" s="363">
        <v>0</v>
      </c>
      <c r="EG198" s="364">
        <v>0</v>
      </c>
      <c r="EH198" s="364">
        <v>0</v>
      </c>
      <c r="EI198" s="364">
        <v>0</v>
      </c>
      <c r="EJ198" s="365">
        <v>0</v>
      </c>
      <c r="EK198" s="365">
        <v>0</v>
      </c>
      <c r="EL198" s="365">
        <v>0</v>
      </c>
      <c r="EM198" s="365">
        <v>0</v>
      </c>
      <c r="EN198" s="365">
        <v>0</v>
      </c>
      <c r="EO198" s="365">
        <v>0</v>
      </c>
      <c r="EP198" s="365">
        <v>0</v>
      </c>
      <c r="EQ198" s="365">
        <v>0</v>
      </c>
      <c r="ER198" s="365">
        <v>0</v>
      </c>
      <c r="ES198" s="365">
        <v>0</v>
      </c>
      <c r="ET198" s="365">
        <v>0</v>
      </c>
      <c r="EU198" s="365">
        <v>0</v>
      </c>
      <c r="EV198" s="436">
        <v>0</v>
      </c>
      <c r="EW198" s="436">
        <v>0</v>
      </c>
      <c r="EX198" s="436">
        <v>0</v>
      </c>
      <c r="EY198" s="436">
        <v>0</v>
      </c>
      <c r="EZ198" s="365">
        <v>0</v>
      </c>
      <c r="FA198" s="436">
        <v>0</v>
      </c>
      <c r="FB198" s="436">
        <v>0</v>
      </c>
      <c r="FC198" s="436">
        <v>0</v>
      </c>
      <c r="FD198" s="436">
        <v>0</v>
      </c>
      <c r="FE198" s="365">
        <v>0</v>
      </c>
      <c r="FF198" s="364">
        <v>0</v>
      </c>
      <c r="FG198" s="364">
        <v>0</v>
      </c>
      <c r="FH198" s="364">
        <v>0</v>
      </c>
      <c r="FI198" s="365">
        <v>0</v>
      </c>
      <c r="FJ198" s="365">
        <v>0</v>
      </c>
      <c r="FK198" s="365">
        <v>0</v>
      </c>
      <c r="FL198" s="365">
        <v>0</v>
      </c>
      <c r="FM198" s="365">
        <v>0</v>
      </c>
      <c r="FN198" s="365">
        <v>0</v>
      </c>
      <c r="FO198" s="365">
        <v>0</v>
      </c>
      <c r="FP198" s="365">
        <v>0</v>
      </c>
      <c r="FQ198" s="365">
        <v>0</v>
      </c>
      <c r="FR198" s="365">
        <v>0</v>
      </c>
      <c r="FS198" s="365">
        <v>0</v>
      </c>
      <c r="FT198" s="365">
        <v>0</v>
      </c>
      <c r="FU198" s="436">
        <v>0</v>
      </c>
      <c r="FV198" s="436">
        <v>0</v>
      </c>
      <c r="FW198" s="436">
        <v>0</v>
      </c>
      <c r="FX198" s="436">
        <v>0</v>
      </c>
      <c r="FY198" s="365">
        <v>0</v>
      </c>
      <c r="FZ198" s="436">
        <v>0</v>
      </c>
      <c r="GA198" s="436">
        <v>0</v>
      </c>
      <c r="GB198" s="436">
        <v>0</v>
      </c>
      <c r="GC198" s="436">
        <v>0</v>
      </c>
      <c r="GD198" s="365">
        <v>0</v>
      </c>
    </row>
    <row r="199" spans="1:186" ht="15" x14ac:dyDescent="0.25">
      <c r="A199" s="357">
        <v>115</v>
      </c>
      <c r="B199" s="357">
        <v>93</v>
      </c>
      <c r="C199" s="357" t="s">
        <v>1109</v>
      </c>
      <c r="D199" s="2">
        <v>99703</v>
      </c>
      <c r="E199" s="268" t="s">
        <v>1527</v>
      </c>
      <c r="F199" s="358" t="s">
        <v>985</v>
      </c>
      <c r="G199" s="49">
        <v>56</v>
      </c>
      <c r="H199" s="49">
        <v>22</v>
      </c>
      <c r="I199" s="49">
        <v>18</v>
      </c>
      <c r="J199" s="49">
        <v>4</v>
      </c>
      <c r="K199" s="49">
        <v>0</v>
      </c>
      <c r="L199" s="49">
        <v>7</v>
      </c>
      <c r="M199" s="49">
        <v>7</v>
      </c>
      <c r="N199" s="49">
        <v>0</v>
      </c>
      <c r="O199" s="49">
        <v>0</v>
      </c>
      <c r="P199" s="49">
        <v>0</v>
      </c>
      <c r="Q199" s="49">
        <v>7</v>
      </c>
      <c r="R199" s="49">
        <v>0</v>
      </c>
      <c r="S199" s="49">
        <v>1753.1428571428571</v>
      </c>
      <c r="T199" s="49">
        <v>1753.1428571428571</v>
      </c>
      <c r="U199" s="49">
        <v>0</v>
      </c>
      <c r="V199" s="49">
        <v>0</v>
      </c>
      <c r="W199" s="49">
        <v>0</v>
      </c>
      <c r="X199" s="49">
        <v>1753.1428571428571</v>
      </c>
      <c r="Y199" s="434">
        <v>12272</v>
      </c>
      <c r="Z199" s="434">
        <v>0</v>
      </c>
      <c r="AA199" s="49">
        <v>0</v>
      </c>
      <c r="AB199" s="49">
        <v>22</v>
      </c>
      <c r="AC199" s="49">
        <v>0</v>
      </c>
      <c r="AD199" s="285">
        <v>0</v>
      </c>
      <c r="AE199" s="285">
        <v>0</v>
      </c>
      <c r="AF199" s="359">
        <v>22</v>
      </c>
      <c r="AG199" s="360">
        <v>0</v>
      </c>
      <c r="AH199" s="360">
        <v>18</v>
      </c>
      <c r="AI199" s="361">
        <v>18</v>
      </c>
      <c r="AJ199" s="360">
        <v>0</v>
      </c>
      <c r="AK199" s="360">
        <v>0</v>
      </c>
      <c r="AL199" s="360">
        <v>21.575814719199958</v>
      </c>
      <c r="AM199" s="360">
        <v>21.575814719199958</v>
      </c>
      <c r="AN199" s="360">
        <v>0</v>
      </c>
      <c r="AO199" s="360">
        <v>0</v>
      </c>
      <c r="AP199" s="360">
        <v>18.05778929964114</v>
      </c>
      <c r="AQ199" s="360">
        <v>18.05778929964114</v>
      </c>
      <c r="AR199" s="360">
        <v>0</v>
      </c>
      <c r="AS199" s="360">
        <v>0</v>
      </c>
      <c r="AT199" s="360">
        <v>0</v>
      </c>
      <c r="AU199" s="360">
        <v>21.159808218056618</v>
      </c>
      <c r="AV199" s="360">
        <v>21.366799049146181</v>
      </c>
      <c r="AW199" s="360">
        <v>21.575814719199958</v>
      </c>
      <c r="AX199" s="360">
        <v>21.786875035727338</v>
      </c>
      <c r="AY199" s="360">
        <v>22</v>
      </c>
      <c r="AZ199" s="360">
        <v>18.115764132790783</v>
      </c>
      <c r="BA199" s="360">
        <v>18.086753487343497</v>
      </c>
      <c r="BB199" s="360">
        <v>18.05778929964114</v>
      </c>
      <c r="BC199" s="360">
        <v>18.028871495286126</v>
      </c>
      <c r="BD199" s="360">
        <v>18</v>
      </c>
      <c r="BE199" s="360">
        <v>0</v>
      </c>
      <c r="BF199" s="360">
        <v>0</v>
      </c>
      <c r="BG199" s="360">
        <v>0</v>
      </c>
      <c r="BH199" s="360">
        <v>0</v>
      </c>
      <c r="BI199" s="360">
        <v>0</v>
      </c>
      <c r="BJ199" s="362">
        <v>22.091413839535367</v>
      </c>
      <c r="BK199" s="362">
        <v>22.183207519527944</v>
      </c>
      <c r="BL199" s="362">
        <v>22.275382618281121</v>
      </c>
      <c r="BM199" s="363">
        <v>22.128931750782705</v>
      </c>
      <c r="BN199" s="363">
        <v>21.98344373348348</v>
      </c>
      <c r="BO199" s="363">
        <v>21.913243482060306</v>
      </c>
      <c r="BP199" s="363">
        <v>21.843267402762283</v>
      </c>
      <c r="BQ199" s="363">
        <v>21.773514779735255</v>
      </c>
      <c r="BR199" s="363">
        <v>21.703984899411022</v>
      </c>
      <c r="BS199" s="363">
        <v>21.634677050500038</v>
      </c>
      <c r="BT199" s="363">
        <v>21.794708060686798</v>
      </c>
      <c r="BU199" s="363">
        <v>21.955922815107943</v>
      </c>
      <c r="BV199" s="363">
        <v>22.118330069881502</v>
      </c>
      <c r="BW199" s="363">
        <v>22.281938645894225</v>
      </c>
      <c r="BX199" s="363">
        <v>22.446757429280652</v>
      </c>
      <c r="BY199" s="435">
        <v>22.537236198156869</v>
      </c>
      <c r="BZ199" s="435">
        <v>22.627714967033086</v>
      </c>
      <c r="CA199" s="435">
        <v>22.718193735909299</v>
      </c>
      <c r="CB199" s="435">
        <v>22.808672504785516</v>
      </c>
      <c r="CC199" s="363">
        <v>22.899151273661733</v>
      </c>
      <c r="CD199" s="435">
        <v>22.973317121646964</v>
      </c>
      <c r="CE199" s="435">
        <v>23.047482969632199</v>
      </c>
      <c r="CF199" s="435">
        <v>23.12164881761743</v>
      </c>
      <c r="CG199" s="435">
        <v>23.195814665602665</v>
      </c>
      <c r="CH199" s="363">
        <v>23.269980513587896</v>
      </c>
      <c r="CI199" s="362">
        <v>18.074793141438029</v>
      </c>
      <c r="CJ199" s="362">
        <v>18.149897061431954</v>
      </c>
      <c r="CK199" s="362">
        <v>18.225313051320917</v>
      </c>
      <c r="CL199" s="363">
        <v>18.10548961427676</v>
      </c>
      <c r="CM199" s="363">
        <v>17.98645396375921</v>
      </c>
      <c r="CN199" s="363">
        <v>17.929017394412977</v>
      </c>
      <c r="CO199" s="363">
        <v>17.871764238623687</v>
      </c>
      <c r="CP199" s="363">
        <v>17.814693910692483</v>
      </c>
      <c r="CQ199" s="363">
        <v>17.757805826790836</v>
      </c>
      <c r="CR199" s="363">
        <v>17.701099404954576</v>
      </c>
      <c r="CS199" s="363">
        <v>17.832033867834653</v>
      </c>
      <c r="CT199" s="363">
        <v>17.963936848724682</v>
      </c>
      <c r="CU199" s="363">
        <v>18.096815511721228</v>
      </c>
      <c r="CV199" s="363">
        <v>18.230677073913455</v>
      </c>
      <c r="CW199" s="363">
        <v>18.365528805775082</v>
      </c>
      <c r="CX199" s="435">
        <v>18.439556889401075</v>
      </c>
      <c r="CY199" s="435">
        <v>18.513584973027069</v>
      </c>
      <c r="CZ199" s="435">
        <v>18.587613056653066</v>
      </c>
      <c r="DA199" s="435">
        <v>18.661641140279059</v>
      </c>
      <c r="DB199" s="363">
        <v>18.735669223905052</v>
      </c>
      <c r="DC199" s="435">
        <v>18.796350372256608</v>
      </c>
      <c r="DD199" s="435">
        <v>18.85703152060816</v>
      </c>
      <c r="DE199" s="435">
        <v>18.917712668959716</v>
      </c>
      <c r="DF199" s="435">
        <v>18.978393817311268</v>
      </c>
      <c r="DG199" s="363">
        <v>19.039074965662824</v>
      </c>
      <c r="DH199" s="362">
        <v>0</v>
      </c>
      <c r="DI199" s="362">
        <v>0</v>
      </c>
      <c r="DJ199" s="362">
        <v>0</v>
      </c>
      <c r="DK199" s="363">
        <v>0</v>
      </c>
      <c r="DL199" s="363">
        <v>0</v>
      </c>
      <c r="DM199" s="363">
        <v>0</v>
      </c>
      <c r="DN199" s="363">
        <v>0</v>
      </c>
      <c r="DO199" s="363">
        <v>0</v>
      </c>
      <c r="DP199" s="363">
        <v>0</v>
      </c>
      <c r="DQ199" s="363">
        <v>0</v>
      </c>
      <c r="DR199" s="363">
        <v>0</v>
      </c>
      <c r="DS199" s="363">
        <v>0</v>
      </c>
      <c r="DT199" s="363">
        <v>0</v>
      </c>
      <c r="DU199" s="363">
        <v>0</v>
      </c>
      <c r="DV199" s="363">
        <v>0</v>
      </c>
      <c r="DW199" s="435">
        <v>0</v>
      </c>
      <c r="DX199" s="435">
        <v>0</v>
      </c>
      <c r="DY199" s="435">
        <v>0</v>
      </c>
      <c r="DZ199" s="435">
        <v>0</v>
      </c>
      <c r="EA199" s="363">
        <v>0</v>
      </c>
      <c r="EB199" s="435">
        <v>0</v>
      </c>
      <c r="EC199" s="435">
        <v>0</v>
      </c>
      <c r="ED199" s="435">
        <v>0</v>
      </c>
      <c r="EE199" s="435">
        <v>0</v>
      </c>
      <c r="EF199" s="363">
        <v>0</v>
      </c>
      <c r="EG199" s="364">
        <v>0</v>
      </c>
      <c r="EH199" s="364">
        <v>0</v>
      </c>
      <c r="EI199" s="364">
        <v>0</v>
      </c>
      <c r="EJ199" s="365">
        <v>0</v>
      </c>
      <c r="EK199" s="365">
        <v>0</v>
      </c>
      <c r="EL199" s="365">
        <v>0</v>
      </c>
      <c r="EM199" s="365">
        <v>0</v>
      </c>
      <c r="EN199" s="365">
        <v>0</v>
      </c>
      <c r="EO199" s="365">
        <v>0</v>
      </c>
      <c r="EP199" s="365">
        <v>0</v>
      </c>
      <c r="EQ199" s="365">
        <v>0</v>
      </c>
      <c r="ER199" s="365">
        <v>0</v>
      </c>
      <c r="ES199" s="365">
        <v>0</v>
      </c>
      <c r="ET199" s="365">
        <v>0</v>
      </c>
      <c r="EU199" s="365">
        <v>0</v>
      </c>
      <c r="EV199" s="436">
        <v>0</v>
      </c>
      <c r="EW199" s="436">
        <v>0</v>
      </c>
      <c r="EX199" s="436">
        <v>0</v>
      </c>
      <c r="EY199" s="436">
        <v>0</v>
      </c>
      <c r="EZ199" s="365">
        <v>0</v>
      </c>
      <c r="FA199" s="436">
        <v>0</v>
      </c>
      <c r="FB199" s="436">
        <v>0</v>
      </c>
      <c r="FC199" s="436">
        <v>0</v>
      </c>
      <c r="FD199" s="436">
        <v>0</v>
      </c>
      <c r="FE199" s="365">
        <v>0</v>
      </c>
      <c r="FF199" s="364">
        <v>0</v>
      </c>
      <c r="FG199" s="364">
        <v>0</v>
      </c>
      <c r="FH199" s="364">
        <v>0</v>
      </c>
      <c r="FI199" s="365">
        <v>0</v>
      </c>
      <c r="FJ199" s="365">
        <v>0</v>
      </c>
      <c r="FK199" s="365">
        <v>0</v>
      </c>
      <c r="FL199" s="365">
        <v>0</v>
      </c>
      <c r="FM199" s="365">
        <v>0</v>
      </c>
      <c r="FN199" s="365">
        <v>0</v>
      </c>
      <c r="FO199" s="365">
        <v>0</v>
      </c>
      <c r="FP199" s="365">
        <v>0</v>
      </c>
      <c r="FQ199" s="365">
        <v>0</v>
      </c>
      <c r="FR199" s="365">
        <v>0</v>
      </c>
      <c r="FS199" s="365">
        <v>0</v>
      </c>
      <c r="FT199" s="365">
        <v>0</v>
      </c>
      <c r="FU199" s="436">
        <v>0</v>
      </c>
      <c r="FV199" s="436">
        <v>0</v>
      </c>
      <c r="FW199" s="436">
        <v>0</v>
      </c>
      <c r="FX199" s="436">
        <v>0</v>
      </c>
      <c r="FY199" s="365">
        <v>0</v>
      </c>
      <c r="FZ199" s="436">
        <v>0</v>
      </c>
      <c r="GA199" s="436">
        <v>0</v>
      </c>
      <c r="GB199" s="436">
        <v>0</v>
      </c>
      <c r="GC199" s="436">
        <v>0</v>
      </c>
      <c r="GD199" s="365">
        <v>0</v>
      </c>
    </row>
    <row r="200" spans="1:186" ht="15" x14ac:dyDescent="0.25">
      <c r="A200" s="357">
        <v>116</v>
      </c>
      <c r="B200" s="357">
        <v>93</v>
      </c>
      <c r="C200" s="357" t="s">
        <v>1110</v>
      </c>
      <c r="D200" s="2">
        <v>99705</v>
      </c>
      <c r="E200" s="268" t="s">
        <v>218</v>
      </c>
      <c r="F200" s="358" t="s">
        <v>985</v>
      </c>
      <c r="G200" s="49">
        <v>661</v>
      </c>
      <c r="H200" s="49">
        <v>263</v>
      </c>
      <c r="I200" s="49">
        <v>244</v>
      </c>
      <c r="J200" s="49">
        <v>19</v>
      </c>
      <c r="K200" s="49">
        <v>12</v>
      </c>
      <c r="L200" s="49">
        <v>199</v>
      </c>
      <c r="M200" s="49">
        <v>211</v>
      </c>
      <c r="N200" s="49">
        <v>2</v>
      </c>
      <c r="O200" s="49">
        <v>0</v>
      </c>
      <c r="P200" s="49">
        <v>0</v>
      </c>
      <c r="Q200" s="49">
        <v>213</v>
      </c>
      <c r="R200" s="49">
        <v>6017.75</v>
      </c>
      <c r="S200" s="49">
        <v>2479.5427135678387</v>
      </c>
      <c r="T200" s="49">
        <v>2680.7677725118483</v>
      </c>
      <c r="U200" s="49">
        <v>5869</v>
      </c>
      <c r="V200" s="49">
        <v>0</v>
      </c>
      <c r="W200" s="49">
        <v>0</v>
      </c>
      <c r="X200" s="49">
        <v>2710.7042253521126</v>
      </c>
      <c r="Y200" s="434">
        <v>565642</v>
      </c>
      <c r="Z200" s="434">
        <v>11738</v>
      </c>
      <c r="AA200" s="49">
        <v>14.957345971563981</v>
      </c>
      <c r="AB200" s="49">
        <v>248.04265402843603</v>
      </c>
      <c r="AC200" s="49">
        <v>0</v>
      </c>
      <c r="AD200" s="285">
        <v>2</v>
      </c>
      <c r="AE200" s="285">
        <v>0</v>
      </c>
      <c r="AF200" s="359">
        <v>265</v>
      </c>
      <c r="AG200" s="360">
        <v>13.876777251184834</v>
      </c>
      <c r="AH200" s="360">
        <v>230.12322274881518</v>
      </c>
      <c r="AI200" s="361">
        <v>244</v>
      </c>
      <c r="AJ200" s="360">
        <v>0</v>
      </c>
      <c r="AK200" s="360">
        <v>13.882686094298748</v>
      </c>
      <c r="AL200" s="360">
        <v>230.22121106378759</v>
      </c>
      <c r="AM200" s="360">
        <v>244.10389715808634</v>
      </c>
      <c r="AN200" s="360">
        <v>0</v>
      </c>
      <c r="AO200" s="360">
        <v>12.945815940098024</v>
      </c>
      <c r="AP200" s="360">
        <v>214.68478100662557</v>
      </c>
      <c r="AQ200" s="360">
        <v>227.63059694672359</v>
      </c>
      <c r="AR200" s="360">
        <v>0</v>
      </c>
      <c r="AS200" s="360">
        <v>1.8802153346698185</v>
      </c>
      <c r="AT200" s="360">
        <v>0</v>
      </c>
      <c r="AU200" s="360">
        <v>226.56544717781591</v>
      </c>
      <c r="AV200" s="360">
        <v>235.17123254656258</v>
      </c>
      <c r="AW200" s="360">
        <v>244.10389715808631</v>
      </c>
      <c r="AX200" s="360">
        <v>253.37585708306287</v>
      </c>
      <c r="AY200" s="360">
        <v>263</v>
      </c>
      <c r="AZ200" s="360">
        <v>212.35937978000706</v>
      </c>
      <c r="BA200" s="360">
        <v>219.86243969027313</v>
      </c>
      <c r="BB200" s="360">
        <v>227.63059694672359</v>
      </c>
      <c r="BC200" s="360">
        <v>235.67321794170959</v>
      </c>
      <c r="BD200" s="360">
        <v>244</v>
      </c>
      <c r="BE200" s="360">
        <v>1.7676048523637691</v>
      </c>
      <c r="BF200" s="360">
        <v>1.823040797418187</v>
      </c>
      <c r="BG200" s="360">
        <v>1.8802153346698185</v>
      </c>
      <c r="BH200" s="360">
        <v>1.9391829901635476</v>
      </c>
      <c r="BI200" s="360">
        <v>2</v>
      </c>
      <c r="BJ200" s="362">
        <v>269.39074245045288</v>
      </c>
      <c r="BK200" s="362">
        <v>275.93677611409214</v>
      </c>
      <c r="BL200" s="362">
        <v>282.64187447437138</v>
      </c>
      <c r="BM200" s="363">
        <v>280.78362815746283</v>
      </c>
      <c r="BN200" s="363">
        <v>278.9375989947913</v>
      </c>
      <c r="BO200" s="363">
        <v>278.04686095491877</v>
      </c>
      <c r="BP200" s="363">
        <v>277.15896732992093</v>
      </c>
      <c r="BQ200" s="363">
        <v>276.27390903666031</v>
      </c>
      <c r="BR200" s="363">
        <v>275.39167702100497</v>
      </c>
      <c r="BS200" s="363">
        <v>274.5122622577357</v>
      </c>
      <c r="BT200" s="363">
        <v>276.54282063099981</v>
      </c>
      <c r="BU200" s="363">
        <v>278.58839897923087</v>
      </c>
      <c r="BV200" s="363">
        <v>280.6491084047006</v>
      </c>
      <c r="BW200" s="363">
        <v>282.72506083150057</v>
      </c>
      <c r="BX200" s="363">
        <v>284.81636901162108</v>
      </c>
      <c r="BY200" s="435">
        <v>285.96441164117033</v>
      </c>
      <c r="BZ200" s="435">
        <v>287.11245427071958</v>
      </c>
      <c r="CA200" s="435">
        <v>288.26049690026878</v>
      </c>
      <c r="CB200" s="435">
        <v>289.40853952981803</v>
      </c>
      <c r="CC200" s="363">
        <v>290.55658215936728</v>
      </c>
      <c r="CD200" s="435">
        <v>291.49763779265299</v>
      </c>
      <c r="CE200" s="435">
        <v>292.43869342593865</v>
      </c>
      <c r="CF200" s="435">
        <v>293.37974905922437</v>
      </c>
      <c r="CG200" s="435">
        <v>294.32080469251002</v>
      </c>
      <c r="CH200" s="363">
        <v>295.26186032579574</v>
      </c>
      <c r="CI200" s="362">
        <v>249.92905383235933</v>
      </c>
      <c r="CJ200" s="362">
        <v>256.00218012105887</v>
      </c>
      <c r="CK200" s="362">
        <v>262.2228797404814</v>
      </c>
      <c r="CL200" s="363">
        <v>260.49887935521264</v>
      </c>
      <c r="CM200" s="363">
        <v>258.78621351608012</v>
      </c>
      <c r="CN200" s="363">
        <v>257.95982537262421</v>
      </c>
      <c r="CO200" s="363">
        <v>257.13607615399502</v>
      </c>
      <c r="CP200" s="363">
        <v>256.31495743325132</v>
      </c>
      <c r="CQ200" s="363">
        <v>255.49646081036198</v>
      </c>
      <c r="CR200" s="363">
        <v>254.68057791211979</v>
      </c>
      <c r="CS200" s="363">
        <v>256.56444195423558</v>
      </c>
      <c r="CT200" s="363">
        <v>258.46224087806968</v>
      </c>
      <c r="CU200" s="363">
        <v>260.37407775949407</v>
      </c>
      <c r="CV200" s="363">
        <v>262.30005643682938</v>
      </c>
      <c r="CW200" s="363">
        <v>264.24028151648491</v>
      </c>
      <c r="CX200" s="435">
        <v>265.30538570511618</v>
      </c>
      <c r="CY200" s="435">
        <v>266.37048989374739</v>
      </c>
      <c r="CZ200" s="435">
        <v>267.43559408237866</v>
      </c>
      <c r="DA200" s="435">
        <v>268.50069827100987</v>
      </c>
      <c r="DB200" s="363">
        <v>269.56580245964113</v>
      </c>
      <c r="DC200" s="435">
        <v>270.43887308519896</v>
      </c>
      <c r="DD200" s="435">
        <v>271.31194371075679</v>
      </c>
      <c r="DE200" s="435">
        <v>272.18501433631457</v>
      </c>
      <c r="DF200" s="435">
        <v>273.0580849618724</v>
      </c>
      <c r="DG200" s="363">
        <v>273.93115558743023</v>
      </c>
      <c r="DH200" s="362">
        <v>2.0485988019045847</v>
      </c>
      <c r="DI200" s="362">
        <v>2.0983785255824499</v>
      </c>
      <c r="DJ200" s="362">
        <v>2.1493678667252576</v>
      </c>
      <c r="DK200" s="363">
        <v>2.1352367160263332</v>
      </c>
      <c r="DL200" s="363">
        <v>2.1211984714432797</v>
      </c>
      <c r="DM200" s="363">
        <v>2.1144247981362643</v>
      </c>
      <c r="DN200" s="363">
        <v>2.1076727553606154</v>
      </c>
      <c r="DO200" s="363">
        <v>2.1009422740430441</v>
      </c>
      <c r="DP200" s="363">
        <v>2.0942332853308363</v>
      </c>
      <c r="DQ200" s="363">
        <v>2.0875457205911463</v>
      </c>
      <c r="DR200" s="363">
        <v>2.1029872291330785</v>
      </c>
      <c r="DS200" s="363">
        <v>2.118542958016965</v>
      </c>
      <c r="DT200" s="363">
        <v>2.1342137521270006</v>
      </c>
      <c r="DU200" s="363">
        <v>2.1500004625969624</v>
      </c>
      <c r="DV200" s="363">
        <v>2.1659039468564338</v>
      </c>
      <c r="DW200" s="435">
        <v>2.1746343090583293</v>
      </c>
      <c r="DX200" s="435">
        <v>2.1833646712602248</v>
      </c>
      <c r="DY200" s="435">
        <v>2.1920950334621199</v>
      </c>
      <c r="DZ200" s="435">
        <v>2.2008253956640154</v>
      </c>
      <c r="EA200" s="363">
        <v>2.2095557578659109</v>
      </c>
      <c r="EB200" s="435">
        <v>2.2167120744688438</v>
      </c>
      <c r="EC200" s="435">
        <v>2.2238683910717767</v>
      </c>
      <c r="ED200" s="435">
        <v>2.2310247076747101</v>
      </c>
      <c r="EE200" s="435">
        <v>2.238181024277643</v>
      </c>
      <c r="EF200" s="363">
        <v>2.2453373408805759</v>
      </c>
      <c r="EG200" s="364">
        <v>0</v>
      </c>
      <c r="EH200" s="364">
        <v>0</v>
      </c>
      <c r="EI200" s="364">
        <v>0</v>
      </c>
      <c r="EJ200" s="365">
        <v>0</v>
      </c>
      <c r="EK200" s="365">
        <v>0</v>
      </c>
      <c r="EL200" s="365">
        <v>0</v>
      </c>
      <c r="EM200" s="365">
        <v>0</v>
      </c>
      <c r="EN200" s="365">
        <v>0</v>
      </c>
      <c r="EO200" s="365">
        <v>0</v>
      </c>
      <c r="EP200" s="365">
        <v>0</v>
      </c>
      <c r="EQ200" s="365">
        <v>0</v>
      </c>
      <c r="ER200" s="365">
        <v>0</v>
      </c>
      <c r="ES200" s="365">
        <v>0</v>
      </c>
      <c r="ET200" s="365">
        <v>0</v>
      </c>
      <c r="EU200" s="365">
        <v>0</v>
      </c>
      <c r="EV200" s="436">
        <v>0</v>
      </c>
      <c r="EW200" s="436">
        <v>0</v>
      </c>
      <c r="EX200" s="436">
        <v>0</v>
      </c>
      <c r="EY200" s="436">
        <v>0</v>
      </c>
      <c r="EZ200" s="365">
        <v>0</v>
      </c>
      <c r="FA200" s="436">
        <v>0</v>
      </c>
      <c r="FB200" s="436">
        <v>0</v>
      </c>
      <c r="FC200" s="436">
        <v>0</v>
      </c>
      <c r="FD200" s="436">
        <v>0</v>
      </c>
      <c r="FE200" s="365">
        <v>0</v>
      </c>
      <c r="FF200" s="364">
        <v>0</v>
      </c>
      <c r="FG200" s="364">
        <v>0</v>
      </c>
      <c r="FH200" s="364">
        <v>0</v>
      </c>
      <c r="FI200" s="365">
        <v>0</v>
      </c>
      <c r="FJ200" s="365">
        <v>0</v>
      </c>
      <c r="FK200" s="365">
        <v>0</v>
      </c>
      <c r="FL200" s="365">
        <v>0</v>
      </c>
      <c r="FM200" s="365">
        <v>0</v>
      </c>
      <c r="FN200" s="365">
        <v>0</v>
      </c>
      <c r="FO200" s="365">
        <v>0</v>
      </c>
      <c r="FP200" s="365">
        <v>0</v>
      </c>
      <c r="FQ200" s="365">
        <v>0</v>
      </c>
      <c r="FR200" s="365">
        <v>0</v>
      </c>
      <c r="FS200" s="365">
        <v>0</v>
      </c>
      <c r="FT200" s="365">
        <v>0</v>
      </c>
      <c r="FU200" s="436">
        <v>0</v>
      </c>
      <c r="FV200" s="436">
        <v>0</v>
      </c>
      <c r="FW200" s="436">
        <v>0</v>
      </c>
      <c r="FX200" s="436">
        <v>0</v>
      </c>
      <c r="FY200" s="365">
        <v>0</v>
      </c>
      <c r="FZ200" s="436">
        <v>0</v>
      </c>
      <c r="GA200" s="436">
        <v>0</v>
      </c>
      <c r="GB200" s="436">
        <v>0</v>
      </c>
      <c r="GC200" s="436">
        <v>0</v>
      </c>
      <c r="GD200" s="365">
        <v>0</v>
      </c>
    </row>
    <row r="201" spans="1:186" ht="15" x14ac:dyDescent="0.25">
      <c r="A201" s="357">
        <v>117</v>
      </c>
      <c r="B201" s="357">
        <v>93</v>
      </c>
      <c r="C201" s="357" t="s">
        <v>1111</v>
      </c>
      <c r="D201" s="2">
        <v>99705</v>
      </c>
      <c r="E201" s="268" t="s">
        <v>218</v>
      </c>
      <c r="F201" s="358" t="s">
        <v>985</v>
      </c>
      <c r="G201" s="49">
        <v>497</v>
      </c>
      <c r="H201" s="49">
        <v>185</v>
      </c>
      <c r="I201" s="49">
        <v>176</v>
      </c>
      <c r="J201" s="49">
        <v>9</v>
      </c>
      <c r="K201" s="49">
        <v>0</v>
      </c>
      <c r="L201" s="49">
        <v>99</v>
      </c>
      <c r="M201" s="49">
        <v>99</v>
      </c>
      <c r="N201" s="49">
        <v>1</v>
      </c>
      <c r="O201" s="49">
        <v>0</v>
      </c>
      <c r="P201" s="49">
        <v>0</v>
      </c>
      <c r="Q201" s="49">
        <v>100</v>
      </c>
      <c r="R201" s="49">
        <v>0</v>
      </c>
      <c r="S201" s="49">
        <v>2126.0505050505049</v>
      </c>
      <c r="T201" s="49">
        <v>2126.0505050505049</v>
      </c>
      <c r="U201" s="49">
        <v>1344</v>
      </c>
      <c r="V201" s="49">
        <v>0</v>
      </c>
      <c r="W201" s="49">
        <v>0</v>
      </c>
      <c r="X201" s="49">
        <v>2118.23</v>
      </c>
      <c r="Y201" s="434">
        <v>210478.99999999997</v>
      </c>
      <c r="Z201" s="434">
        <v>1344</v>
      </c>
      <c r="AA201" s="49">
        <v>0</v>
      </c>
      <c r="AB201" s="49">
        <v>185</v>
      </c>
      <c r="AC201" s="49">
        <v>0</v>
      </c>
      <c r="AD201" s="285">
        <v>1</v>
      </c>
      <c r="AE201" s="285">
        <v>0</v>
      </c>
      <c r="AF201" s="359">
        <v>186</v>
      </c>
      <c r="AG201" s="360">
        <v>0</v>
      </c>
      <c r="AH201" s="360">
        <v>176</v>
      </c>
      <c r="AI201" s="361">
        <v>176</v>
      </c>
      <c r="AJ201" s="360">
        <v>0</v>
      </c>
      <c r="AK201" s="360">
        <v>0</v>
      </c>
      <c r="AL201" s="360">
        <v>171.7080645408592</v>
      </c>
      <c r="AM201" s="360">
        <v>171.7080645408592</v>
      </c>
      <c r="AN201" s="360">
        <v>0</v>
      </c>
      <c r="AO201" s="360">
        <v>0</v>
      </c>
      <c r="AP201" s="360">
        <v>164.19256173206293</v>
      </c>
      <c r="AQ201" s="360">
        <v>164.19256173206293</v>
      </c>
      <c r="AR201" s="360">
        <v>0</v>
      </c>
      <c r="AS201" s="360">
        <v>0.94010766733490925</v>
      </c>
      <c r="AT201" s="360">
        <v>0</v>
      </c>
      <c r="AU201" s="360">
        <v>159.37113204523172</v>
      </c>
      <c r="AV201" s="360">
        <v>165.42463125898888</v>
      </c>
      <c r="AW201" s="360">
        <v>171.7080645408592</v>
      </c>
      <c r="AX201" s="360">
        <v>178.23016562877046</v>
      </c>
      <c r="AY201" s="360">
        <v>185</v>
      </c>
      <c r="AZ201" s="360">
        <v>153.17725754623461</v>
      </c>
      <c r="BA201" s="360">
        <v>158.58930076019701</v>
      </c>
      <c r="BB201" s="360">
        <v>164.19256173206293</v>
      </c>
      <c r="BC201" s="360">
        <v>169.99379654811841</v>
      </c>
      <c r="BD201" s="360">
        <v>176</v>
      </c>
      <c r="BE201" s="360">
        <v>0.88380242618188454</v>
      </c>
      <c r="BF201" s="360">
        <v>0.91152039870909352</v>
      </c>
      <c r="BG201" s="360">
        <v>0.94010766733490925</v>
      </c>
      <c r="BH201" s="360">
        <v>0.96959149508177378</v>
      </c>
      <c r="BI201" s="360">
        <v>1</v>
      </c>
      <c r="BJ201" s="362">
        <v>189.49538917617409</v>
      </c>
      <c r="BK201" s="362">
        <v>194.1000136163766</v>
      </c>
      <c r="BL201" s="362">
        <v>198.81652767208632</v>
      </c>
      <c r="BM201" s="363">
        <v>197.50939623243582</v>
      </c>
      <c r="BN201" s="363">
        <v>196.21085860850337</v>
      </c>
      <c r="BO201" s="363">
        <v>195.58429382760445</v>
      </c>
      <c r="BP201" s="363">
        <v>194.9597298708569</v>
      </c>
      <c r="BQ201" s="363">
        <v>194.33716034898157</v>
      </c>
      <c r="BR201" s="363">
        <v>193.71657889310234</v>
      </c>
      <c r="BS201" s="363">
        <v>193.09797915468101</v>
      </c>
      <c r="BT201" s="363">
        <v>194.52631869480976</v>
      </c>
      <c r="BU201" s="363">
        <v>195.96522361656926</v>
      </c>
      <c r="BV201" s="363">
        <v>197.41477207174754</v>
      </c>
      <c r="BW201" s="363">
        <v>198.875042790219</v>
      </c>
      <c r="BX201" s="363">
        <v>200.34611508422014</v>
      </c>
      <c r="BY201" s="435">
        <v>201.15367358789547</v>
      </c>
      <c r="BZ201" s="435">
        <v>201.96123209157079</v>
      </c>
      <c r="CA201" s="435">
        <v>202.76879059524612</v>
      </c>
      <c r="CB201" s="435">
        <v>203.57634909892144</v>
      </c>
      <c r="CC201" s="363">
        <v>204.38390760259676</v>
      </c>
      <c r="CD201" s="435">
        <v>205.04586688836807</v>
      </c>
      <c r="CE201" s="435">
        <v>205.70782617413937</v>
      </c>
      <c r="CF201" s="435">
        <v>206.36978545991064</v>
      </c>
      <c r="CG201" s="435">
        <v>207.03174474568195</v>
      </c>
      <c r="CH201" s="363">
        <v>207.69370403145325</v>
      </c>
      <c r="CI201" s="362">
        <v>180.27669456760344</v>
      </c>
      <c r="CJ201" s="362">
        <v>184.65731025125558</v>
      </c>
      <c r="CK201" s="362">
        <v>189.14437227182268</v>
      </c>
      <c r="CL201" s="363">
        <v>187.90083101031732</v>
      </c>
      <c r="CM201" s="363">
        <v>186.66546548700862</v>
      </c>
      <c r="CN201" s="363">
        <v>186.06938223599127</v>
      </c>
      <c r="CO201" s="363">
        <v>185.47520247173415</v>
      </c>
      <c r="CP201" s="363">
        <v>184.88292011578787</v>
      </c>
      <c r="CQ201" s="363">
        <v>184.29252910911359</v>
      </c>
      <c r="CR201" s="363">
        <v>183.70402341202086</v>
      </c>
      <c r="CS201" s="363">
        <v>185.06287616371091</v>
      </c>
      <c r="CT201" s="363">
        <v>186.43178030549294</v>
      </c>
      <c r="CU201" s="363">
        <v>187.81081018717606</v>
      </c>
      <c r="CV201" s="363">
        <v>189.2000407085327</v>
      </c>
      <c r="CW201" s="363">
        <v>190.59954732336618</v>
      </c>
      <c r="CX201" s="435">
        <v>191.36781919713297</v>
      </c>
      <c r="CY201" s="435">
        <v>192.13609107089977</v>
      </c>
      <c r="CZ201" s="435">
        <v>192.90436294466659</v>
      </c>
      <c r="DA201" s="435">
        <v>193.67263481843338</v>
      </c>
      <c r="DB201" s="363">
        <v>194.44090669220017</v>
      </c>
      <c r="DC201" s="435">
        <v>195.07066255325827</v>
      </c>
      <c r="DD201" s="435">
        <v>195.70041841431637</v>
      </c>
      <c r="DE201" s="435">
        <v>196.33017427537447</v>
      </c>
      <c r="DF201" s="435">
        <v>196.95993013643258</v>
      </c>
      <c r="DG201" s="363">
        <v>197.58968599749068</v>
      </c>
      <c r="DH201" s="362">
        <v>1.0242994009522923</v>
      </c>
      <c r="DI201" s="362">
        <v>1.0491892627912249</v>
      </c>
      <c r="DJ201" s="362">
        <v>1.0746839333626288</v>
      </c>
      <c r="DK201" s="363">
        <v>1.0676183580131666</v>
      </c>
      <c r="DL201" s="363">
        <v>1.0605992357216398</v>
      </c>
      <c r="DM201" s="363">
        <v>1.0572123990681321</v>
      </c>
      <c r="DN201" s="363">
        <v>1.0538363776803077</v>
      </c>
      <c r="DO201" s="363">
        <v>1.0504711370215221</v>
      </c>
      <c r="DP201" s="363">
        <v>1.0471166426654182</v>
      </c>
      <c r="DQ201" s="363">
        <v>1.0437728602955731</v>
      </c>
      <c r="DR201" s="363">
        <v>1.0514936145665392</v>
      </c>
      <c r="DS201" s="363">
        <v>1.0592714790084825</v>
      </c>
      <c r="DT201" s="363">
        <v>1.0671068760635003</v>
      </c>
      <c r="DU201" s="363">
        <v>1.0750002312984812</v>
      </c>
      <c r="DV201" s="363">
        <v>1.0829519734282169</v>
      </c>
      <c r="DW201" s="435">
        <v>1.0873171545291647</v>
      </c>
      <c r="DX201" s="435">
        <v>1.0916823356301124</v>
      </c>
      <c r="DY201" s="435">
        <v>1.0960475167310599</v>
      </c>
      <c r="DZ201" s="435">
        <v>1.1004126978320077</v>
      </c>
      <c r="EA201" s="363">
        <v>1.1047778789329554</v>
      </c>
      <c r="EB201" s="435">
        <v>1.1083560372344219</v>
      </c>
      <c r="EC201" s="435">
        <v>1.1119341955358883</v>
      </c>
      <c r="ED201" s="435">
        <v>1.115512353837355</v>
      </c>
      <c r="EE201" s="435">
        <v>1.1190905121388215</v>
      </c>
      <c r="EF201" s="363">
        <v>1.122668670440288</v>
      </c>
      <c r="EG201" s="364">
        <v>0</v>
      </c>
      <c r="EH201" s="364">
        <v>0</v>
      </c>
      <c r="EI201" s="364">
        <v>0</v>
      </c>
      <c r="EJ201" s="365">
        <v>0</v>
      </c>
      <c r="EK201" s="365">
        <v>0</v>
      </c>
      <c r="EL201" s="365">
        <v>0</v>
      </c>
      <c r="EM201" s="365">
        <v>0</v>
      </c>
      <c r="EN201" s="365">
        <v>0</v>
      </c>
      <c r="EO201" s="365">
        <v>0</v>
      </c>
      <c r="EP201" s="365">
        <v>0</v>
      </c>
      <c r="EQ201" s="365">
        <v>0</v>
      </c>
      <c r="ER201" s="365">
        <v>0</v>
      </c>
      <c r="ES201" s="365">
        <v>0</v>
      </c>
      <c r="ET201" s="365">
        <v>0</v>
      </c>
      <c r="EU201" s="365">
        <v>0</v>
      </c>
      <c r="EV201" s="436">
        <v>0</v>
      </c>
      <c r="EW201" s="436">
        <v>0</v>
      </c>
      <c r="EX201" s="436">
        <v>0</v>
      </c>
      <c r="EY201" s="436">
        <v>0</v>
      </c>
      <c r="EZ201" s="365">
        <v>0</v>
      </c>
      <c r="FA201" s="436">
        <v>0</v>
      </c>
      <c r="FB201" s="436">
        <v>0</v>
      </c>
      <c r="FC201" s="436">
        <v>0</v>
      </c>
      <c r="FD201" s="436">
        <v>0</v>
      </c>
      <c r="FE201" s="365">
        <v>0</v>
      </c>
      <c r="FF201" s="364">
        <v>0</v>
      </c>
      <c r="FG201" s="364">
        <v>0</v>
      </c>
      <c r="FH201" s="364">
        <v>0</v>
      </c>
      <c r="FI201" s="365">
        <v>0</v>
      </c>
      <c r="FJ201" s="365">
        <v>0</v>
      </c>
      <c r="FK201" s="365">
        <v>0</v>
      </c>
      <c r="FL201" s="365">
        <v>0</v>
      </c>
      <c r="FM201" s="365">
        <v>0</v>
      </c>
      <c r="FN201" s="365">
        <v>0</v>
      </c>
      <c r="FO201" s="365">
        <v>0</v>
      </c>
      <c r="FP201" s="365">
        <v>0</v>
      </c>
      <c r="FQ201" s="365">
        <v>0</v>
      </c>
      <c r="FR201" s="365">
        <v>0</v>
      </c>
      <c r="FS201" s="365">
        <v>0</v>
      </c>
      <c r="FT201" s="365">
        <v>0</v>
      </c>
      <c r="FU201" s="436">
        <v>0</v>
      </c>
      <c r="FV201" s="436">
        <v>0</v>
      </c>
      <c r="FW201" s="436">
        <v>0</v>
      </c>
      <c r="FX201" s="436">
        <v>0</v>
      </c>
      <c r="FY201" s="365">
        <v>0</v>
      </c>
      <c r="FZ201" s="436">
        <v>0</v>
      </c>
      <c r="GA201" s="436">
        <v>0</v>
      </c>
      <c r="GB201" s="436">
        <v>0</v>
      </c>
      <c r="GC201" s="436">
        <v>0</v>
      </c>
      <c r="GD201" s="365">
        <v>0</v>
      </c>
    </row>
    <row r="202" spans="1:186" ht="15" x14ac:dyDescent="0.25">
      <c r="A202" s="357">
        <v>118</v>
      </c>
      <c r="B202" s="357">
        <v>93</v>
      </c>
      <c r="C202" s="357" t="s">
        <v>1112</v>
      </c>
      <c r="D202" s="2">
        <v>99705</v>
      </c>
      <c r="E202" s="268" t="s">
        <v>218</v>
      </c>
      <c r="F202" s="358" t="s">
        <v>985</v>
      </c>
      <c r="G202" s="49">
        <v>425</v>
      </c>
      <c r="H202" s="49">
        <v>164</v>
      </c>
      <c r="I202" s="49">
        <v>146</v>
      </c>
      <c r="J202" s="49">
        <v>18</v>
      </c>
      <c r="K202" s="49">
        <v>0</v>
      </c>
      <c r="L202" s="49">
        <v>132</v>
      </c>
      <c r="M202" s="49">
        <v>132</v>
      </c>
      <c r="N202" s="49">
        <v>3</v>
      </c>
      <c r="O202" s="49">
        <v>0</v>
      </c>
      <c r="P202" s="49">
        <v>0</v>
      </c>
      <c r="Q202" s="49">
        <v>135</v>
      </c>
      <c r="R202" s="49">
        <v>0</v>
      </c>
      <c r="S202" s="49">
        <v>2217.068181818182</v>
      </c>
      <c r="T202" s="49">
        <v>2217.068181818182</v>
      </c>
      <c r="U202" s="49">
        <v>9031.3333333333339</v>
      </c>
      <c r="V202" s="49">
        <v>0</v>
      </c>
      <c r="W202" s="49">
        <v>0</v>
      </c>
      <c r="X202" s="49">
        <v>2368.4962962962964</v>
      </c>
      <c r="Y202" s="434">
        <v>292653</v>
      </c>
      <c r="Z202" s="434">
        <v>27094</v>
      </c>
      <c r="AA202" s="49">
        <v>0</v>
      </c>
      <c r="AB202" s="49">
        <v>164</v>
      </c>
      <c r="AC202" s="49">
        <v>0</v>
      </c>
      <c r="AD202" s="285">
        <v>3</v>
      </c>
      <c r="AE202" s="285">
        <v>0</v>
      </c>
      <c r="AF202" s="359">
        <v>167</v>
      </c>
      <c r="AG202" s="360">
        <v>0</v>
      </c>
      <c r="AH202" s="360">
        <v>146</v>
      </c>
      <c r="AI202" s="361">
        <v>146</v>
      </c>
      <c r="AJ202" s="360">
        <v>0</v>
      </c>
      <c r="AK202" s="360">
        <v>0</v>
      </c>
      <c r="AL202" s="360">
        <v>152.21687883622113</v>
      </c>
      <c r="AM202" s="360">
        <v>152.21687883622113</v>
      </c>
      <c r="AN202" s="360">
        <v>0</v>
      </c>
      <c r="AO202" s="360">
        <v>0</v>
      </c>
      <c r="AP202" s="360">
        <v>136.20519325500675</v>
      </c>
      <c r="AQ202" s="360">
        <v>136.20519325500675</v>
      </c>
      <c r="AR202" s="360">
        <v>0</v>
      </c>
      <c r="AS202" s="360">
        <v>2.8203230020047281</v>
      </c>
      <c r="AT202" s="360">
        <v>0</v>
      </c>
      <c r="AU202" s="360">
        <v>141.28035489415137</v>
      </c>
      <c r="AV202" s="360">
        <v>146.64670014310366</v>
      </c>
      <c r="AW202" s="360">
        <v>152.21687883622113</v>
      </c>
      <c r="AX202" s="360">
        <v>157.99863331415327</v>
      </c>
      <c r="AY202" s="360">
        <v>164</v>
      </c>
      <c r="AZ202" s="360">
        <v>127.06749773721734</v>
      </c>
      <c r="BA202" s="360">
        <v>131.55703358516342</v>
      </c>
      <c r="BB202" s="360">
        <v>136.20519325500675</v>
      </c>
      <c r="BC202" s="360">
        <v>141.0175812274164</v>
      </c>
      <c r="BD202" s="360">
        <v>146</v>
      </c>
      <c r="BE202" s="360">
        <v>2.6514072785456535</v>
      </c>
      <c r="BF202" s="360">
        <v>2.7345611961272809</v>
      </c>
      <c r="BG202" s="360">
        <v>2.8203230020047281</v>
      </c>
      <c r="BH202" s="360">
        <v>2.9087744852453215</v>
      </c>
      <c r="BI202" s="360">
        <v>3</v>
      </c>
      <c r="BJ202" s="362">
        <v>167.98510175617594</v>
      </c>
      <c r="BK202" s="362">
        <v>172.0670390977609</v>
      </c>
      <c r="BL202" s="362">
        <v>176.24816507147113</v>
      </c>
      <c r="BM202" s="363">
        <v>175.08941071415933</v>
      </c>
      <c r="BN202" s="363">
        <v>173.93827465834894</v>
      </c>
      <c r="BO202" s="363">
        <v>173.38283344717368</v>
      </c>
      <c r="BP202" s="363">
        <v>172.82916593957046</v>
      </c>
      <c r="BQ202" s="363">
        <v>172.27726647152963</v>
      </c>
      <c r="BR202" s="363">
        <v>171.72712939712858</v>
      </c>
      <c r="BS202" s="363">
        <v>171.17874908847398</v>
      </c>
      <c r="BT202" s="363">
        <v>172.44495278891245</v>
      </c>
      <c r="BU202" s="363">
        <v>173.72052255739115</v>
      </c>
      <c r="BV202" s="363">
        <v>175.00552767441405</v>
      </c>
      <c r="BW202" s="363">
        <v>176.30003793295091</v>
      </c>
      <c r="BX202" s="363">
        <v>177.60412364222759</v>
      </c>
      <c r="BY202" s="435">
        <v>178.32001334278303</v>
      </c>
      <c r="BZ202" s="435">
        <v>179.03590304333844</v>
      </c>
      <c r="CA202" s="435">
        <v>179.75179274389387</v>
      </c>
      <c r="CB202" s="435">
        <v>180.46768244444928</v>
      </c>
      <c r="CC202" s="363">
        <v>181.18357214500472</v>
      </c>
      <c r="CD202" s="435">
        <v>181.77039010644521</v>
      </c>
      <c r="CE202" s="435">
        <v>182.35720806788572</v>
      </c>
      <c r="CF202" s="435">
        <v>182.94402602932621</v>
      </c>
      <c r="CG202" s="435">
        <v>183.53084399076673</v>
      </c>
      <c r="CH202" s="363">
        <v>184.11766195220721</v>
      </c>
      <c r="CI202" s="362">
        <v>149.54771253903468</v>
      </c>
      <c r="CJ202" s="362">
        <v>153.18163236751883</v>
      </c>
      <c r="CK202" s="362">
        <v>156.90385427094381</v>
      </c>
      <c r="CL202" s="363">
        <v>155.87228026992233</v>
      </c>
      <c r="CM202" s="363">
        <v>154.84748841535944</v>
      </c>
      <c r="CN202" s="363">
        <v>154.35301026394731</v>
      </c>
      <c r="CO202" s="363">
        <v>153.86011114132492</v>
      </c>
      <c r="CP202" s="363">
        <v>153.36878600514223</v>
      </c>
      <c r="CQ202" s="363">
        <v>152.87902982915105</v>
      </c>
      <c r="CR202" s="363">
        <v>152.39083760315367</v>
      </c>
      <c r="CS202" s="363">
        <v>153.51806772671475</v>
      </c>
      <c r="CT202" s="363">
        <v>154.65363593523844</v>
      </c>
      <c r="CU202" s="363">
        <v>155.79760390527105</v>
      </c>
      <c r="CV202" s="363">
        <v>156.95003376957825</v>
      </c>
      <c r="CW202" s="363">
        <v>158.11098812051969</v>
      </c>
      <c r="CX202" s="435">
        <v>158.74830456125807</v>
      </c>
      <c r="CY202" s="435">
        <v>159.38562100199641</v>
      </c>
      <c r="CZ202" s="435">
        <v>160.02293744273479</v>
      </c>
      <c r="DA202" s="435">
        <v>160.66025388347313</v>
      </c>
      <c r="DB202" s="363">
        <v>161.29757032421151</v>
      </c>
      <c r="DC202" s="435">
        <v>161.81998143622562</v>
      </c>
      <c r="DD202" s="435">
        <v>162.34239254823973</v>
      </c>
      <c r="DE202" s="435">
        <v>162.86480366025381</v>
      </c>
      <c r="DF202" s="435">
        <v>163.38721477226792</v>
      </c>
      <c r="DG202" s="363">
        <v>163.90962588428204</v>
      </c>
      <c r="DH202" s="362">
        <v>3.072898202856877</v>
      </c>
      <c r="DI202" s="362">
        <v>3.1475677883736748</v>
      </c>
      <c r="DJ202" s="362">
        <v>3.2240518000878864</v>
      </c>
      <c r="DK202" s="363">
        <v>3.2028550740394999</v>
      </c>
      <c r="DL202" s="363">
        <v>3.1817977071649195</v>
      </c>
      <c r="DM202" s="363">
        <v>3.1716371972043964</v>
      </c>
      <c r="DN202" s="363">
        <v>3.1615091330409228</v>
      </c>
      <c r="DO202" s="363">
        <v>3.1514134110645662</v>
      </c>
      <c r="DP202" s="363">
        <v>3.141349927996254</v>
      </c>
      <c r="DQ202" s="363">
        <v>3.131318580886719</v>
      </c>
      <c r="DR202" s="363">
        <v>3.1544808436996177</v>
      </c>
      <c r="DS202" s="363">
        <v>3.1778144370254475</v>
      </c>
      <c r="DT202" s="363">
        <v>3.2013206281905009</v>
      </c>
      <c r="DU202" s="363">
        <v>3.2250006938954434</v>
      </c>
      <c r="DV202" s="363">
        <v>3.248855920284651</v>
      </c>
      <c r="DW202" s="435">
        <v>3.261951463587494</v>
      </c>
      <c r="DX202" s="435">
        <v>3.275047006890337</v>
      </c>
      <c r="DY202" s="435">
        <v>3.2881425501931805</v>
      </c>
      <c r="DZ202" s="435">
        <v>3.3012380934960235</v>
      </c>
      <c r="EA202" s="363">
        <v>3.3143336367988665</v>
      </c>
      <c r="EB202" s="435">
        <v>3.3250681117032661</v>
      </c>
      <c r="EC202" s="435">
        <v>3.3358025866076653</v>
      </c>
      <c r="ED202" s="435">
        <v>3.3465370615120649</v>
      </c>
      <c r="EE202" s="435">
        <v>3.357271536416464</v>
      </c>
      <c r="EF202" s="363">
        <v>3.3680060113208636</v>
      </c>
      <c r="EG202" s="364">
        <v>0</v>
      </c>
      <c r="EH202" s="364">
        <v>0</v>
      </c>
      <c r="EI202" s="364">
        <v>0</v>
      </c>
      <c r="EJ202" s="365">
        <v>0</v>
      </c>
      <c r="EK202" s="365">
        <v>0</v>
      </c>
      <c r="EL202" s="365">
        <v>0</v>
      </c>
      <c r="EM202" s="365">
        <v>0</v>
      </c>
      <c r="EN202" s="365">
        <v>0</v>
      </c>
      <c r="EO202" s="365">
        <v>0</v>
      </c>
      <c r="EP202" s="365">
        <v>0</v>
      </c>
      <c r="EQ202" s="365">
        <v>0</v>
      </c>
      <c r="ER202" s="365">
        <v>0</v>
      </c>
      <c r="ES202" s="365">
        <v>0</v>
      </c>
      <c r="ET202" s="365">
        <v>0</v>
      </c>
      <c r="EU202" s="365">
        <v>0</v>
      </c>
      <c r="EV202" s="436">
        <v>0</v>
      </c>
      <c r="EW202" s="436">
        <v>0</v>
      </c>
      <c r="EX202" s="436">
        <v>0</v>
      </c>
      <c r="EY202" s="436">
        <v>0</v>
      </c>
      <c r="EZ202" s="365">
        <v>0</v>
      </c>
      <c r="FA202" s="436">
        <v>0</v>
      </c>
      <c r="FB202" s="436">
        <v>0</v>
      </c>
      <c r="FC202" s="436">
        <v>0</v>
      </c>
      <c r="FD202" s="436">
        <v>0</v>
      </c>
      <c r="FE202" s="365">
        <v>0</v>
      </c>
      <c r="FF202" s="364">
        <v>0</v>
      </c>
      <c r="FG202" s="364">
        <v>0</v>
      </c>
      <c r="FH202" s="364">
        <v>0</v>
      </c>
      <c r="FI202" s="365">
        <v>0</v>
      </c>
      <c r="FJ202" s="365">
        <v>0</v>
      </c>
      <c r="FK202" s="365">
        <v>0</v>
      </c>
      <c r="FL202" s="365">
        <v>0</v>
      </c>
      <c r="FM202" s="365">
        <v>0</v>
      </c>
      <c r="FN202" s="365">
        <v>0</v>
      </c>
      <c r="FO202" s="365">
        <v>0</v>
      </c>
      <c r="FP202" s="365">
        <v>0</v>
      </c>
      <c r="FQ202" s="365">
        <v>0</v>
      </c>
      <c r="FR202" s="365">
        <v>0</v>
      </c>
      <c r="FS202" s="365">
        <v>0</v>
      </c>
      <c r="FT202" s="365">
        <v>0</v>
      </c>
      <c r="FU202" s="436">
        <v>0</v>
      </c>
      <c r="FV202" s="436">
        <v>0</v>
      </c>
      <c r="FW202" s="436">
        <v>0</v>
      </c>
      <c r="FX202" s="436">
        <v>0</v>
      </c>
      <c r="FY202" s="365">
        <v>0</v>
      </c>
      <c r="FZ202" s="436">
        <v>0</v>
      </c>
      <c r="GA202" s="436">
        <v>0</v>
      </c>
      <c r="GB202" s="436">
        <v>0</v>
      </c>
      <c r="GC202" s="436">
        <v>0</v>
      </c>
      <c r="GD202" s="365">
        <v>0</v>
      </c>
    </row>
    <row r="203" spans="1:186" ht="15" x14ac:dyDescent="0.25">
      <c r="A203" s="357">
        <v>119</v>
      </c>
      <c r="B203" s="357">
        <v>93</v>
      </c>
      <c r="C203" s="357" t="s">
        <v>1113</v>
      </c>
      <c r="D203" s="2">
        <v>99705</v>
      </c>
      <c r="E203" s="268" t="s">
        <v>218</v>
      </c>
      <c r="F203" s="358" t="s">
        <v>985</v>
      </c>
      <c r="G203" s="49">
        <v>510</v>
      </c>
      <c r="H203" s="49">
        <v>185</v>
      </c>
      <c r="I203" s="49">
        <v>175</v>
      </c>
      <c r="J203" s="49">
        <v>10</v>
      </c>
      <c r="K203" s="49">
        <v>2</v>
      </c>
      <c r="L203" s="49">
        <v>102</v>
      </c>
      <c r="M203" s="49">
        <v>104</v>
      </c>
      <c r="N203" s="49">
        <v>3</v>
      </c>
      <c r="O203" s="49">
        <v>0</v>
      </c>
      <c r="P203" s="49">
        <v>0</v>
      </c>
      <c r="Q203" s="49">
        <v>107</v>
      </c>
      <c r="R203" s="49">
        <v>2336</v>
      </c>
      <c r="S203" s="49">
        <v>2328.039215686274</v>
      </c>
      <c r="T203" s="49">
        <v>2328.1923076923076</v>
      </c>
      <c r="U203" s="49">
        <v>5641</v>
      </c>
      <c r="V203" s="49">
        <v>0</v>
      </c>
      <c r="W203" s="49">
        <v>0</v>
      </c>
      <c r="X203" s="49">
        <v>2421.0747663551401</v>
      </c>
      <c r="Y203" s="434">
        <v>242132</v>
      </c>
      <c r="Z203" s="434">
        <v>16923</v>
      </c>
      <c r="AA203" s="49">
        <v>3.5576923076923075</v>
      </c>
      <c r="AB203" s="49">
        <v>181.44230769230768</v>
      </c>
      <c r="AC203" s="49">
        <v>0</v>
      </c>
      <c r="AD203" s="285">
        <v>3</v>
      </c>
      <c r="AE203" s="285">
        <v>0</v>
      </c>
      <c r="AF203" s="359">
        <v>188</v>
      </c>
      <c r="AG203" s="360">
        <v>3.365384615384615</v>
      </c>
      <c r="AH203" s="360">
        <v>171.63461538461536</v>
      </c>
      <c r="AI203" s="361">
        <v>174.99999999999997</v>
      </c>
      <c r="AJ203" s="360">
        <v>0</v>
      </c>
      <c r="AK203" s="360">
        <v>3.3020781642472921</v>
      </c>
      <c r="AL203" s="360">
        <v>168.40598637661188</v>
      </c>
      <c r="AM203" s="360">
        <v>171.70806454085917</v>
      </c>
      <c r="AN203" s="360">
        <v>0</v>
      </c>
      <c r="AO203" s="360">
        <v>3.1396086432595069</v>
      </c>
      <c r="AP203" s="360">
        <v>160.12004080623484</v>
      </c>
      <c r="AQ203" s="360">
        <v>163.25964944949436</v>
      </c>
      <c r="AR203" s="360">
        <v>0</v>
      </c>
      <c r="AS203" s="360">
        <v>2.8203230020047281</v>
      </c>
      <c r="AT203" s="360">
        <v>0</v>
      </c>
      <c r="AU203" s="360">
        <v>159.37113204523172</v>
      </c>
      <c r="AV203" s="360">
        <v>165.42463125898888</v>
      </c>
      <c r="AW203" s="360">
        <v>171.7080645408592</v>
      </c>
      <c r="AX203" s="360">
        <v>178.23016562877046</v>
      </c>
      <c r="AY203" s="360">
        <v>185</v>
      </c>
      <c r="AZ203" s="360">
        <v>152.30693221926734</v>
      </c>
      <c r="BA203" s="360">
        <v>157.68822518769585</v>
      </c>
      <c r="BB203" s="360">
        <v>163.25964944949436</v>
      </c>
      <c r="BC203" s="360">
        <v>169.02792270409498</v>
      </c>
      <c r="BD203" s="360">
        <v>174.99999999999997</v>
      </c>
      <c r="BE203" s="360">
        <v>2.6514072785456535</v>
      </c>
      <c r="BF203" s="360">
        <v>2.7345611961272809</v>
      </c>
      <c r="BG203" s="360">
        <v>2.8203230020047281</v>
      </c>
      <c r="BH203" s="360">
        <v>2.9087744852453215</v>
      </c>
      <c r="BI203" s="360">
        <v>3</v>
      </c>
      <c r="BJ203" s="362">
        <v>189.11022456098314</v>
      </c>
      <c r="BK203" s="362">
        <v>193.31176774867819</v>
      </c>
      <c r="BL203" s="362">
        <v>197.60665842828729</v>
      </c>
      <c r="BM203" s="363">
        <v>196.30748134809045</v>
      </c>
      <c r="BN203" s="363">
        <v>195.01684578718823</v>
      </c>
      <c r="BO203" s="363">
        <v>194.39409387570481</v>
      </c>
      <c r="BP203" s="363">
        <v>193.77333061264659</v>
      </c>
      <c r="BQ203" s="363">
        <v>193.1545496476154</v>
      </c>
      <c r="BR203" s="363">
        <v>192.53774465049204</v>
      </c>
      <c r="BS203" s="363">
        <v>191.92290931137143</v>
      </c>
      <c r="BT203" s="363">
        <v>193.34255689766948</v>
      </c>
      <c r="BU203" s="363">
        <v>194.77270557149541</v>
      </c>
      <c r="BV203" s="363">
        <v>196.21343300905585</v>
      </c>
      <c r="BW203" s="363">
        <v>197.66481746112589</v>
      </c>
      <c r="BX203" s="363">
        <v>199.12693775729889</v>
      </c>
      <c r="BY203" s="435">
        <v>199.92958198041813</v>
      </c>
      <c r="BZ203" s="435">
        <v>200.73222620353738</v>
      </c>
      <c r="CA203" s="435">
        <v>201.53487042665665</v>
      </c>
      <c r="CB203" s="435">
        <v>202.3375146497759</v>
      </c>
      <c r="CC203" s="363">
        <v>203.14015887289514</v>
      </c>
      <c r="CD203" s="435">
        <v>203.79808990110718</v>
      </c>
      <c r="CE203" s="435">
        <v>204.45602092931921</v>
      </c>
      <c r="CF203" s="435">
        <v>205.11395195753124</v>
      </c>
      <c r="CG203" s="435">
        <v>205.77188298574328</v>
      </c>
      <c r="CH203" s="363">
        <v>206.42981401395531</v>
      </c>
      <c r="CI203" s="362">
        <v>178.88805026038941</v>
      </c>
      <c r="CJ203" s="362">
        <v>182.86248300550636</v>
      </c>
      <c r="CK203" s="362">
        <v>186.92521743216361</v>
      </c>
      <c r="CL203" s="363">
        <v>185.69626614008553</v>
      </c>
      <c r="CM203" s="363">
        <v>184.47539466355639</v>
      </c>
      <c r="CN203" s="363">
        <v>183.88630501755856</v>
      </c>
      <c r="CO203" s="363">
        <v>183.29909652547644</v>
      </c>
      <c r="CP203" s="363">
        <v>182.71376318017667</v>
      </c>
      <c r="CQ203" s="363">
        <v>182.13029899370864</v>
      </c>
      <c r="CR203" s="363">
        <v>181.54869799724318</v>
      </c>
      <c r="CS203" s="363">
        <v>182.89160787617379</v>
      </c>
      <c r="CT203" s="363">
        <v>184.2444512162794</v>
      </c>
      <c r="CU203" s="363">
        <v>185.60730149505278</v>
      </c>
      <c r="CV203" s="363">
        <v>186.98023273349742</v>
      </c>
      <c r="CW203" s="363">
        <v>188.36331950014755</v>
      </c>
      <c r="CX203" s="435">
        <v>189.12257754904414</v>
      </c>
      <c r="CY203" s="435">
        <v>189.88183559794072</v>
      </c>
      <c r="CZ203" s="435">
        <v>190.64109364683731</v>
      </c>
      <c r="DA203" s="435">
        <v>191.40035169573389</v>
      </c>
      <c r="DB203" s="363">
        <v>192.15960974463047</v>
      </c>
      <c r="DC203" s="435">
        <v>192.78197693347968</v>
      </c>
      <c r="DD203" s="435">
        <v>193.40434412232892</v>
      </c>
      <c r="DE203" s="435">
        <v>194.02671131117813</v>
      </c>
      <c r="DF203" s="435">
        <v>194.64907850002737</v>
      </c>
      <c r="DG203" s="363">
        <v>195.27144568887658</v>
      </c>
      <c r="DH203" s="362">
        <v>3.066652290178105</v>
      </c>
      <c r="DI203" s="362">
        <v>3.1347854229515382</v>
      </c>
      <c r="DJ203" s="362">
        <v>3.2044322988370908</v>
      </c>
      <c r="DK203" s="363">
        <v>3.1833645624014664</v>
      </c>
      <c r="DL203" s="363">
        <v>3.1624353370895384</v>
      </c>
      <c r="DM203" s="363">
        <v>3.1523366574438612</v>
      </c>
      <c r="DN203" s="363">
        <v>3.1422702261510254</v>
      </c>
      <c r="DO203" s="363">
        <v>3.1322359402316007</v>
      </c>
      <c r="DP203" s="363">
        <v>3.1222336970350058</v>
      </c>
      <c r="DQ203" s="363">
        <v>3.1122633942384552</v>
      </c>
      <c r="DR203" s="363">
        <v>3.1352847064486942</v>
      </c>
      <c r="DS203" s="363">
        <v>3.1584763065647898</v>
      </c>
      <c r="DT203" s="363">
        <v>3.181839454200905</v>
      </c>
      <c r="DU203" s="363">
        <v>3.2053754182885275</v>
      </c>
      <c r="DV203" s="363">
        <v>3.2290854771453867</v>
      </c>
      <c r="DW203" s="435">
        <v>3.2421013294121854</v>
      </c>
      <c r="DX203" s="435">
        <v>3.2551171816789841</v>
      </c>
      <c r="DY203" s="435">
        <v>3.2681330339457828</v>
      </c>
      <c r="DZ203" s="435">
        <v>3.2811488862125815</v>
      </c>
      <c r="EA203" s="363">
        <v>3.2941647384793802</v>
      </c>
      <c r="EB203" s="435">
        <v>3.3048338902882239</v>
      </c>
      <c r="EC203" s="435">
        <v>3.3155030420970677</v>
      </c>
      <c r="ED203" s="435">
        <v>3.3261721939059115</v>
      </c>
      <c r="EE203" s="435">
        <v>3.3368413457147552</v>
      </c>
      <c r="EF203" s="363">
        <v>3.347510497523599</v>
      </c>
      <c r="EG203" s="364">
        <v>0</v>
      </c>
      <c r="EH203" s="364">
        <v>0</v>
      </c>
      <c r="EI203" s="364">
        <v>0</v>
      </c>
      <c r="EJ203" s="365">
        <v>0</v>
      </c>
      <c r="EK203" s="365">
        <v>0</v>
      </c>
      <c r="EL203" s="365">
        <v>0</v>
      </c>
      <c r="EM203" s="365">
        <v>0</v>
      </c>
      <c r="EN203" s="365">
        <v>0</v>
      </c>
      <c r="EO203" s="365">
        <v>0</v>
      </c>
      <c r="EP203" s="365">
        <v>0</v>
      </c>
      <c r="EQ203" s="365">
        <v>0</v>
      </c>
      <c r="ER203" s="365">
        <v>0</v>
      </c>
      <c r="ES203" s="365">
        <v>0</v>
      </c>
      <c r="ET203" s="365">
        <v>0</v>
      </c>
      <c r="EU203" s="365">
        <v>0</v>
      </c>
      <c r="EV203" s="436">
        <v>0</v>
      </c>
      <c r="EW203" s="436">
        <v>0</v>
      </c>
      <c r="EX203" s="436">
        <v>0</v>
      </c>
      <c r="EY203" s="436">
        <v>0</v>
      </c>
      <c r="EZ203" s="365">
        <v>0</v>
      </c>
      <c r="FA203" s="436">
        <v>0</v>
      </c>
      <c r="FB203" s="436">
        <v>0</v>
      </c>
      <c r="FC203" s="436">
        <v>0</v>
      </c>
      <c r="FD203" s="436">
        <v>0</v>
      </c>
      <c r="FE203" s="365">
        <v>0</v>
      </c>
      <c r="FF203" s="364">
        <v>0</v>
      </c>
      <c r="FG203" s="364">
        <v>0</v>
      </c>
      <c r="FH203" s="364">
        <v>0</v>
      </c>
      <c r="FI203" s="365">
        <v>0</v>
      </c>
      <c r="FJ203" s="365">
        <v>0</v>
      </c>
      <c r="FK203" s="365">
        <v>0</v>
      </c>
      <c r="FL203" s="365">
        <v>0</v>
      </c>
      <c r="FM203" s="365">
        <v>0</v>
      </c>
      <c r="FN203" s="365">
        <v>0</v>
      </c>
      <c r="FO203" s="365">
        <v>0</v>
      </c>
      <c r="FP203" s="365">
        <v>0</v>
      </c>
      <c r="FQ203" s="365">
        <v>0</v>
      </c>
      <c r="FR203" s="365">
        <v>0</v>
      </c>
      <c r="FS203" s="365">
        <v>0</v>
      </c>
      <c r="FT203" s="365">
        <v>0</v>
      </c>
      <c r="FU203" s="436">
        <v>0</v>
      </c>
      <c r="FV203" s="436">
        <v>0</v>
      </c>
      <c r="FW203" s="436">
        <v>0</v>
      </c>
      <c r="FX203" s="436">
        <v>0</v>
      </c>
      <c r="FY203" s="365">
        <v>0</v>
      </c>
      <c r="FZ203" s="436">
        <v>0</v>
      </c>
      <c r="GA203" s="436">
        <v>0</v>
      </c>
      <c r="GB203" s="436">
        <v>0</v>
      </c>
      <c r="GC203" s="436">
        <v>0</v>
      </c>
      <c r="GD203" s="365">
        <v>0</v>
      </c>
    </row>
    <row r="204" spans="1:186" ht="15" x14ac:dyDescent="0.25">
      <c r="A204" s="357">
        <v>120</v>
      </c>
      <c r="B204" s="357">
        <v>93</v>
      </c>
      <c r="C204" s="357" t="s">
        <v>1114</v>
      </c>
      <c r="D204" s="2">
        <v>99705</v>
      </c>
      <c r="E204" s="268" t="s">
        <v>218</v>
      </c>
      <c r="F204" s="358" t="s">
        <v>985</v>
      </c>
      <c r="G204" s="49">
        <v>249</v>
      </c>
      <c r="H204" s="49">
        <v>90</v>
      </c>
      <c r="I204" s="49">
        <v>84</v>
      </c>
      <c r="J204" s="49">
        <v>6</v>
      </c>
      <c r="K204" s="49">
        <v>0</v>
      </c>
      <c r="L204" s="49">
        <v>88</v>
      </c>
      <c r="M204" s="49">
        <v>88</v>
      </c>
      <c r="N204" s="49">
        <v>1</v>
      </c>
      <c r="O204" s="49">
        <v>0</v>
      </c>
      <c r="P204" s="49">
        <v>0</v>
      </c>
      <c r="Q204" s="49">
        <v>89</v>
      </c>
      <c r="R204" s="49">
        <v>0</v>
      </c>
      <c r="S204" s="49">
        <v>2188.1363636363635</v>
      </c>
      <c r="T204" s="49">
        <v>2188.1363636363635</v>
      </c>
      <c r="U204" s="49">
        <v>5190</v>
      </c>
      <c r="V204" s="49">
        <v>0</v>
      </c>
      <c r="W204" s="49">
        <v>0</v>
      </c>
      <c r="X204" s="49">
        <v>2221.8651685393256</v>
      </c>
      <c r="Y204" s="434">
        <v>192556</v>
      </c>
      <c r="Z204" s="434">
        <v>5190</v>
      </c>
      <c r="AA204" s="49">
        <v>0</v>
      </c>
      <c r="AB204" s="49">
        <v>90</v>
      </c>
      <c r="AC204" s="49">
        <v>0</v>
      </c>
      <c r="AD204" s="285">
        <v>1</v>
      </c>
      <c r="AE204" s="285">
        <v>0</v>
      </c>
      <c r="AF204" s="359">
        <v>91</v>
      </c>
      <c r="AG204" s="360">
        <v>0</v>
      </c>
      <c r="AH204" s="360">
        <v>84</v>
      </c>
      <c r="AI204" s="361">
        <v>84</v>
      </c>
      <c r="AJ204" s="360">
        <v>0</v>
      </c>
      <c r="AK204" s="360">
        <v>0</v>
      </c>
      <c r="AL204" s="360">
        <v>83.533653019877448</v>
      </c>
      <c r="AM204" s="360">
        <v>83.533653019877448</v>
      </c>
      <c r="AN204" s="360">
        <v>0</v>
      </c>
      <c r="AO204" s="360">
        <v>0</v>
      </c>
      <c r="AP204" s="360">
        <v>78.3646317357573</v>
      </c>
      <c r="AQ204" s="360">
        <v>78.3646317357573</v>
      </c>
      <c r="AR204" s="360">
        <v>0</v>
      </c>
      <c r="AS204" s="360">
        <v>0.94010766733490925</v>
      </c>
      <c r="AT204" s="360">
        <v>0</v>
      </c>
      <c r="AU204" s="360">
        <v>77.531902076058671</v>
      </c>
      <c r="AV204" s="360">
        <v>80.476847639508108</v>
      </c>
      <c r="AW204" s="360">
        <v>83.533653019877448</v>
      </c>
      <c r="AX204" s="360">
        <v>86.706567062645092</v>
      </c>
      <c r="AY204" s="360">
        <v>90</v>
      </c>
      <c r="AZ204" s="360">
        <v>73.107327465248332</v>
      </c>
      <c r="BA204" s="360">
        <v>75.69034809009402</v>
      </c>
      <c r="BB204" s="360">
        <v>78.3646317357573</v>
      </c>
      <c r="BC204" s="360">
        <v>81.133402897965595</v>
      </c>
      <c r="BD204" s="360">
        <v>84</v>
      </c>
      <c r="BE204" s="360">
        <v>0.88380242618188454</v>
      </c>
      <c r="BF204" s="360">
        <v>0.91152039870909352</v>
      </c>
      <c r="BG204" s="360">
        <v>0.94010766733490925</v>
      </c>
      <c r="BH204" s="360">
        <v>0.96959149508177378</v>
      </c>
      <c r="BI204" s="360">
        <v>1</v>
      </c>
      <c r="BJ204" s="362">
        <v>91.999568705343151</v>
      </c>
      <c r="BK204" s="362">
        <v>94.043562688546146</v>
      </c>
      <c r="BL204" s="362">
        <v>96.132968965112724</v>
      </c>
      <c r="BM204" s="363">
        <v>95.500936872043994</v>
      </c>
      <c r="BN204" s="363">
        <v>94.873060112686147</v>
      </c>
      <c r="BO204" s="363">
        <v>94.570099723315835</v>
      </c>
      <c r="BP204" s="363">
        <v>94.268106784530758</v>
      </c>
      <c r="BQ204" s="363">
        <v>93.967078206948017</v>
      </c>
      <c r="BR204" s="363">
        <v>93.66701091105017</v>
      </c>
      <c r="BS204" s="363">
        <v>93.367901827153645</v>
      </c>
      <c r="BT204" s="363">
        <v>94.058541193460826</v>
      </c>
      <c r="BU204" s="363">
        <v>94.754289196943702</v>
      </c>
      <c r="BV204" s="363">
        <v>95.45518362602715</v>
      </c>
      <c r="BW204" s="363">
        <v>96.161262548655827</v>
      </c>
      <c r="BX204" s="363">
        <v>96.872564314361611</v>
      </c>
      <c r="BY204" s="435">
        <v>97.263039882365575</v>
      </c>
      <c r="BZ204" s="435">
        <v>97.653515450369525</v>
      </c>
      <c r="CA204" s="435">
        <v>98.04399101837349</v>
      </c>
      <c r="CB204" s="435">
        <v>98.43446658637744</v>
      </c>
      <c r="CC204" s="363">
        <v>98.824942154381404</v>
      </c>
      <c r="CD204" s="435">
        <v>99.145016708646722</v>
      </c>
      <c r="CE204" s="435">
        <v>99.46509126291204</v>
      </c>
      <c r="CF204" s="435">
        <v>99.785165817177344</v>
      </c>
      <c r="CG204" s="435">
        <v>100.10524037144266</v>
      </c>
      <c r="CH204" s="363">
        <v>100.42531492570798</v>
      </c>
      <c r="CI204" s="362">
        <v>85.866264124986941</v>
      </c>
      <c r="CJ204" s="362">
        <v>87.773991842643071</v>
      </c>
      <c r="CK204" s="362">
        <v>89.724104367438542</v>
      </c>
      <c r="CL204" s="363">
        <v>89.134207747241064</v>
      </c>
      <c r="CM204" s="363">
        <v>88.54818943850708</v>
      </c>
      <c r="CN204" s="363">
        <v>88.265426408428112</v>
      </c>
      <c r="CO204" s="363">
        <v>87.983566332228705</v>
      </c>
      <c r="CP204" s="363">
        <v>87.702606326484812</v>
      </c>
      <c r="CQ204" s="363">
        <v>87.422543516980156</v>
      </c>
      <c r="CR204" s="363">
        <v>87.143375038676737</v>
      </c>
      <c r="CS204" s="363">
        <v>87.787971780563424</v>
      </c>
      <c r="CT204" s="363">
        <v>88.437336583814115</v>
      </c>
      <c r="CU204" s="363">
        <v>89.091504717625341</v>
      </c>
      <c r="CV204" s="363">
        <v>89.750511712078762</v>
      </c>
      <c r="CW204" s="363">
        <v>90.414393360070832</v>
      </c>
      <c r="CX204" s="435">
        <v>90.778837223541188</v>
      </c>
      <c r="CY204" s="435">
        <v>91.143281087011559</v>
      </c>
      <c r="CZ204" s="435">
        <v>91.507724950481915</v>
      </c>
      <c r="DA204" s="435">
        <v>91.872168813952285</v>
      </c>
      <c r="DB204" s="363">
        <v>92.236612677422642</v>
      </c>
      <c r="DC204" s="435">
        <v>92.535348928070263</v>
      </c>
      <c r="DD204" s="435">
        <v>92.834085178717899</v>
      </c>
      <c r="DE204" s="435">
        <v>93.132821429365521</v>
      </c>
      <c r="DF204" s="435">
        <v>93.431557680013157</v>
      </c>
      <c r="DG204" s="363">
        <v>93.730293930660778</v>
      </c>
      <c r="DH204" s="362">
        <v>1.0222174300593683</v>
      </c>
      <c r="DI204" s="362">
        <v>1.0449284743171794</v>
      </c>
      <c r="DJ204" s="362">
        <v>1.0681440996123637</v>
      </c>
      <c r="DK204" s="363">
        <v>1.0611215208004889</v>
      </c>
      <c r="DL204" s="363">
        <v>1.0541451123631795</v>
      </c>
      <c r="DM204" s="363">
        <v>1.0507788858146205</v>
      </c>
      <c r="DN204" s="363">
        <v>1.0474234087170085</v>
      </c>
      <c r="DO204" s="363">
        <v>1.044078646743867</v>
      </c>
      <c r="DP204" s="363">
        <v>1.0407445656783352</v>
      </c>
      <c r="DQ204" s="363">
        <v>1.0374211314128183</v>
      </c>
      <c r="DR204" s="363">
        <v>1.0450949021495648</v>
      </c>
      <c r="DS204" s="363">
        <v>1.0528254355215967</v>
      </c>
      <c r="DT204" s="363">
        <v>1.0606131514003019</v>
      </c>
      <c r="DU204" s="363">
        <v>1.0684584727628426</v>
      </c>
      <c r="DV204" s="363">
        <v>1.0763618257151291</v>
      </c>
      <c r="DW204" s="435">
        <v>1.0807004431373952</v>
      </c>
      <c r="DX204" s="435">
        <v>1.0850390605596614</v>
      </c>
      <c r="DY204" s="435">
        <v>1.0893776779819278</v>
      </c>
      <c r="DZ204" s="435">
        <v>1.0937162954041939</v>
      </c>
      <c r="EA204" s="363">
        <v>1.0980549128264601</v>
      </c>
      <c r="EB204" s="435">
        <v>1.1016112967627414</v>
      </c>
      <c r="EC204" s="435">
        <v>1.1051676806990227</v>
      </c>
      <c r="ED204" s="435">
        <v>1.1087240646353038</v>
      </c>
      <c r="EE204" s="435">
        <v>1.1122804485715851</v>
      </c>
      <c r="EF204" s="363">
        <v>1.1158368325078665</v>
      </c>
      <c r="EG204" s="364">
        <v>0</v>
      </c>
      <c r="EH204" s="364">
        <v>0</v>
      </c>
      <c r="EI204" s="364">
        <v>0</v>
      </c>
      <c r="EJ204" s="365">
        <v>0</v>
      </c>
      <c r="EK204" s="365">
        <v>0</v>
      </c>
      <c r="EL204" s="365">
        <v>0</v>
      </c>
      <c r="EM204" s="365">
        <v>0</v>
      </c>
      <c r="EN204" s="365">
        <v>0</v>
      </c>
      <c r="EO204" s="365">
        <v>0</v>
      </c>
      <c r="EP204" s="365">
        <v>0</v>
      </c>
      <c r="EQ204" s="365">
        <v>0</v>
      </c>
      <c r="ER204" s="365">
        <v>0</v>
      </c>
      <c r="ES204" s="365">
        <v>0</v>
      </c>
      <c r="ET204" s="365">
        <v>0</v>
      </c>
      <c r="EU204" s="365">
        <v>0</v>
      </c>
      <c r="EV204" s="436">
        <v>0</v>
      </c>
      <c r="EW204" s="436">
        <v>0</v>
      </c>
      <c r="EX204" s="436">
        <v>0</v>
      </c>
      <c r="EY204" s="436">
        <v>0</v>
      </c>
      <c r="EZ204" s="365">
        <v>0</v>
      </c>
      <c r="FA204" s="436">
        <v>0</v>
      </c>
      <c r="FB204" s="436">
        <v>0</v>
      </c>
      <c r="FC204" s="436">
        <v>0</v>
      </c>
      <c r="FD204" s="436">
        <v>0</v>
      </c>
      <c r="FE204" s="365">
        <v>0</v>
      </c>
      <c r="FF204" s="364">
        <v>0</v>
      </c>
      <c r="FG204" s="364">
        <v>0</v>
      </c>
      <c r="FH204" s="364">
        <v>0</v>
      </c>
      <c r="FI204" s="365">
        <v>0</v>
      </c>
      <c r="FJ204" s="365">
        <v>0</v>
      </c>
      <c r="FK204" s="365">
        <v>0</v>
      </c>
      <c r="FL204" s="365">
        <v>0</v>
      </c>
      <c r="FM204" s="365">
        <v>0</v>
      </c>
      <c r="FN204" s="365">
        <v>0</v>
      </c>
      <c r="FO204" s="365">
        <v>0</v>
      </c>
      <c r="FP204" s="365">
        <v>0</v>
      </c>
      <c r="FQ204" s="365">
        <v>0</v>
      </c>
      <c r="FR204" s="365">
        <v>0</v>
      </c>
      <c r="FS204" s="365">
        <v>0</v>
      </c>
      <c r="FT204" s="365">
        <v>0</v>
      </c>
      <c r="FU204" s="436">
        <v>0</v>
      </c>
      <c r="FV204" s="436">
        <v>0</v>
      </c>
      <c r="FW204" s="436">
        <v>0</v>
      </c>
      <c r="FX204" s="436">
        <v>0</v>
      </c>
      <c r="FY204" s="365">
        <v>0</v>
      </c>
      <c r="FZ204" s="436">
        <v>0</v>
      </c>
      <c r="GA204" s="436">
        <v>0</v>
      </c>
      <c r="GB204" s="436">
        <v>0</v>
      </c>
      <c r="GC204" s="436">
        <v>0</v>
      </c>
      <c r="GD204" s="365">
        <v>0</v>
      </c>
    </row>
    <row r="205" spans="1:186" ht="15" x14ac:dyDescent="0.25">
      <c r="A205" s="357">
        <v>121</v>
      </c>
      <c r="B205" s="357">
        <v>93</v>
      </c>
      <c r="C205" s="357" t="s">
        <v>1115</v>
      </c>
      <c r="D205" s="2">
        <v>99705</v>
      </c>
      <c r="E205" s="268" t="s">
        <v>218</v>
      </c>
      <c r="F205" s="358" t="s">
        <v>985</v>
      </c>
      <c r="G205" s="49">
        <v>26</v>
      </c>
      <c r="H205" s="49">
        <v>17</v>
      </c>
      <c r="I205" s="49">
        <v>11</v>
      </c>
      <c r="J205" s="49">
        <v>6</v>
      </c>
      <c r="K205" s="49">
        <v>0</v>
      </c>
      <c r="L205" s="49">
        <v>16</v>
      </c>
      <c r="M205" s="49">
        <v>16</v>
      </c>
      <c r="N205" s="49">
        <v>0</v>
      </c>
      <c r="O205" s="49">
        <v>0</v>
      </c>
      <c r="P205" s="49">
        <v>0</v>
      </c>
      <c r="Q205" s="49">
        <v>16</v>
      </c>
      <c r="R205" s="49">
        <v>0</v>
      </c>
      <c r="S205" s="49">
        <v>2378.9375</v>
      </c>
      <c r="T205" s="49">
        <v>2378.9375</v>
      </c>
      <c r="U205" s="49">
        <v>0</v>
      </c>
      <c r="V205" s="49">
        <v>0</v>
      </c>
      <c r="W205" s="49">
        <v>0</v>
      </c>
      <c r="X205" s="49">
        <v>2378.9375</v>
      </c>
      <c r="Y205" s="434">
        <v>38063</v>
      </c>
      <c r="Z205" s="434">
        <v>0</v>
      </c>
      <c r="AA205" s="49">
        <v>0</v>
      </c>
      <c r="AB205" s="49">
        <v>17</v>
      </c>
      <c r="AC205" s="49">
        <v>0</v>
      </c>
      <c r="AD205" s="285">
        <v>0</v>
      </c>
      <c r="AE205" s="285">
        <v>0</v>
      </c>
      <c r="AF205" s="359">
        <v>17</v>
      </c>
      <c r="AG205" s="360">
        <v>0</v>
      </c>
      <c r="AH205" s="360">
        <v>11</v>
      </c>
      <c r="AI205" s="361">
        <v>11</v>
      </c>
      <c r="AJ205" s="360">
        <v>0</v>
      </c>
      <c r="AK205" s="360">
        <v>0</v>
      </c>
      <c r="AL205" s="360">
        <v>15.778578903754628</v>
      </c>
      <c r="AM205" s="360">
        <v>15.778578903754628</v>
      </c>
      <c r="AN205" s="360">
        <v>0</v>
      </c>
      <c r="AO205" s="360">
        <v>0</v>
      </c>
      <c r="AP205" s="360">
        <v>10.262035108253933</v>
      </c>
      <c r="AQ205" s="360">
        <v>10.262035108253933</v>
      </c>
      <c r="AR205" s="360">
        <v>0</v>
      </c>
      <c r="AS205" s="360">
        <v>0</v>
      </c>
      <c r="AT205" s="360">
        <v>0</v>
      </c>
      <c r="AU205" s="360">
        <v>14.64491483658886</v>
      </c>
      <c r="AV205" s="360">
        <v>15.201182331907088</v>
      </c>
      <c r="AW205" s="360">
        <v>15.778578903754628</v>
      </c>
      <c r="AX205" s="360">
        <v>16.377907111832961</v>
      </c>
      <c r="AY205" s="360">
        <v>17</v>
      </c>
      <c r="AZ205" s="360">
        <v>9.5735785966396634</v>
      </c>
      <c r="BA205" s="360">
        <v>9.9118312975123128</v>
      </c>
      <c r="BB205" s="360">
        <v>10.262035108253933</v>
      </c>
      <c r="BC205" s="360">
        <v>10.624612284257401</v>
      </c>
      <c r="BD205" s="360">
        <v>11</v>
      </c>
      <c r="BE205" s="360">
        <v>0</v>
      </c>
      <c r="BF205" s="360">
        <v>0</v>
      </c>
      <c r="BG205" s="360">
        <v>0</v>
      </c>
      <c r="BH205" s="360">
        <v>0</v>
      </c>
      <c r="BI205" s="360">
        <v>0</v>
      </c>
      <c r="BJ205" s="362">
        <v>17.276955421921539</v>
      </c>
      <c r="BK205" s="362">
        <v>17.558422861827299</v>
      </c>
      <c r="BL205" s="362">
        <v>17.844475827237545</v>
      </c>
      <c r="BM205" s="363">
        <v>17.727156227851239</v>
      </c>
      <c r="BN205" s="363">
        <v>17.610607953357487</v>
      </c>
      <c r="BO205" s="363">
        <v>17.554371581975978</v>
      </c>
      <c r="BP205" s="363">
        <v>17.498314791530834</v>
      </c>
      <c r="BQ205" s="363">
        <v>17.442437008561996</v>
      </c>
      <c r="BR205" s="363">
        <v>17.386737661440645</v>
      </c>
      <c r="BS205" s="363">
        <v>17.331216180363374</v>
      </c>
      <c r="BT205" s="363">
        <v>17.459414628929746</v>
      </c>
      <c r="BU205" s="363">
        <v>17.588561357296211</v>
      </c>
      <c r="BV205" s="363">
        <v>17.71866337985794</v>
      </c>
      <c r="BW205" s="363">
        <v>17.849727762895373</v>
      </c>
      <c r="BX205" s="363">
        <v>17.981761624957976</v>
      </c>
      <c r="BY205" s="435">
        <v>18.054242813351337</v>
      </c>
      <c r="BZ205" s="435">
        <v>18.126724001744698</v>
      </c>
      <c r="CA205" s="435">
        <v>18.199205190138063</v>
      </c>
      <c r="CB205" s="435">
        <v>18.271686378531424</v>
      </c>
      <c r="CC205" s="363">
        <v>18.344167566924785</v>
      </c>
      <c r="CD205" s="435">
        <v>18.403580718395993</v>
      </c>
      <c r="CE205" s="435">
        <v>18.462993869867201</v>
      </c>
      <c r="CF205" s="435">
        <v>18.52240702133841</v>
      </c>
      <c r="CG205" s="435">
        <v>18.581820172809618</v>
      </c>
      <c r="CH205" s="363">
        <v>18.641233324280826</v>
      </c>
      <c r="CI205" s="362">
        <v>11.179206449478643</v>
      </c>
      <c r="CJ205" s="362">
        <v>11.361332440005899</v>
      </c>
      <c r="CK205" s="362">
        <v>11.546425535271352</v>
      </c>
      <c r="CL205" s="363">
        <v>11.470512853315507</v>
      </c>
      <c r="CM205" s="363">
        <v>11.395099263937196</v>
      </c>
      <c r="CN205" s="363">
        <v>11.358711023631516</v>
      </c>
      <c r="CO205" s="363">
        <v>11.322438982755246</v>
      </c>
      <c r="CP205" s="363">
        <v>11.286282770245995</v>
      </c>
      <c r="CQ205" s="363">
        <v>11.250242016226299</v>
      </c>
      <c r="CR205" s="363">
        <v>11.214316351999829</v>
      </c>
      <c r="CS205" s="363">
        <v>11.297268289307482</v>
      </c>
      <c r="CT205" s="363">
        <v>11.380833819426959</v>
      </c>
      <c r="CU205" s="363">
        <v>11.465017481084548</v>
      </c>
      <c r="CV205" s="363">
        <v>11.549823846579358</v>
      </c>
      <c r="CW205" s="363">
        <v>11.635257522031631</v>
      </c>
      <c r="CX205" s="435">
        <v>11.682157114521454</v>
      </c>
      <c r="CY205" s="435">
        <v>11.729056707011276</v>
      </c>
      <c r="CZ205" s="435">
        <v>11.775956299501097</v>
      </c>
      <c r="DA205" s="435">
        <v>11.822855891990919</v>
      </c>
      <c r="DB205" s="363">
        <v>11.869755484480741</v>
      </c>
      <c r="DC205" s="435">
        <v>11.908199288373876</v>
      </c>
      <c r="DD205" s="435">
        <v>11.946643092267012</v>
      </c>
      <c r="DE205" s="435">
        <v>11.985086896160146</v>
      </c>
      <c r="DF205" s="435">
        <v>12.023530700053282</v>
      </c>
      <c r="DG205" s="363">
        <v>12.061974503946416</v>
      </c>
      <c r="DH205" s="362">
        <v>0</v>
      </c>
      <c r="DI205" s="362">
        <v>0</v>
      </c>
      <c r="DJ205" s="362">
        <v>0</v>
      </c>
      <c r="DK205" s="363">
        <v>0</v>
      </c>
      <c r="DL205" s="363">
        <v>0</v>
      </c>
      <c r="DM205" s="363">
        <v>0</v>
      </c>
      <c r="DN205" s="363">
        <v>0</v>
      </c>
      <c r="DO205" s="363">
        <v>0</v>
      </c>
      <c r="DP205" s="363">
        <v>0</v>
      </c>
      <c r="DQ205" s="363">
        <v>0</v>
      </c>
      <c r="DR205" s="363">
        <v>0</v>
      </c>
      <c r="DS205" s="363">
        <v>0</v>
      </c>
      <c r="DT205" s="363">
        <v>0</v>
      </c>
      <c r="DU205" s="363">
        <v>0</v>
      </c>
      <c r="DV205" s="363">
        <v>0</v>
      </c>
      <c r="DW205" s="435">
        <v>0</v>
      </c>
      <c r="DX205" s="435">
        <v>0</v>
      </c>
      <c r="DY205" s="435">
        <v>0</v>
      </c>
      <c r="DZ205" s="435">
        <v>0</v>
      </c>
      <c r="EA205" s="363">
        <v>0</v>
      </c>
      <c r="EB205" s="435">
        <v>0</v>
      </c>
      <c r="EC205" s="435">
        <v>0</v>
      </c>
      <c r="ED205" s="435">
        <v>0</v>
      </c>
      <c r="EE205" s="435">
        <v>0</v>
      </c>
      <c r="EF205" s="363">
        <v>0</v>
      </c>
      <c r="EG205" s="364">
        <v>0</v>
      </c>
      <c r="EH205" s="364">
        <v>0</v>
      </c>
      <c r="EI205" s="364">
        <v>0</v>
      </c>
      <c r="EJ205" s="365">
        <v>0</v>
      </c>
      <c r="EK205" s="365">
        <v>0</v>
      </c>
      <c r="EL205" s="365">
        <v>0</v>
      </c>
      <c r="EM205" s="365">
        <v>0</v>
      </c>
      <c r="EN205" s="365">
        <v>0</v>
      </c>
      <c r="EO205" s="365">
        <v>0</v>
      </c>
      <c r="EP205" s="365">
        <v>0</v>
      </c>
      <c r="EQ205" s="365">
        <v>0</v>
      </c>
      <c r="ER205" s="365">
        <v>0</v>
      </c>
      <c r="ES205" s="365">
        <v>0</v>
      </c>
      <c r="ET205" s="365">
        <v>0</v>
      </c>
      <c r="EU205" s="365">
        <v>0</v>
      </c>
      <c r="EV205" s="436">
        <v>0</v>
      </c>
      <c r="EW205" s="436">
        <v>0</v>
      </c>
      <c r="EX205" s="436">
        <v>0</v>
      </c>
      <c r="EY205" s="436">
        <v>0</v>
      </c>
      <c r="EZ205" s="365">
        <v>0</v>
      </c>
      <c r="FA205" s="436">
        <v>0</v>
      </c>
      <c r="FB205" s="436">
        <v>0</v>
      </c>
      <c r="FC205" s="436">
        <v>0</v>
      </c>
      <c r="FD205" s="436">
        <v>0</v>
      </c>
      <c r="FE205" s="365">
        <v>0</v>
      </c>
      <c r="FF205" s="364">
        <v>0</v>
      </c>
      <c r="FG205" s="364">
        <v>0</v>
      </c>
      <c r="FH205" s="364">
        <v>0</v>
      </c>
      <c r="FI205" s="365">
        <v>0</v>
      </c>
      <c r="FJ205" s="365">
        <v>0</v>
      </c>
      <c r="FK205" s="365">
        <v>0</v>
      </c>
      <c r="FL205" s="365">
        <v>0</v>
      </c>
      <c r="FM205" s="365">
        <v>0</v>
      </c>
      <c r="FN205" s="365">
        <v>0</v>
      </c>
      <c r="FO205" s="365">
        <v>0</v>
      </c>
      <c r="FP205" s="365">
        <v>0</v>
      </c>
      <c r="FQ205" s="365">
        <v>0</v>
      </c>
      <c r="FR205" s="365">
        <v>0</v>
      </c>
      <c r="FS205" s="365">
        <v>0</v>
      </c>
      <c r="FT205" s="365">
        <v>0</v>
      </c>
      <c r="FU205" s="436">
        <v>0</v>
      </c>
      <c r="FV205" s="436">
        <v>0</v>
      </c>
      <c r="FW205" s="436">
        <v>0</v>
      </c>
      <c r="FX205" s="436">
        <v>0</v>
      </c>
      <c r="FY205" s="365">
        <v>0</v>
      </c>
      <c r="FZ205" s="436">
        <v>0</v>
      </c>
      <c r="GA205" s="436">
        <v>0</v>
      </c>
      <c r="GB205" s="436">
        <v>0</v>
      </c>
      <c r="GC205" s="436">
        <v>0</v>
      </c>
      <c r="GD205" s="365">
        <v>0</v>
      </c>
    </row>
    <row r="206" spans="1:186" ht="15" x14ac:dyDescent="0.25">
      <c r="A206" s="357">
        <v>98</v>
      </c>
      <c r="B206" s="357">
        <v>94</v>
      </c>
      <c r="C206" s="357" t="s">
        <v>1116</v>
      </c>
      <c r="D206" s="2">
        <v>99709</v>
      </c>
      <c r="E206" s="268" t="s">
        <v>19</v>
      </c>
      <c r="F206" s="358" t="s">
        <v>915</v>
      </c>
      <c r="G206" s="49">
        <v>58</v>
      </c>
      <c r="H206" s="49">
        <v>30</v>
      </c>
      <c r="I206" s="49">
        <v>24</v>
      </c>
      <c r="J206" s="49">
        <v>6</v>
      </c>
      <c r="K206" s="49">
        <v>0</v>
      </c>
      <c r="L206" s="49">
        <v>38</v>
      </c>
      <c r="M206" s="49">
        <v>38</v>
      </c>
      <c r="N206" s="49">
        <v>1</v>
      </c>
      <c r="O206" s="49">
        <v>0</v>
      </c>
      <c r="P206" s="49">
        <v>0</v>
      </c>
      <c r="Q206" s="49">
        <v>39</v>
      </c>
      <c r="R206" s="49">
        <v>0</v>
      </c>
      <c r="S206" s="49">
        <v>1811.2368421052631</v>
      </c>
      <c r="T206" s="49">
        <v>1811.2368421052631</v>
      </c>
      <c r="U206" s="49">
        <v>2080</v>
      </c>
      <c r="V206" s="49">
        <v>0</v>
      </c>
      <c r="W206" s="49">
        <v>0</v>
      </c>
      <c r="X206" s="49">
        <v>1818.1282051282051</v>
      </c>
      <c r="Y206" s="434">
        <v>68827</v>
      </c>
      <c r="Z206" s="434">
        <v>2080</v>
      </c>
      <c r="AA206" s="49">
        <v>0</v>
      </c>
      <c r="AB206" s="49">
        <v>30</v>
      </c>
      <c r="AC206" s="49">
        <v>0</v>
      </c>
      <c r="AD206" s="285">
        <v>1</v>
      </c>
      <c r="AE206" s="285">
        <v>0</v>
      </c>
      <c r="AF206" s="359">
        <v>31</v>
      </c>
      <c r="AG206" s="360">
        <v>0</v>
      </c>
      <c r="AH206" s="360">
        <v>24</v>
      </c>
      <c r="AI206" s="361">
        <v>24</v>
      </c>
      <c r="AJ206" s="360">
        <v>0</v>
      </c>
      <c r="AK206" s="360">
        <v>0</v>
      </c>
      <c r="AL206" s="360">
        <v>28.564751850232181</v>
      </c>
      <c r="AM206" s="360">
        <v>28.564751850232181</v>
      </c>
      <c r="AN206" s="360">
        <v>0</v>
      </c>
      <c r="AO206" s="360">
        <v>0</v>
      </c>
      <c r="AP206" s="360">
        <v>22.894911093551432</v>
      </c>
      <c r="AQ206" s="360">
        <v>22.894911093551432</v>
      </c>
      <c r="AR206" s="360">
        <v>0</v>
      </c>
      <c r="AS206" s="360">
        <v>0.95966573850124082</v>
      </c>
      <c r="AT206" s="360">
        <v>0</v>
      </c>
      <c r="AU206" s="360">
        <v>27.198168275511424</v>
      </c>
      <c r="AV206" s="360">
        <v>27.873086079062741</v>
      </c>
      <c r="AW206" s="360">
        <v>28.564751850232181</v>
      </c>
      <c r="AX206" s="360">
        <v>29.273581186916051</v>
      </c>
      <c r="AY206" s="360">
        <v>30</v>
      </c>
      <c r="AZ206" s="360">
        <v>21.840706415901014</v>
      </c>
      <c r="BA206" s="360">
        <v>22.361597250921324</v>
      </c>
      <c r="BB206" s="360">
        <v>22.894911093551432</v>
      </c>
      <c r="BC206" s="360">
        <v>23.440944226827433</v>
      </c>
      <c r="BD206" s="360">
        <v>24</v>
      </c>
      <c r="BE206" s="360">
        <v>0.92095832965313207</v>
      </c>
      <c r="BF206" s="360">
        <v>0.94011284192667122</v>
      </c>
      <c r="BG206" s="360">
        <v>0.95966573850124082</v>
      </c>
      <c r="BH206" s="360">
        <v>0.97962530515561963</v>
      </c>
      <c r="BI206" s="360">
        <v>1</v>
      </c>
      <c r="BJ206" s="362">
        <v>30.153678870335192</v>
      </c>
      <c r="BK206" s="362">
        <v>30.308144980509965</v>
      </c>
      <c r="BL206" s="362">
        <v>30.463402363261956</v>
      </c>
      <c r="BM206" s="363">
        <v>30.263118858394499</v>
      </c>
      <c r="BN206" s="363">
        <v>30.064152129698119</v>
      </c>
      <c r="BO206" s="363">
        <v>29.968147560809086</v>
      </c>
      <c r="BP206" s="363">
        <v>29.872449565583199</v>
      </c>
      <c r="BQ206" s="363">
        <v>29.777057165031508</v>
      </c>
      <c r="BR206" s="363">
        <v>29.681969383291307</v>
      </c>
      <c r="BS206" s="363">
        <v>29.587185247616134</v>
      </c>
      <c r="BT206" s="363">
        <v>29.806040705116452</v>
      </c>
      <c r="BU206" s="363">
        <v>30.026515029395636</v>
      </c>
      <c r="BV206" s="363">
        <v>30.24862019515918</v>
      </c>
      <c r="BW206" s="363">
        <v>30.472368265689092</v>
      </c>
      <c r="BX206" s="363">
        <v>30.697771393499046</v>
      </c>
      <c r="BY206" s="435">
        <v>30.821508488786769</v>
      </c>
      <c r="BZ206" s="435">
        <v>30.945245584074492</v>
      </c>
      <c r="CA206" s="435">
        <v>31.068982679362218</v>
      </c>
      <c r="CB206" s="435">
        <v>31.192719774649941</v>
      </c>
      <c r="CC206" s="363">
        <v>31.316456869937664</v>
      </c>
      <c r="CD206" s="435">
        <v>31.417884715533116</v>
      </c>
      <c r="CE206" s="435">
        <v>31.519312561128569</v>
      </c>
      <c r="CF206" s="435">
        <v>31.620740406724025</v>
      </c>
      <c r="CG206" s="435">
        <v>31.722168252319477</v>
      </c>
      <c r="CH206" s="363">
        <v>31.82359609791493</v>
      </c>
      <c r="CI206" s="362">
        <v>24.122943096268152</v>
      </c>
      <c r="CJ206" s="362">
        <v>24.246515984407971</v>
      </c>
      <c r="CK206" s="362">
        <v>24.370721890609566</v>
      </c>
      <c r="CL206" s="363">
        <v>24.2104950867156</v>
      </c>
      <c r="CM206" s="363">
        <v>24.051321703758497</v>
      </c>
      <c r="CN206" s="363">
        <v>23.974518048647273</v>
      </c>
      <c r="CO206" s="363">
        <v>23.897959652466561</v>
      </c>
      <c r="CP206" s="363">
        <v>23.821645732025207</v>
      </c>
      <c r="CQ206" s="363">
        <v>23.745575506633045</v>
      </c>
      <c r="CR206" s="363">
        <v>23.669748198092908</v>
      </c>
      <c r="CS206" s="363">
        <v>23.844832564093164</v>
      </c>
      <c r="CT206" s="363">
        <v>24.021212023516512</v>
      </c>
      <c r="CU206" s="363">
        <v>24.198896156127347</v>
      </c>
      <c r="CV206" s="363">
        <v>24.377894612551273</v>
      </c>
      <c r="CW206" s="363">
        <v>24.558217114799241</v>
      </c>
      <c r="CX206" s="435">
        <v>24.65720679102942</v>
      </c>
      <c r="CY206" s="435">
        <v>24.756196467259599</v>
      </c>
      <c r="CZ206" s="435">
        <v>24.855186143489775</v>
      </c>
      <c r="DA206" s="435">
        <v>24.954175819719953</v>
      </c>
      <c r="DB206" s="363">
        <v>25.053165495950132</v>
      </c>
      <c r="DC206" s="435">
        <v>25.134307772426496</v>
      </c>
      <c r="DD206" s="435">
        <v>25.215450048902859</v>
      </c>
      <c r="DE206" s="435">
        <v>25.296592325379219</v>
      </c>
      <c r="DF206" s="435">
        <v>25.377734601855582</v>
      </c>
      <c r="DG206" s="363">
        <v>25.458876878331946</v>
      </c>
      <c r="DH206" s="362">
        <v>1.005122629011173</v>
      </c>
      <c r="DI206" s="362">
        <v>1.0102714993503321</v>
      </c>
      <c r="DJ206" s="362">
        <v>1.0154467454420653</v>
      </c>
      <c r="DK206" s="363">
        <v>1.0087706286131499</v>
      </c>
      <c r="DL206" s="363">
        <v>1.0021384043232706</v>
      </c>
      <c r="DM206" s="363">
        <v>0.99893825202696962</v>
      </c>
      <c r="DN206" s="363">
        <v>0.99574831885277337</v>
      </c>
      <c r="DO206" s="363">
        <v>0.99256857216771699</v>
      </c>
      <c r="DP206" s="363">
        <v>0.98939897944304356</v>
      </c>
      <c r="DQ206" s="363">
        <v>0.98623950825387119</v>
      </c>
      <c r="DR206" s="363">
        <v>0.99353469017054841</v>
      </c>
      <c r="DS206" s="363">
        <v>1.0008838343131881</v>
      </c>
      <c r="DT206" s="363">
        <v>1.0082873398386394</v>
      </c>
      <c r="DU206" s="363">
        <v>1.0157456088563031</v>
      </c>
      <c r="DV206" s="363">
        <v>1.0232590464499682</v>
      </c>
      <c r="DW206" s="435">
        <v>1.0273836162928924</v>
      </c>
      <c r="DX206" s="435">
        <v>1.0315081861358164</v>
      </c>
      <c r="DY206" s="435">
        <v>1.0356327559787406</v>
      </c>
      <c r="DZ206" s="435">
        <v>1.0397573258216646</v>
      </c>
      <c r="EA206" s="363">
        <v>1.0438818956645888</v>
      </c>
      <c r="EB206" s="435">
        <v>1.0472628238511039</v>
      </c>
      <c r="EC206" s="435">
        <v>1.0506437520376191</v>
      </c>
      <c r="ED206" s="435">
        <v>1.0540246802241342</v>
      </c>
      <c r="EE206" s="435">
        <v>1.0574056084106493</v>
      </c>
      <c r="EF206" s="363">
        <v>1.0607865365971645</v>
      </c>
      <c r="EG206" s="364">
        <v>0</v>
      </c>
      <c r="EH206" s="364">
        <v>0</v>
      </c>
      <c r="EI206" s="364">
        <v>0</v>
      </c>
      <c r="EJ206" s="365">
        <v>0</v>
      </c>
      <c r="EK206" s="365">
        <v>0</v>
      </c>
      <c r="EL206" s="365">
        <v>0</v>
      </c>
      <c r="EM206" s="365">
        <v>0</v>
      </c>
      <c r="EN206" s="365">
        <v>0</v>
      </c>
      <c r="EO206" s="365">
        <v>0</v>
      </c>
      <c r="EP206" s="365">
        <v>0</v>
      </c>
      <c r="EQ206" s="365">
        <v>0</v>
      </c>
      <c r="ER206" s="365">
        <v>0</v>
      </c>
      <c r="ES206" s="365">
        <v>0</v>
      </c>
      <c r="ET206" s="365">
        <v>0</v>
      </c>
      <c r="EU206" s="365">
        <v>0</v>
      </c>
      <c r="EV206" s="436">
        <v>0</v>
      </c>
      <c r="EW206" s="436">
        <v>0</v>
      </c>
      <c r="EX206" s="436">
        <v>0</v>
      </c>
      <c r="EY206" s="436">
        <v>0</v>
      </c>
      <c r="EZ206" s="365">
        <v>0</v>
      </c>
      <c r="FA206" s="436">
        <v>0</v>
      </c>
      <c r="FB206" s="436">
        <v>0</v>
      </c>
      <c r="FC206" s="436">
        <v>0</v>
      </c>
      <c r="FD206" s="436">
        <v>0</v>
      </c>
      <c r="FE206" s="365">
        <v>0</v>
      </c>
      <c r="FF206" s="364">
        <v>0</v>
      </c>
      <c r="FG206" s="364">
        <v>0</v>
      </c>
      <c r="FH206" s="364">
        <v>0</v>
      </c>
      <c r="FI206" s="365">
        <v>0</v>
      </c>
      <c r="FJ206" s="365">
        <v>0</v>
      </c>
      <c r="FK206" s="365">
        <v>0</v>
      </c>
      <c r="FL206" s="365">
        <v>0</v>
      </c>
      <c r="FM206" s="365">
        <v>0</v>
      </c>
      <c r="FN206" s="365">
        <v>0</v>
      </c>
      <c r="FO206" s="365">
        <v>0</v>
      </c>
      <c r="FP206" s="365">
        <v>0</v>
      </c>
      <c r="FQ206" s="365">
        <v>0</v>
      </c>
      <c r="FR206" s="365">
        <v>0</v>
      </c>
      <c r="FS206" s="365">
        <v>0</v>
      </c>
      <c r="FT206" s="365">
        <v>0</v>
      </c>
      <c r="FU206" s="436">
        <v>0</v>
      </c>
      <c r="FV206" s="436">
        <v>0</v>
      </c>
      <c r="FW206" s="436">
        <v>0</v>
      </c>
      <c r="FX206" s="436">
        <v>0</v>
      </c>
      <c r="FY206" s="365">
        <v>0</v>
      </c>
      <c r="FZ206" s="436">
        <v>0</v>
      </c>
      <c r="GA206" s="436">
        <v>0</v>
      </c>
      <c r="GB206" s="436">
        <v>0</v>
      </c>
      <c r="GC206" s="436">
        <v>0</v>
      </c>
      <c r="GD206" s="365">
        <v>0</v>
      </c>
    </row>
    <row r="207" spans="1:186" ht="15" x14ac:dyDescent="0.25">
      <c r="A207" s="357">
        <v>99</v>
      </c>
      <c r="B207" s="357">
        <v>94</v>
      </c>
      <c r="C207" s="357" t="s">
        <v>1117</v>
      </c>
      <c r="D207" s="2">
        <v>99709</v>
      </c>
      <c r="E207" s="268" t="s">
        <v>1527</v>
      </c>
      <c r="F207" s="358" t="s">
        <v>985</v>
      </c>
      <c r="G207" s="49">
        <v>66</v>
      </c>
      <c r="H207" s="49">
        <v>38</v>
      </c>
      <c r="I207" s="49">
        <v>34</v>
      </c>
      <c r="J207" s="49">
        <v>4</v>
      </c>
      <c r="K207" s="49">
        <v>0</v>
      </c>
      <c r="L207" s="49">
        <v>52</v>
      </c>
      <c r="M207" s="49">
        <v>52</v>
      </c>
      <c r="N207" s="49">
        <v>7</v>
      </c>
      <c r="O207" s="49">
        <v>0</v>
      </c>
      <c r="P207" s="49">
        <v>0</v>
      </c>
      <c r="Q207" s="49">
        <v>59</v>
      </c>
      <c r="R207" s="49">
        <v>0</v>
      </c>
      <c r="S207" s="49">
        <v>1350.5576923076924</v>
      </c>
      <c r="T207" s="49">
        <v>1350.5576923076924</v>
      </c>
      <c r="U207" s="49">
        <v>3115.7142857142858</v>
      </c>
      <c r="V207" s="49">
        <v>0</v>
      </c>
      <c r="W207" s="49">
        <v>0</v>
      </c>
      <c r="X207" s="49">
        <v>1559.9830508474577</v>
      </c>
      <c r="Y207" s="434">
        <v>70229</v>
      </c>
      <c r="Z207" s="434">
        <v>21810</v>
      </c>
      <c r="AA207" s="49">
        <v>0</v>
      </c>
      <c r="AB207" s="49">
        <v>38</v>
      </c>
      <c r="AC207" s="49">
        <v>0</v>
      </c>
      <c r="AD207" s="285">
        <v>7</v>
      </c>
      <c r="AE207" s="285">
        <v>0</v>
      </c>
      <c r="AF207" s="359">
        <v>45</v>
      </c>
      <c r="AG207" s="360">
        <v>0</v>
      </c>
      <c r="AH207" s="360">
        <v>34</v>
      </c>
      <c r="AI207" s="361">
        <v>34</v>
      </c>
      <c r="AJ207" s="360">
        <v>0</v>
      </c>
      <c r="AK207" s="360">
        <v>0</v>
      </c>
      <c r="AL207" s="360">
        <v>36.182019010294098</v>
      </c>
      <c r="AM207" s="360">
        <v>36.182019010294098</v>
      </c>
      <c r="AN207" s="360">
        <v>0</v>
      </c>
      <c r="AO207" s="360">
        <v>0</v>
      </c>
      <c r="AP207" s="360">
        <v>32.434457382531193</v>
      </c>
      <c r="AQ207" s="360">
        <v>32.434457382531193</v>
      </c>
      <c r="AR207" s="360">
        <v>0</v>
      </c>
      <c r="AS207" s="360">
        <v>6.7176601695086857</v>
      </c>
      <c r="AT207" s="360">
        <v>0</v>
      </c>
      <c r="AU207" s="360">
        <v>34.45101314898114</v>
      </c>
      <c r="AV207" s="360">
        <v>35.305909033479473</v>
      </c>
      <c r="AW207" s="360">
        <v>36.182019010294098</v>
      </c>
      <c r="AX207" s="360">
        <v>37.079869503426998</v>
      </c>
      <c r="AY207" s="360">
        <v>38</v>
      </c>
      <c r="AZ207" s="360">
        <v>30.941000755859772</v>
      </c>
      <c r="BA207" s="360">
        <v>31.678929438805209</v>
      </c>
      <c r="BB207" s="360">
        <v>32.434457382531193</v>
      </c>
      <c r="BC207" s="360">
        <v>33.208004321338862</v>
      </c>
      <c r="BD207" s="360">
        <v>34</v>
      </c>
      <c r="BE207" s="360">
        <v>6.4467083075719245</v>
      </c>
      <c r="BF207" s="360">
        <v>6.5807898934866982</v>
      </c>
      <c r="BG207" s="360">
        <v>6.7176601695086857</v>
      </c>
      <c r="BH207" s="360">
        <v>6.8573771360893376</v>
      </c>
      <c r="BI207" s="360">
        <v>7</v>
      </c>
      <c r="BJ207" s="362">
        <v>38.395345683097716</v>
      </c>
      <c r="BK207" s="362">
        <v>38.794804476962369</v>
      </c>
      <c r="BL207" s="362">
        <v>39.198419173714655</v>
      </c>
      <c r="BM207" s="363">
        <v>38.940706765765</v>
      </c>
      <c r="BN207" s="363">
        <v>38.68468870382754</v>
      </c>
      <c r="BO207" s="363">
        <v>38.561155971369452</v>
      </c>
      <c r="BP207" s="363">
        <v>38.43801771891107</v>
      </c>
      <c r="BQ207" s="363">
        <v>38.31527268675007</v>
      </c>
      <c r="BR207" s="363">
        <v>38.192919619206762</v>
      </c>
      <c r="BS207" s="363">
        <v>38.070957264611259</v>
      </c>
      <c r="BT207" s="363">
        <v>38.352566910810808</v>
      </c>
      <c r="BU207" s="363">
        <v>38.636259614504311</v>
      </c>
      <c r="BV207" s="363">
        <v>38.922050784001065</v>
      </c>
      <c r="BW207" s="363">
        <v>39.209955941585115</v>
      </c>
      <c r="BX207" s="363">
        <v>39.499990724358312</v>
      </c>
      <c r="BY207" s="435">
        <v>39.659207953956916</v>
      </c>
      <c r="BZ207" s="435">
        <v>39.818425183555512</v>
      </c>
      <c r="CA207" s="435">
        <v>39.977642413154115</v>
      </c>
      <c r="CB207" s="435">
        <v>40.136859642752711</v>
      </c>
      <c r="CC207" s="363">
        <v>40.296076872351314</v>
      </c>
      <c r="CD207" s="435">
        <v>40.426587941342483</v>
      </c>
      <c r="CE207" s="435">
        <v>40.557099010333651</v>
      </c>
      <c r="CF207" s="435">
        <v>40.68761007932482</v>
      </c>
      <c r="CG207" s="435">
        <v>40.818121148315988</v>
      </c>
      <c r="CH207" s="363">
        <v>40.948632217307157</v>
      </c>
      <c r="CI207" s="362">
        <v>34.353730348034794</v>
      </c>
      <c r="CJ207" s="362">
        <v>34.711140847808437</v>
      </c>
      <c r="CK207" s="362">
        <v>35.072269787007848</v>
      </c>
      <c r="CL207" s="363">
        <v>34.841685000947635</v>
      </c>
      <c r="CM207" s="363">
        <v>34.612616208687797</v>
      </c>
      <c r="CN207" s="363">
        <v>34.502086921751612</v>
      </c>
      <c r="CO207" s="363">
        <v>34.391910590604638</v>
      </c>
      <c r="CP207" s="363">
        <v>34.282086088144794</v>
      </c>
      <c r="CQ207" s="363">
        <v>34.17261229086921</v>
      </c>
      <c r="CR207" s="363">
        <v>34.063488078862704</v>
      </c>
      <c r="CS207" s="363">
        <v>34.315454604409666</v>
      </c>
      <c r="CT207" s="363">
        <v>34.569284918240697</v>
      </c>
      <c r="CU207" s="363">
        <v>34.824992806737797</v>
      </c>
      <c r="CV207" s="363">
        <v>35.082592158260368</v>
      </c>
      <c r="CW207" s="363">
        <v>35.342096963899543</v>
      </c>
      <c r="CX207" s="435">
        <v>35.484554485119347</v>
      </c>
      <c r="CY207" s="435">
        <v>35.627012006339143</v>
      </c>
      <c r="CZ207" s="435">
        <v>35.769469527558947</v>
      </c>
      <c r="DA207" s="435">
        <v>35.911927048778743</v>
      </c>
      <c r="DB207" s="363">
        <v>36.054384569998547</v>
      </c>
      <c r="DC207" s="435">
        <v>36.171157631727489</v>
      </c>
      <c r="DD207" s="435">
        <v>36.287930693456424</v>
      </c>
      <c r="DE207" s="435">
        <v>36.404703755185366</v>
      </c>
      <c r="DF207" s="435">
        <v>36.521476816914301</v>
      </c>
      <c r="DG207" s="363">
        <v>36.638249878643244</v>
      </c>
      <c r="DH207" s="362">
        <v>7.0728268363601048</v>
      </c>
      <c r="DI207" s="362">
        <v>7.1464113510193847</v>
      </c>
      <c r="DJ207" s="362">
        <v>7.2207614267369102</v>
      </c>
      <c r="DK207" s="363">
        <v>7.1732880884303958</v>
      </c>
      <c r="DL207" s="363">
        <v>7.1261268664945474</v>
      </c>
      <c r="DM207" s="363">
        <v>7.103370836831215</v>
      </c>
      <c r="DN207" s="363">
        <v>7.0806874745362496</v>
      </c>
      <c r="DO207" s="363">
        <v>7.0580765475592235</v>
      </c>
      <c r="DP207" s="363">
        <v>7.0355378245907199</v>
      </c>
      <c r="DQ207" s="363">
        <v>7.0130710750599698</v>
      </c>
      <c r="DR207" s="363">
        <v>7.0649465362019903</v>
      </c>
      <c r="DS207" s="363">
        <v>7.1172057184613209</v>
      </c>
      <c r="DT207" s="363">
        <v>7.1698514602107233</v>
      </c>
      <c r="DU207" s="363">
        <v>7.2228866208183113</v>
      </c>
      <c r="DV207" s="363">
        <v>7.2763140808028473</v>
      </c>
      <c r="DW207" s="435">
        <v>7.3056435704657474</v>
      </c>
      <c r="DX207" s="435">
        <v>7.3349730601286476</v>
      </c>
      <c r="DY207" s="435">
        <v>7.3643025497915477</v>
      </c>
      <c r="DZ207" s="435">
        <v>7.3936320394544479</v>
      </c>
      <c r="EA207" s="363">
        <v>7.4229615291173481</v>
      </c>
      <c r="EB207" s="435">
        <v>7.4470030418262478</v>
      </c>
      <c r="EC207" s="435">
        <v>7.4710445545351467</v>
      </c>
      <c r="ED207" s="435">
        <v>7.4950860672440465</v>
      </c>
      <c r="EE207" s="435">
        <v>7.5191275799529453</v>
      </c>
      <c r="EF207" s="363">
        <v>7.5431690926618451</v>
      </c>
      <c r="EG207" s="364">
        <v>0</v>
      </c>
      <c r="EH207" s="364">
        <v>0</v>
      </c>
      <c r="EI207" s="364">
        <v>0</v>
      </c>
      <c r="EJ207" s="365">
        <v>0</v>
      </c>
      <c r="EK207" s="365">
        <v>0</v>
      </c>
      <c r="EL207" s="365">
        <v>0</v>
      </c>
      <c r="EM207" s="365">
        <v>0</v>
      </c>
      <c r="EN207" s="365">
        <v>0</v>
      </c>
      <c r="EO207" s="365">
        <v>0</v>
      </c>
      <c r="EP207" s="365">
        <v>0</v>
      </c>
      <c r="EQ207" s="365">
        <v>0</v>
      </c>
      <c r="ER207" s="365">
        <v>0</v>
      </c>
      <c r="ES207" s="365">
        <v>0</v>
      </c>
      <c r="ET207" s="365">
        <v>0</v>
      </c>
      <c r="EU207" s="365">
        <v>0</v>
      </c>
      <c r="EV207" s="436">
        <v>0</v>
      </c>
      <c r="EW207" s="436">
        <v>0</v>
      </c>
      <c r="EX207" s="436">
        <v>0</v>
      </c>
      <c r="EY207" s="436">
        <v>0</v>
      </c>
      <c r="EZ207" s="365">
        <v>0</v>
      </c>
      <c r="FA207" s="436">
        <v>0</v>
      </c>
      <c r="FB207" s="436">
        <v>0</v>
      </c>
      <c r="FC207" s="436">
        <v>0</v>
      </c>
      <c r="FD207" s="436">
        <v>0</v>
      </c>
      <c r="FE207" s="365">
        <v>0</v>
      </c>
      <c r="FF207" s="364">
        <v>0</v>
      </c>
      <c r="FG207" s="364">
        <v>0</v>
      </c>
      <c r="FH207" s="364">
        <v>0</v>
      </c>
      <c r="FI207" s="365">
        <v>0</v>
      </c>
      <c r="FJ207" s="365">
        <v>0</v>
      </c>
      <c r="FK207" s="365">
        <v>0</v>
      </c>
      <c r="FL207" s="365">
        <v>0</v>
      </c>
      <c r="FM207" s="365">
        <v>0</v>
      </c>
      <c r="FN207" s="365">
        <v>0</v>
      </c>
      <c r="FO207" s="365">
        <v>0</v>
      </c>
      <c r="FP207" s="365">
        <v>0</v>
      </c>
      <c r="FQ207" s="365">
        <v>0</v>
      </c>
      <c r="FR207" s="365">
        <v>0</v>
      </c>
      <c r="FS207" s="365">
        <v>0</v>
      </c>
      <c r="FT207" s="365">
        <v>0</v>
      </c>
      <c r="FU207" s="436">
        <v>0</v>
      </c>
      <c r="FV207" s="436">
        <v>0</v>
      </c>
      <c r="FW207" s="436">
        <v>0</v>
      </c>
      <c r="FX207" s="436">
        <v>0</v>
      </c>
      <c r="FY207" s="365">
        <v>0</v>
      </c>
      <c r="FZ207" s="436">
        <v>0</v>
      </c>
      <c r="GA207" s="436">
        <v>0</v>
      </c>
      <c r="GB207" s="436">
        <v>0</v>
      </c>
      <c r="GC207" s="436">
        <v>0</v>
      </c>
      <c r="GD207" s="365">
        <v>0</v>
      </c>
    </row>
    <row r="208" spans="1:186" ht="15" x14ac:dyDescent="0.25">
      <c r="A208" s="357">
        <v>100</v>
      </c>
      <c r="B208" s="357">
        <v>94</v>
      </c>
      <c r="C208" s="357" t="s">
        <v>1118</v>
      </c>
      <c r="D208" s="2">
        <v>99709</v>
      </c>
      <c r="E208" s="268" t="s">
        <v>1527</v>
      </c>
      <c r="F208" s="358" t="s">
        <v>985</v>
      </c>
      <c r="G208" s="49">
        <v>61</v>
      </c>
      <c r="H208" s="49">
        <v>45</v>
      </c>
      <c r="I208" s="49">
        <v>36</v>
      </c>
      <c r="J208" s="49">
        <v>9</v>
      </c>
      <c r="K208" s="49">
        <v>0</v>
      </c>
      <c r="L208" s="49">
        <v>43</v>
      </c>
      <c r="M208" s="49">
        <v>43</v>
      </c>
      <c r="N208" s="49">
        <v>1</v>
      </c>
      <c r="O208" s="49">
        <v>0</v>
      </c>
      <c r="P208" s="49">
        <v>0</v>
      </c>
      <c r="Q208" s="49">
        <v>44</v>
      </c>
      <c r="R208" s="49">
        <v>0</v>
      </c>
      <c r="S208" s="49">
        <v>1594.4418604651162</v>
      </c>
      <c r="T208" s="49">
        <v>1594.4418604651162</v>
      </c>
      <c r="U208" s="49">
        <v>2476</v>
      </c>
      <c r="V208" s="49">
        <v>0</v>
      </c>
      <c r="W208" s="49">
        <v>0</v>
      </c>
      <c r="X208" s="49">
        <v>1614.4772727272727</v>
      </c>
      <c r="Y208" s="434">
        <v>68561</v>
      </c>
      <c r="Z208" s="434">
        <v>2476</v>
      </c>
      <c r="AA208" s="49">
        <v>0</v>
      </c>
      <c r="AB208" s="49">
        <v>45</v>
      </c>
      <c r="AC208" s="49">
        <v>0</v>
      </c>
      <c r="AD208" s="285">
        <v>1</v>
      </c>
      <c r="AE208" s="285">
        <v>0</v>
      </c>
      <c r="AF208" s="359">
        <v>46</v>
      </c>
      <c r="AG208" s="360">
        <v>0</v>
      </c>
      <c r="AH208" s="360">
        <v>36</v>
      </c>
      <c r="AI208" s="361">
        <v>36</v>
      </c>
      <c r="AJ208" s="360">
        <v>0</v>
      </c>
      <c r="AK208" s="360">
        <v>0</v>
      </c>
      <c r="AL208" s="360">
        <v>42.84712777534827</v>
      </c>
      <c r="AM208" s="360">
        <v>42.84712777534827</v>
      </c>
      <c r="AN208" s="360">
        <v>0</v>
      </c>
      <c r="AO208" s="360">
        <v>0</v>
      </c>
      <c r="AP208" s="360">
        <v>34.34236664032715</v>
      </c>
      <c r="AQ208" s="360">
        <v>34.34236664032715</v>
      </c>
      <c r="AR208" s="360">
        <v>0</v>
      </c>
      <c r="AS208" s="360">
        <v>0.95966573850124082</v>
      </c>
      <c r="AT208" s="360">
        <v>0</v>
      </c>
      <c r="AU208" s="360">
        <v>40.797252413267138</v>
      </c>
      <c r="AV208" s="360">
        <v>41.80962911859411</v>
      </c>
      <c r="AW208" s="360">
        <v>42.84712777534827</v>
      </c>
      <c r="AX208" s="360">
        <v>43.910371780374078</v>
      </c>
      <c r="AY208" s="360">
        <v>45</v>
      </c>
      <c r="AZ208" s="360">
        <v>32.761059623851523</v>
      </c>
      <c r="BA208" s="360">
        <v>33.542395876381988</v>
      </c>
      <c r="BB208" s="360">
        <v>34.34236664032715</v>
      </c>
      <c r="BC208" s="360">
        <v>35.161416340241146</v>
      </c>
      <c r="BD208" s="360">
        <v>36</v>
      </c>
      <c r="BE208" s="360">
        <v>0.92095832965313207</v>
      </c>
      <c r="BF208" s="360">
        <v>0.94011284192667122</v>
      </c>
      <c r="BG208" s="360">
        <v>0.95966573850124082</v>
      </c>
      <c r="BH208" s="360">
        <v>0.97962530515561963</v>
      </c>
      <c r="BI208" s="360">
        <v>1</v>
      </c>
      <c r="BJ208" s="362">
        <v>45.420449589557364</v>
      </c>
      <c r="BK208" s="362">
        <v>45.844827575944933</v>
      </c>
      <c r="BL208" s="362">
        <v>46.273170663447921</v>
      </c>
      <c r="BM208" s="363">
        <v>45.968944868466394</v>
      </c>
      <c r="BN208" s="363">
        <v>45.666719224609274</v>
      </c>
      <c r="BO208" s="363">
        <v>45.520890608760695</v>
      </c>
      <c r="BP208" s="363">
        <v>45.375527670884203</v>
      </c>
      <c r="BQ208" s="363">
        <v>45.230628923919298</v>
      </c>
      <c r="BR208" s="363">
        <v>45.086192885554148</v>
      </c>
      <c r="BS208" s="363">
        <v>44.942218078210438</v>
      </c>
      <c r="BT208" s="363">
        <v>45.274654219609801</v>
      </c>
      <c r="BU208" s="363">
        <v>45.609549380453117</v>
      </c>
      <c r="BV208" s="363">
        <v>45.946921750028096</v>
      </c>
      <c r="BW208" s="363">
        <v>46.286789652168068</v>
      </c>
      <c r="BX208" s="363">
        <v>46.629171546247093</v>
      </c>
      <c r="BY208" s="435">
        <v>46.81712519828411</v>
      </c>
      <c r="BZ208" s="435">
        <v>47.005078850321127</v>
      </c>
      <c r="CA208" s="435">
        <v>47.193032502358143</v>
      </c>
      <c r="CB208" s="435">
        <v>47.38098615439516</v>
      </c>
      <c r="CC208" s="363">
        <v>47.568939806432176</v>
      </c>
      <c r="CD208" s="435">
        <v>47.723006248298972</v>
      </c>
      <c r="CE208" s="435">
        <v>47.877072690165768</v>
      </c>
      <c r="CF208" s="435">
        <v>48.031139132032557</v>
      </c>
      <c r="CG208" s="435">
        <v>48.185205573899353</v>
      </c>
      <c r="CH208" s="363">
        <v>48.339272015766149</v>
      </c>
      <c r="CI208" s="362">
        <v>36.336359671645894</v>
      </c>
      <c r="CJ208" s="362">
        <v>36.675862060755946</v>
      </c>
      <c r="CK208" s="362">
        <v>37.01853653075834</v>
      </c>
      <c r="CL208" s="363">
        <v>36.775155894773121</v>
      </c>
      <c r="CM208" s="363">
        <v>36.533375379687421</v>
      </c>
      <c r="CN208" s="363">
        <v>36.41671248700856</v>
      </c>
      <c r="CO208" s="363">
        <v>36.300422136707361</v>
      </c>
      <c r="CP208" s="363">
        <v>36.184503139135437</v>
      </c>
      <c r="CQ208" s="363">
        <v>36.068954308443324</v>
      </c>
      <c r="CR208" s="363">
        <v>35.953774462568354</v>
      </c>
      <c r="CS208" s="363">
        <v>36.219723375687842</v>
      </c>
      <c r="CT208" s="363">
        <v>36.487639504362491</v>
      </c>
      <c r="CU208" s="363">
        <v>36.757537400022485</v>
      </c>
      <c r="CV208" s="363">
        <v>37.029431721734461</v>
      </c>
      <c r="CW208" s="363">
        <v>37.303337236997677</v>
      </c>
      <c r="CX208" s="435">
        <v>37.453700158627292</v>
      </c>
      <c r="CY208" s="435">
        <v>37.604063080256907</v>
      </c>
      <c r="CZ208" s="435">
        <v>37.754426001886515</v>
      </c>
      <c r="DA208" s="435">
        <v>37.904788923516129</v>
      </c>
      <c r="DB208" s="363">
        <v>38.055151845145744</v>
      </c>
      <c r="DC208" s="435">
        <v>38.178404998639181</v>
      </c>
      <c r="DD208" s="435">
        <v>38.301658152132617</v>
      </c>
      <c r="DE208" s="435">
        <v>38.424911305626047</v>
      </c>
      <c r="DF208" s="435">
        <v>38.548164459119484</v>
      </c>
      <c r="DG208" s="363">
        <v>38.67141761261292</v>
      </c>
      <c r="DH208" s="362">
        <v>1.0093433242123859</v>
      </c>
      <c r="DI208" s="362">
        <v>1.0187739461321097</v>
      </c>
      <c r="DJ208" s="362">
        <v>1.0282926814099538</v>
      </c>
      <c r="DK208" s="363">
        <v>1.0215321081881421</v>
      </c>
      <c r="DL208" s="363">
        <v>1.014815982769095</v>
      </c>
      <c r="DM208" s="363">
        <v>1.0115753468613486</v>
      </c>
      <c r="DN208" s="363">
        <v>1.0083450593529821</v>
      </c>
      <c r="DO208" s="363">
        <v>1.0051250871982065</v>
      </c>
      <c r="DP208" s="363">
        <v>1.0019153974567587</v>
      </c>
      <c r="DQ208" s="363">
        <v>0.99871595729356522</v>
      </c>
      <c r="DR208" s="363">
        <v>1.0061034271024401</v>
      </c>
      <c r="DS208" s="363">
        <v>1.0135455417878469</v>
      </c>
      <c r="DT208" s="363">
        <v>1.0210427055561799</v>
      </c>
      <c r="DU208" s="363">
        <v>1.0285953256037348</v>
      </c>
      <c r="DV208" s="363">
        <v>1.0362038121388244</v>
      </c>
      <c r="DW208" s="435">
        <v>1.0403805599618692</v>
      </c>
      <c r="DX208" s="435">
        <v>1.044557307784914</v>
      </c>
      <c r="DY208" s="435">
        <v>1.0487340556079587</v>
      </c>
      <c r="DZ208" s="435">
        <v>1.0529108034310035</v>
      </c>
      <c r="EA208" s="363">
        <v>1.0570875512540483</v>
      </c>
      <c r="EB208" s="435">
        <v>1.0605112499621994</v>
      </c>
      <c r="EC208" s="435">
        <v>1.0639349486703502</v>
      </c>
      <c r="ED208" s="435">
        <v>1.0673586473785013</v>
      </c>
      <c r="EE208" s="435">
        <v>1.0707823460866521</v>
      </c>
      <c r="EF208" s="363">
        <v>1.0742060447948032</v>
      </c>
      <c r="EG208" s="364">
        <v>0</v>
      </c>
      <c r="EH208" s="364">
        <v>0</v>
      </c>
      <c r="EI208" s="364">
        <v>0</v>
      </c>
      <c r="EJ208" s="365">
        <v>0</v>
      </c>
      <c r="EK208" s="365">
        <v>0</v>
      </c>
      <c r="EL208" s="365">
        <v>0</v>
      </c>
      <c r="EM208" s="365">
        <v>0</v>
      </c>
      <c r="EN208" s="365">
        <v>0</v>
      </c>
      <c r="EO208" s="365">
        <v>0</v>
      </c>
      <c r="EP208" s="365">
        <v>0</v>
      </c>
      <c r="EQ208" s="365">
        <v>0</v>
      </c>
      <c r="ER208" s="365">
        <v>0</v>
      </c>
      <c r="ES208" s="365">
        <v>0</v>
      </c>
      <c r="ET208" s="365">
        <v>0</v>
      </c>
      <c r="EU208" s="365">
        <v>0</v>
      </c>
      <c r="EV208" s="436">
        <v>0</v>
      </c>
      <c r="EW208" s="436">
        <v>0</v>
      </c>
      <c r="EX208" s="436">
        <v>0</v>
      </c>
      <c r="EY208" s="436">
        <v>0</v>
      </c>
      <c r="EZ208" s="365">
        <v>0</v>
      </c>
      <c r="FA208" s="436">
        <v>0</v>
      </c>
      <c r="FB208" s="436">
        <v>0</v>
      </c>
      <c r="FC208" s="436">
        <v>0</v>
      </c>
      <c r="FD208" s="436">
        <v>0</v>
      </c>
      <c r="FE208" s="365">
        <v>0</v>
      </c>
      <c r="FF208" s="364">
        <v>0</v>
      </c>
      <c r="FG208" s="364">
        <v>0</v>
      </c>
      <c r="FH208" s="364">
        <v>0</v>
      </c>
      <c r="FI208" s="365">
        <v>0</v>
      </c>
      <c r="FJ208" s="365">
        <v>0</v>
      </c>
      <c r="FK208" s="365">
        <v>0</v>
      </c>
      <c r="FL208" s="365">
        <v>0</v>
      </c>
      <c r="FM208" s="365">
        <v>0</v>
      </c>
      <c r="FN208" s="365">
        <v>0</v>
      </c>
      <c r="FO208" s="365">
        <v>0</v>
      </c>
      <c r="FP208" s="365">
        <v>0</v>
      </c>
      <c r="FQ208" s="365">
        <v>0</v>
      </c>
      <c r="FR208" s="365">
        <v>0</v>
      </c>
      <c r="FS208" s="365">
        <v>0</v>
      </c>
      <c r="FT208" s="365">
        <v>0</v>
      </c>
      <c r="FU208" s="436">
        <v>0</v>
      </c>
      <c r="FV208" s="436">
        <v>0</v>
      </c>
      <c r="FW208" s="436">
        <v>0</v>
      </c>
      <c r="FX208" s="436">
        <v>0</v>
      </c>
      <c r="FY208" s="365">
        <v>0</v>
      </c>
      <c r="FZ208" s="436">
        <v>0</v>
      </c>
      <c r="GA208" s="436">
        <v>0</v>
      </c>
      <c r="GB208" s="436">
        <v>0</v>
      </c>
      <c r="GC208" s="436">
        <v>0</v>
      </c>
      <c r="GD208" s="365">
        <v>0</v>
      </c>
    </row>
    <row r="209" spans="1:186" ht="15" x14ac:dyDescent="0.25">
      <c r="A209" s="357">
        <v>101</v>
      </c>
      <c r="B209" s="357">
        <v>94</v>
      </c>
      <c r="C209" s="357" t="s">
        <v>1119</v>
      </c>
      <c r="D209" s="2">
        <v>99709</v>
      </c>
      <c r="E209" s="268" t="s">
        <v>1527</v>
      </c>
      <c r="F209" s="358" t="s">
        <v>985</v>
      </c>
      <c r="G209" s="49">
        <v>24</v>
      </c>
      <c r="H209" s="49">
        <v>12</v>
      </c>
      <c r="I209" s="49">
        <v>12</v>
      </c>
      <c r="J209" s="49">
        <v>0</v>
      </c>
      <c r="K209" s="49">
        <v>3</v>
      </c>
      <c r="L209" s="49">
        <v>27</v>
      </c>
      <c r="M209" s="49">
        <v>30</v>
      </c>
      <c r="N209" s="49">
        <v>7</v>
      </c>
      <c r="O209" s="49">
        <v>0</v>
      </c>
      <c r="P209" s="49">
        <v>0</v>
      </c>
      <c r="Q209" s="49">
        <v>37</v>
      </c>
      <c r="R209" s="49">
        <v>4389.333333333333</v>
      </c>
      <c r="S209" s="49">
        <v>1383.2222222222222</v>
      </c>
      <c r="T209" s="49">
        <v>1683.8333333333333</v>
      </c>
      <c r="U209" s="49">
        <v>4707.4285714285716</v>
      </c>
      <c r="V209" s="49">
        <v>0</v>
      </c>
      <c r="W209" s="49">
        <v>0</v>
      </c>
      <c r="X209" s="49">
        <v>2255.864864864865</v>
      </c>
      <c r="Y209" s="434">
        <v>50515</v>
      </c>
      <c r="Z209" s="434">
        <v>32952</v>
      </c>
      <c r="AA209" s="49">
        <v>1.2</v>
      </c>
      <c r="AB209" s="49">
        <v>10.8</v>
      </c>
      <c r="AC209" s="49">
        <v>0</v>
      </c>
      <c r="AD209" s="285">
        <v>7</v>
      </c>
      <c r="AE209" s="285">
        <v>0</v>
      </c>
      <c r="AF209" s="359">
        <v>19</v>
      </c>
      <c r="AG209" s="360">
        <v>1.2</v>
      </c>
      <c r="AH209" s="360">
        <v>10.800000000000002</v>
      </c>
      <c r="AI209" s="361">
        <v>12.000000000000002</v>
      </c>
      <c r="AJ209" s="360">
        <v>0</v>
      </c>
      <c r="AK209" s="360">
        <v>1.1425900740092871</v>
      </c>
      <c r="AL209" s="360">
        <v>10.283310666083585</v>
      </c>
      <c r="AM209" s="360">
        <v>11.425900740092873</v>
      </c>
      <c r="AN209" s="360">
        <v>0</v>
      </c>
      <c r="AO209" s="360">
        <v>1.1447455546775716</v>
      </c>
      <c r="AP209" s="360">
        <v>10.302709992098146</v>
      </c>
      <c r="AQ209" s="360">
        <v>11.447455546775718</v>
      </c>
      <c r="AR209" s="360">
        <v>0</v>
      </c>
      <c r="AS209" s="360">
        <v>6.7176601695086857</v>
      </c>
      <c r="AT209" s="360">
        <v>0</v>
      </c>
      <c r="AU209" s="360">
        <v>10.87926731020457</v>
      </c>
      <c r="AV209" s="360">
        <v>11.149234431625096</v>
      </c>
      <c r="AW209" s="360">
        <v>11.425900740092873</v>
      </c>
      <c r="AX209" s="360">
        <v>11.709432474766421</v>
      </c>
      <c r="AY209" s="360">
        <v>12</v>
      </c>
      <c r="AZ209" s="360">
        <v>10.920353207950509</v>
      </c>
      <c r="BA209" s="360">
        <v>11.180798625460664</v>
      </c>
      <c r="BB209" s="360">
        <v>11.447455546775718</v>
      </c>
      <c r="BC209" s="360">
        <v>11.720472113413718</v>
      </c>
      <c r="BD209" s="360">
        <v>12.000000000000002</v>
      </c>
      <c r="BE209" s="360">
        <v>6.4467083075719245</v>
      </c>
      <c r="BF209" s="360">
        <v>6.5807898934866982</v>
      </c>
      <c r="BG209" s="360">
        <v>6.7176601695086857</v>
      </c>
      <c r="BH209" s="360">
        <v>6.8573771360893376</v>
      </c>
      <c r="BI209" s="360">
        <v>7</v>
      </c>
      <c r="BJ209" s="362">
        <v>12.11211989054863</v>
      </c>
      <c r="BK209" s="362">
        <v>12.225287353585315</v>
      </c>
      <c r="BL209" s="362">
        <v>12.339512176919445</v>
      </c>
      <c r="BM209" s="363">
        <v>12.258385298257705</v>
      </c>
      <c r="BN209" s="363">
        <v>12.17779179322914</v>
      </c>
      <c r="BO209" s="363">
        <v>12.138904162336184</v>
      </c>
      <c r="BP209" s="363">
        <v>12.100140712235786</v>
      </c>
      <c r="BQ209" s="363">
        <v>12.061501046378478</v>
      </c>
      <c r="BR209" s="363">
        <v>12.022984769481106</v>
      </c>
      <c r="BS209" s="363">
        <v>11.984591487522783</v>
      </c>
      <c r="BT209" s="363">
        <v>12.073241125229281</v>
      </c>
      <c r="BU209" s="363">
        <v>12.162546501454164</v>
      </c>
      <c r="BV209" s="363">
        <v>12.25251246667416</v>
      </c>
      <c r="BW209" s="363">
        <v>12.343143907244819</v>
      </c>
      <c r="BX209" s="363">
        <v>12.434445745665892</v>
      </c>
      <c r="BY209" s="435">
        <v>12.48456671954243</v>
      </c>
      <c r="BZ209" s="435">
        <v>12.534687693418967</v>
      </c>
      <c r="CA209" s="435">
        <v>12.584808667295505</v>
      </c>
      <c r="CB209" s="435">
        <v>12.634929641172041</v>
      </c>
      <c r="CC209" s="363">
        <v>12.68505061504858</v>
      </c>
      <c r="CD209" s="435">
        <v>12.726134999546391</v>
      </c>
      <c r="CE209" s="435">
        <v>12.767219384044203</v>
      </c>
      <c r="CF209" s="435">
        <v>12.808303768542014</v>
      </c>
      <c r="CG209" s="435">
        <v>12.849388153039827</v>
      </c>
      <c r="CH209" s="363">
        <v>12.890472537537638</v>
      </c>
      <c r="CI209" s="362">
        <v>12.112119890548634</v>
      </c>
      <c r="CJ209" s="362">
        <v>12.225287353585319</v>
      </c>
      <c r="CK209" s="362">
        <v>12.339512176919447</v>
      </c>
      <c r="CL209" s="363">
        <v>12.258385298257707</v>
      </c>
      <c r="CM209" s="363">
        <v>12.177791793229142</v>
      </c>
      <c r="CN209" s="363">
        <v>12.138904162336186</v>
      </c>
      <c r="CO209" s="363">
        <v>12.100140712235788</v>
      </c>
      <c r="CP209" s="363">
        <v>12.06150104637848</v>
      </c>
      <c r="CQ209" s="363">
        <v>12.022984769481107</v>
      </c>
      <c r="CR209" s="363">
        <v>11.984591487522785</v>
      </c>
      <c r="CS209" s="363">
        <v>12.073241125229282</v>
      </c>
      <c r="CT209" s="363">
        <v>12.162546501454166</v>
      </c>
      <c r="CU209" s="363">
        <v>12.252512466674162</v>
      </c>
      <c r="CV209" s="363">
        <v>12.343143907244821</v>
      </c>
      <c r="CW209" s="363">
        <v>12.434445745665894</v>
      </c>
      <c r="CX209" s="435">
        <v>12.484566719542432</v>
      </c>
      <c r="CY209" s="435">
        <v>12.534687693418968</v>
      </c>
      <c r="CZ209" s="435">
        <v>12.584808667295507</v>
      </c>
      <c r="DA209" s="435">
        <v>12.634929641172043</v>
      </c>
      <c r="DB209" s="363">
        <v>12.685050615048581</v>
      </c>
      <c r="DC209" s="435">
        <v>12.726134999546392</v>
      </c>
      <c r="DD209" s="435">
        <v>12.767219384044205</v>
      </c>
      <c r="DE209" s="435">
        <v>12.808303768542016</v>
      </c>
      <c r="DF209" s="435">
        <v>12.849388153039829</v>
      </c>
      <c r="DG209" s="363">
        <v>12.89047253753764</v>
      </c>
      <c r="DH209" s="362">
        <v>7.0654032694867013</v>
      </c>
      <c r="DI209" s="362">
        <v>7.1314176229247677</v>
      </c>
      <c r="DJ209" s="362">
        <v>7.1980487698696765</v>
      </c>
      <c r="DK209" s="363">
        <v>7.1507247573169952</v>
      </c>
      <c r="DL209" s="363">
        <v>7.1037118793836642</v>
      </c>
      <c r="DM209" s="363">
        <v>7.081027428029441</v>
      </c>
      <c r="DN209" s="363">
        <v>7.0584154154708756</v>
      </c>
      <c r="DO209" s="363">
        <v>7.0358756103874454</v>
      </c>
      <c r="DP209" s="363">
        <v>7.0134077821973122</v>
      </c>
      <c r="DQ209" s="363">
        <v>6.9910117010549566</v>
      </c>
      <c r="DR209" s="363">
        <v>7.0427239897170804</v>
      </c>
      <c r="DS209" s="363">
        <v>7.0948187925149284</v>
      </c>
      <c r="DT209" s="363">
        <v>7.1472989388932602</v>
      </c>
      <c r="DU209" s="363">
        <v>7.200167279226144</v>
      </c>
      <c r="DV209" s="363">
        <v>7.2534266849717701</v>
      </c>
      <c r="DW209" s="435">
        <v>7.2826639197330838</v>
      </c>
      <c r="DX209" s="435">
        <v>7.3119011544943975</v>
      </c>
      <c r="DY209" s="435">
        <v>7.3411383892557103</v>
      </c>
      <c r="DZ209" s="435">
        <v>7.370375624017024</v>
      </c>
      <c r="EA209" s="363">
        <v>7.3996128587783376</v>
      </c>
      <c r="EB209" s="435">
        <v>7.4235787497353947</v>
      </c>
      <c r="EC209" s="435">
        <v>7.4475446406924517</v>
      </c>
      <c r="ED209" s="435">
        <v>7.4715105316495087</v>
      </c>
      <c r="EE209" s="435">
        <v>7.4954764226065658</v>
      </c>
      <c r="EF209" s="363">
        <v>7.5194423135636228</v>
      </c>
      <c r="EG209" s="364">
        <v>0</v>
      </c>
      <c r="EH209" s="364">
        <v>0</v>
      </c>
      <c r="EI209" s="364">
        <v>0</v>
      </c>
      <c r="EJ209" s="365">
        <v>0</v>
      </c>
      <c r="EK209" s="365">
        <v>0</v>
      </c>
      <c r="EL209" s="365">
        <v>0</v>
      </c>
      <c r="EM209" s="365">
        <v>0</v>
      </c>
      <c r="EN209" s="365">
        <v>0</v>
      </c>
      <c r="EO209" s="365">
        <v>0</v>
      </c>
      <c r="EP209" s="365">
        <v>0</v>
      </c>
      <c r="EQ209" s="365">
        <v>0</v>
      </c>
      <c r="ER209" s="365">
        <v>0</v>
      </c>
      <c r="ES209" s="365">
        <v>0</v>
      </c>
      <c r="ET209" s="365">
        <v>0</v>
      </c>
      <c r="EU209" s="365">
        <v>0</v>
      </c>
      <c r="EV209" s="436">
        <v>0</v>
      </c>
      <c r="EW209" s="436">
        <v>0</v>
      </c>
      <c r="EX209" s="436">
        <v>0</v>
      </c>
      <c r="EY209" s="436">
        <v>0</v>
      </c>
      <c r="EZ209" s="365">
        <v>0</v>
      </c>
      <c r="FA209" s="436">
        <v>0</v>
      </c>
      <c r="FB209" s="436">
        <v>0</v>
      </c>
      <c r="FC209" s="436">
        <v>0</v>
      </c>
      <c r="FD209" s="436">
        <v>0</v>
      </c>
      <c r="FE209" s="365">
        <v>0</v>
      </c>
      <c r="FF209" s="364">
        <v>0</v>
      </c>
      <c r="FG209" s="364">
        <v>0</v>
      </c>
      <c r="FH209" s="364">
        <v>0</v>
      </c>
      <c r="FI209" s="365">
        <v>0</v>
      </c>
      <c r="FJ209" s="365">
        <v>0</v>
      </c>
      <c r="FK209" s="365">
        <v>0</v>
      </c>
      <c r="FL209" s="365">
        <v>0</v>
      </c>
      <c r="FM209" s="365">
        <v>0</v>
      </c>
      <c r="FN209" s="365">
        <v>0</v>
      </c>
      <c r="FO209" s="365">
        <v>0</v>
      </c>
      <c r="FP209" s="365">
        <v>0</v>
      </c>
      <c r="FQ209" s="365">
        <v>0</v>
      </c>
      <c r="FR209" s="365">
        <v>0</v>
      </c>
      <c r="FS209" s="365">
        <v>0</v>
      </c>
      <c r="FT209" s="365">
        <v>0</v>
      </c>
      <c r="FU209" s="436">
        <v>0</v>
      </c>
      <c r="FV209" s="436">
        <v>0</v>
      </c>
      <c r="FW209" s="436">
        <v>0</v>
      </c>
      <c r="FX209" s="436">
        <v>0</v>
      </c>
      <c r="FY209" s="365">
        <v>0</v>
      </c>
      <c r="FZ209" s="436">
        <v>0</v>
      </c>
      <c r="GA209" s="436">
        <v>0</v>
      </c>
      <c r="GB209" s="436">
        <v>0</v>
      </c>
      <c r="GC209" s="436">
        <v>0</v>
      </c>
      <c r="GD209" s="365">
        <v>0</v>
      </c>
    </row>
    <row r="210" spans="1:186" ht="15" x14ac:dyDescent="0.25">
      <c r="A210" s="357">
        <v>102</v>
      </c>
      <c r="B210" s="357">
        <v>94</v>
      </c>
      <c r="C210" s="357" t="s">
        <v>1120</v>
      </c>
      <c r="D210" s="2">
        <v>99709</v>
      </c>
      <c r="E210" s="268" t="s">
        <v>1527</v>
      </c>
      <c r="F210" s="358" t="s">
        <v>985</v>
      </c>
      <c r="G210" s="49">
        <v>62</v>
      </c>
      <c r="H210" s="49">
        <v>36</v>
      </c>
      <c r="I210" s="49">
        <v>31</v>
      </c>
      <c r="J210" s="49">
        <v>5</v>
      </c>
      <c r="K210" s="49">
        <v>0</v>
      </c>
      <c r="L210" s="49">
        <v>52</v>
      </c>
      <c r="M210" s="49">
        <v>52</v>
      </c>
      <c r="N210" s="49">
        <v>2</v>
      </c>
      <c r="O210" s="49">
        <v>0</v>
      </c>
      <c r="P210" s="49">
        <v>0</v>
      </c>
      <c r="Q210" s="49">
        <v>54</v>
      </c>
      <c r="R210" s="49">
        <v>0</v>
      </c>
      <c r="S210" s="49">
        <v>1464.9807692307693</v>
      </c>
      <c r="T210" s="49">
        <v>1464.9807692307693</v>
      </c>
      <c r="U210" s="49">
        <v>3984</v>
      </c>
      <c r="V210" s="49">
        <v>0</v>
      </c>
      <c r="W210" s="49">
        <v>0</v>
      </c>
      <c r="X210" s="49">
        <v>1558.2777777777778</v>
      </c>
      <c r="Y210" s="434">
        <v>76179</v>
      </c>
      <c r="Z210" s="434">
        <v>7968</v>
      </c>
      <c r="AA210" s="49">
        <v>0</v>
      </c>
      <c r="AB210" s="49">
        <v>36</v>
      </c>
      <c r="AC210" s="49">
        <v>0</v>
      </c>
      <c r="AD210" s="285">
        <v>2</v>
      </c>
      <c r="AE210" s="285">
        <v>0</v>
      </c>
      <c r="AF210" s="359">
        <v>38</v>
      </c>
      <c r="AG210" s="360">
        <v>0</v>
      </c>
      <c r="AH210" s="360">
        <v>31</v>
      </c>
      <c r="AI210" s="361">
        <v>31</v>
      </c>
      <c r="AJ210" s="360">
        <v>0</v>
      </c>
      <c r="AK210" s="360">
        <v>0</v>
      </c>
      <c r="AL210" s="360">
        <v>34.27770222027862</v>
      </c>
      <c r="AM210" s="360">
        <v>34.27770222027862</v>
      </c>
      <c r="AN210" s="360">
        <v>0</v>
      </c>
      <c r="AO210" s="360">
        <v>0</v>
      </c>
      <c r="AP210" s="360">
        <v>29.572593495837264</v>
      </c>
      <c r="AQ210" s="360">
        <v>29.572593495837264</v>
      </c>
      <c r="AR210" s="360">
        <v>0</v>
      </c>
      <c r="AS210" s="360">
        <v>1.9193314770024816</v>
      </c>
      <c r="AT210" s="360">
        <v>0</v>
      </c>
      <c r="AU210" s="360">
        <v>32.637801930613712</v>
      </c>
      <c r="AV210" s="360">
        <v>33.447703294875289</v>
      </c>
      <c r="AW210" s="360">
        <v>34.27770222027862</v>
      </c>
      <c r="AX210" s="360">
        <v>35.128297424299262</v>
      </c>
      <c r="AY210" s="360">
        <v>36</v>
      </c>
      <c r="AZ210" s="360">
        <v>28.210912453872144</v>
      </c>
      <c r="BA210" s="360">
        <v>28.883729782440046</v>
      </c>
      <c r="BB210" s="360">
        <v>29.572593495837264</v>
      </c>
      <c r="BC210" s="360">
        <v>30.277886292985432</v>
      </c>
      <c r="BD210" s="360">
        <v>31</v>
      </c>
      <c r="BE210" s="360">
        <v>1.8419166593062641</v>
      </c>
      <c r="BF210" s="360">
        <v>1.8802256838533424</v>
      </c>
      <c r="BG210" s="360">
        <v>1.9193314770024816</v>
      </c>
      <c r="BH210" s="360">
        <v>1.9592506103112393</v>
      </c>
      <c r="BI210" s="360">
        <v>2</v>
      </c>
      <c r="BJ210" s="362">
        <v>36.336359671645894</v>
      </c>
      <c r="BK210" s="362">
        <v>36.675862060755946</v>
      </c>
      <c r="BL210" s="362">
        <v>37.01853653075834</v>
      </c>
      <c r="BM210" s="363">
        <v>36.775155894773121</v>
      </c>
      <c r="BN210" s="363">
        <v>36.533375379687421</v>
      </c>
      <c r="BO210" s="363">
        <v>36.41671248700856</v>
      </c>
      <c r="BP210" s="363">
        <v>36.300422136707361</v>
      </c>
      <c r="BQ210" s="363">
        <v>36.184503139135437</v>
      </c>
      <c r="BR210" s="363">
        <v>36.068954308443324</v>
      </c>
      <c r="BS210" s="363">
        <v>35.953774462568354</v>
      </c>
      <c r="BT210" s="363">
        <v>36.219723375687842</v>
      </c>
      <c r="BU210" s="363">
        <v>36.487639504362491</v>
      </c>
      <c r="BV210" s="363">
        <v>36.757537400022485</v>
      </c>
      <c r="BW210" s="363">
        <v>37.029431721734461</v>
      </c>
      <c r="BX210" s="363">
        <v>37.303337236997677</v>
      </c>
      <c r="BY210" s="435">
        <v>37.453700158627292</v>
      </c>
      <c r="BZ210" s="435">
        <v>37.604063080256907</v>
      </c>
      <c r="CA210" s="435">
        <v>37.754426001886515</v>
      </c>
      <c r="CB210" s="435">
        <v>37.904788923516129</v>
      </c>
      <c r="CC210" s="363">
        <v>38.055151845145744</v>
      </c>
      <c r="CD210" s="435">
        <v>38.178404998639181</v>
      </c>
      <c r="CE210" s="435">
        <v>38.301658152132617</v>
      </c>
      <c r="CF210" s="435">
        <v>38.424911305626047</v>
      </c>
      <c r="CG210" s="435">
        <v>38.548164459119484</v>
      </c>
      <c r="CH210" s="363">
        <v>38.67141761261292</v>
      </c>
      <c r="CI210" s="362">
        <v>31.289643050583965</v>
      </c>
      <c r="CJ210" s="362">
        <v>31.5819923300954</v>
      </c>
      <c r="CK210" s="362">
        <v>31.877073123708566</v>
      </c>
      <c r="CL210" s="363">
        <v>31.667495353832408</v>
      </c>
      <c r="CM210" s="363">
        <v>31.459295465841944</v>
      </c>
      <c r="CN210" s="363">
        <v>31.358835752701808</v>
      </c>
      <c r="CO210" s="363">
        <v>31.258696839942449</v>
      </c>
      <c r="CP210" s="363">
        <v>31.158877703144402</v>
      </c>
      <c r="CQ210" s="363">
        <v>31.059377321159523</v>
      </c>
      <c r="CR210" s="363">
        <v>30.960194676100521</v>
      </c>
      <c r="CS210" s="363">
        <v>31.18920624017564</v>
      </c>
      <c r="CT210" s="363">
        <v>31.419911795423253</v>
      </c>
      <c r="CU210" s="363">
        <v>31.652323872241578</v>
      </c>
      <c r="CV210" s="363">
        <v>31.886455093715782</v>
      </c>
      <c r="CW210" s="363">
        <v>32.122318176303551</v>
      </c>
      <c r="CX210" s="435">
        <v>32.251797358817939</v>
      </c>
      <c r="CY210" s="435">
        <v>32.381276541332326</v>
      </c>
      <c r="CZ210" s="435">
        <v>32.510755723846721</v>
      </c>
      <c r="DA210" s="435">
        <v>32.640234906361108</v>
      </c>
      <c r="DB210" s="363">
        <v>32.769714088875496</v>
      </c>
      <c r="DC210" s="435">
        <v>32.875848748828176</v>
      </c>
      <c r="DD210" s="435">
        <v>32.981983408780856</v>
      </c>
      <c r="DE210" s="435">
        <v>33.088118068733536</v>
      </c>
      <c r="DF210" s="435">
        <v>33.194252728686216</v>
      </c>
      <c r="DG210" s="363">
        <v>33.300387388638896</v>
      </c>
      <c r="DH210" s="362">
        <v>2.0186866484247719</v>
      </c>
      <c r="DI210" s="362">
        <v>2.0375478922642194</v>
      </c>
      <c r="DJ210" s="362">
        <v>2.0565853628199076</v>
      </c>
      <c r="DK210" s="363">
        <v>2.0430642163762842</v>
      </c>
      <c r="DL210" s="363">
        <v>2.02963196553819</v>
      </c>
      <c r="DM210" s="363">
        <v>2.0231506937226973</v>
      </c>
      <c r="DN210" s="363">
        <v>2.0166901187059643</v>
      </c>
      <c r="DO210" s="363">
        <v>2.010250174396413</v>
      </c>
      <c r="DP210" s="363">
        <v>2.0038307949135175</v>
      </c>
      <c r="DQ210" s="363">
        <v>1.9974319145871304</v>
      </c>
      <c r="DR210" s="363">
        <v>2.0122068542048801</v>
      </c>
      <c r="DS210" s="363">
        <v>2.0270910835756939</v>
      </c>
      <c r="DT210" s="363">
        <v>2.0420854111123599</v>
      </c>
      <c r="DU210" s="363">
        <v>2.0571906512074696</v>
      </c>
      <c r="DV210" s="363">
        <v>2.0724076242776488</v>
      </c>
      <c r="DW210" s="435">
        <v>2.0807611199237384</v>
      </c>
      <c r="DX210" s="435">
        <v>2.0891146155698279</v>
      </c>
      <c r="DY210" s="435">
        <v>2.0974681112159175</v>
      </c>
      <c r="DZ210" s="435">
        <v>2.105821606862007</v>
      </c>
      <c r="EA210" s="363">
        <v>2.1141751025080966</v>
      </c>
      <c r="EB210" s="435">
        <v>2.1210224999243987</v>
      </c>
      <c r="EC210" s="435">
        <v>2.1278698973407004</v>
      </c>
      <c r="ED210" s="435">
        <v>2.1347172947570026</v>
      </c>
      <c r="EE210" s="435">
        <v>2.1415646921733043</v>
      </c>
      <c r="EF210" s="363">
        <v>2.1484120895896064</v>
      </c>
      <c r="EG210" s="364">
        <v>0</v>
      </c>
      <c r="EH210" s="364">
        <v>0</v>
      </c>
      <c r="EI210" s="364">
        <v>0</v>
      </c>
      <c r="EJ210" s="365">
        <v>0</v>
      </c>
      <c r="EK210" s="365">
        <v>0</v>
      </c>
      <c r="EL210" s="365">
        <v>0</v>
      </c>
      <c r="EM210" s="365">
        <v>0</v>
      </c>
      <c r="EN210" s="365">
        <v>0</v>
      </c>
      <c r="EO210" s="365">
        <v>0</v>
      </c>
      <c r="EP210" s="365">
        <v>0</v>
      </c>
      <c r="EQ210" s="365">
        <v>0</v>
      </c>
      <c r="ER210" s="365">
        <v>0</v>
      </c>
      <c r="ES210" s="365">
        <v>0</v>
      </c>
      <c r="ET210" s="365">
        <v>0</v>
      </c>
      <c r="EU210" s="365">
        <v>0</v>
      </c>
      <c r="EV210" s="436">
        <v>0</v>
      </c>
      <c r="EW210" s="436">
        <v>0</v>
      </c>
      <c r="EX210" s="436">
        <v>0</v>
      </c>
      <c r="EY210" s="436">
        <v>0</v>
      </c>
      <c r="EZ210" s="365">
        <v>0</v>
      </c>
      <c r="FA210" s="436">
        <v>0</v>
      </c>
      <c r="FB210" s="436">
        <v>0</v>
      </c>
      <c r="FC210" s="436">
        <v>0</v>
      </c>
      <c r="FD210" s="436">
        <v>0</v>
      </c>
      <c r="FE210" s="365">
        <v>0</v>
      </c>
      <c r="FF210" s="364">
        <v>0</v>
      </c>
      <c r="FG210" s="364">
        <v>0</v>
      </c>
      <c r="FH210" s="364">
        <v>0</v>
      </c>
      <c r="FI210" s="365">
        <v>0</v>
      </c>
      <c r="FJ210" s="365">
        <v>0</v>
      </c>
      <c r="FK210" s="365">
        <v>0</v>
      </c>
      <c r="FL210" s="365">
        <v>0</v>
      </c>
      <c r="FM210" s="365">
        <v>0</v>
      </c>
      <c r="FN210" s="365">
        <v>0</v>
      </c>
      <c r="FO210" s="365">
        <v>0</v>
      </c>
      <c r="FP210" s="365">
        <v>0</v>
      </c>
      <c r="FQ210" s="365">
        <v>0</v>
      </c>
      <c r="FR210" s="365">
        <v>0</v>
      </c>
      <c r="FS210" s="365">
        <v>0</v>
      </c>
      <c r="FT210" s="365">
        <v>0</v>
      </c>
      <c r="FU210" s="436">
        <v>0</v>
      </c>
      <c r="FV210" s="436">
        <v>0</v>
      </c>
      <c r="FW210" s="436">
        <v>0</v>
      </c>
      <c r="FX210" s="436">
        <v>0</v>
      </c>
      <c r="FY210" s="365">
        <v>0</v>
      </c>
      <c r="FZ210" s="436">
        <v>0</v>
      </c>
      <c r="GA210" s="436">
        <v>0</v>
      </c>
      <c r="GB210" s="436">
        <v>0</v>
      </c>
      <c r="GC210" s="436">
        <v>0</v>
      </c>
      <c r="GD210" s="365">
        <v>0</v>
      </c>
    </row>
    <row r="211" spans="1:186" ht="15" x14ac:dyDescent="0.25">
      <c r="A211" s="357">
        <v>103</v>
      </c>
      <c r="B211" s="357">
        <v>94</v>
      </c>
      <c r="C211" s="357" t="s">
        <v>1121</v>
      </c>
      <c r="D211" s="2">
        <v>99709</v>
      </c>
      <c r="E211" s="268" t="s">
        <v>1527</v>
      </c>
      <c r="F211" s="358" t="s">
        <v>985</v>
      </c>
      <c r="G211" s="49">
        <v>258</v>
      </c>
      <c r="H211" s="49">
        <v>87</v>
      </c>
      <c r="I211" s="49">
        <v>83</v>
      </c>
      <c r="J211" s="49">
        <v>4</v>
      </c>
      <c r="K211" s="49">
        <v>1</v>
      </c>
      <c r="L211" s="49">
        <v>148</v>
      </c>
      <c r="M211" s="49">
        <v>149</v>
      </c>
      <c r="N211" s="49">
        <v>1</v>
      </c>
      <c r="O211" s="49">
        <v>0</v>
      </c>
      <c r="P211" s="49">
        <v>0</v>
      </c>
      <c r="Q211" s="49">
        <v>150</v>
      </c>
      <c r="R211" s="49">
        <v>87118</v>
      </c>
      <c r="S211" s="49">
        <v>3077.6756756756758</v>
      </c>
      <c r="T211" s="49">
        <v>3641.7046979865772</v>
      </c>
      <c r="U211" s="49">
        <v>864</v>
      </c>
      <c r="V211" s="49">
        <v>0</v>
      </c>
      <c r="W211" s="49">
        <v>0</v>
      </c>
      <c r="X211" s="49">
        <v>3623.1866666666665</v>
      </c>
      <c r="Y211" s="434">
        <v>542614</v>
      </c>
      <c r="Z211" s="434">
        <v>864</v>
      </c>
      <c r="AA211" s="49">
        <v>0.58389261744966447</v>
      </c>
      <c r="AB211" s="49">
        <v>86.416107382550337</v>
      </c>
      <c r="AC211" s="49">
        <v>0</v>
      </c>
      <c r="AD211" s="285">
        <v>1</v>
      </c>
      <c r="AE211" s="285">
        <v>0</v>
      </c>
      <c r="AF211" s="359">
        <v>88</v>
      </c>
      <c r="AG211" s="360">
        <v>0.5570469798657719</v>
      </c>
      <c r="AH211" s="360">
        <v>82.442953020134226</v>
      </c>
      <c r="AI211" s="361">
        <v>83</v>
      </c>
      <c r="AJ211" s="360">
        <v>0</v>
      </c>
      <c r="AK211" s="360">
        <v>0.55595825748774041</v>
      </c>
      <c r="AL211" s="360">
        <v>82.28182210818558</v>
      </c>
      <c r="AM211" s="360">
        <v>82.837780365673325</v>
      </c>
      <c r="AN211" s="360">
        <v>0</v>
      </c>
      <c r="AO211" s="360">
        <v>0.53139754495659086</v>
      </c>
      <c r="AP211" s="360">
        <v>78.646836653575434</v>
      </c>
      <c r="AQ211" s="360">
        <v>79.178234198532024</v>
      </c>
      <c r="AR211" s="360">
        <v>0</v>
      </c>
      <c r="AS211" s="360">
        <v>0.95966573850124082</v>
      </c>
      <c r="AT211" s="360">
        <v>0</v>
      </c>
      <c r="AU211" s="360">
        <v>78.874687998983134</v>
      </c>
      <c r="AV211" s="360">
        <v>80.831949629281951</v>
      </c>
      <c r="AW211" s="360">
        <v>82.837780365673325</v>
      </c>
      <c r="AX211" s="360">
        <v>84.893385442056555</v>
      </c>
      <c r="AY211" s="360">
        <v>87</v>
      </c>
      <c r="AZ211" s="360">
        <v>75.532443021657684</v>
      </c>
      <c r="BA211" s="360">
        <v>77.333857159436249</v>
      </c>
      <c r="BB211" s="360">
        <v>79.178234198532039</v>
      </c>
      <c r="BC211" s="360">
        <v>81.066598784444864</v>
      </c>
      <c r="BD211" s="360">
        <v>83</v>
      </c>
      <c r="BE211" s="360">
        <v>0.92095832965313207</v>
      </c>
      <c r="BF211" s="360">
        <v>0.94011284192667122</v>
      </c>
      <c r="BG211" s="360">
        <v>0.95966573850124082</v>
      </c>
      <c r="BH211" s="360">
        <v>0.97962530515561963</v>
      </c>
      <c r="BI211" s="360">
        <v>1</v>
      </c>
      <c r="BJ211" s="362">
        <v>87.812869206477572</v>
      </c>
      <c r="BK211" s="362">
        <v>88.633333313493537</v>
      </c>
      <c r="BL211" s="362">
        <v>89.461463282665974</v>
      </c>
      <c r="BM211" s="363">
        <v>88.873293412368369</v>
      </c>
      <c r="BN211" s="363">
        <v>88.288990500911254</v>
      </c>
      <c r="BO211" s="363">
        <v>88.007055176937328</v>
      </c>
      <c r="BP211" s="363">
        <v>87.72602016370945</v>
      </c>
      <c r="BQ211" s="363">
        <v>87.445882586243968</v>
      </c>
      <c r="BR211" s="363">
        <v>87.166639578738014</v>
      </c>
      <c r="BS211" s="363">
        <v>86.888288284540167</v>
      </c>
      <c r="BT211" s="363">
        <v>87.530998157912279</v>
      </c>
      <c r="BU211" s="363">
        <v>88.178462135542688</v>
      </c>
      <c r="BV211" s="363">
        <v>88.830715383387655</v>
      </c>
      <c r="BW211" s="363">
        <v>89.487793327524926</v>
      </c>
      <c r="BX211" s="363">
        <v>90.149731656077719</v>
      </c>
      <c r="BY211" s="435">
        <v>90.513108716682609</v>
      </c>
      <c r="BZ211" s="435">
        <v>90.876485777287513</v>
      </c>
      <c r="CA211" s="435">
        <v>91.239862837892403</v>
      </c>
      <c r="CB211" s="435">
        <v>91.603239898497307</v>
      </c>
      <c r="CC211" s="363">
        <v>91.966616959102197</v>
      </c>
      <c r="CD211" s="435">
        <v>92.264478746711333</v>
      </c>
      <c r="CE211" s="435">
        <v>92.562340534320469</v>
      </c>
      <c r="CF211" s="435">
        <v>92.860202321929606</v>
      </c>
      <c r="CG211" s="435">
        <v>93.158064109538742</v>
      </c>
      <c r="CH211" s="363">
        <v>93.455925897147878</v>
      </c>
      <c r="CI211" s="362">
        <v>83.775495909628034</v>
      </c>
      <c r="CJ211" s="362">
        <v>84.558237528965108</v>
      </c>
      <c r="CK211" s="362">
        <v>85.34829255702617</v>
      </c>
      <c r="CL211" s="363">
        <v>84.78716497961581</v>
      </c>
      <c r="CM211" s="363">
        <v>84.229726569834881</v>
      </c>
      <c r="CN211" s="363">
        <v>83.960753789491946</v>
      </c>
      <c r="CO211" s="363">
        <v>83.692639926297531</v>
      </c>
      <c r="CP211" s="363">
        <v>83.425382237451146</v>
      </c>
      <c r="CQ211" s="363">
        <v>83.158977988910991</v>
      </c>
      <c r="CR211" s="363">
        <v>82.893424455365917</v>
      </c>
      <c r="CS211" s="363">
        <v>83.506584449502526</v>
      </c>
      <c r="CT211" s="363">
        <v>84.124279968391306</v>
      </c>
      <c r="CU211" s="363">
        <v>84.746544561162949</v>
      </c>
      <c r="CV211" s="363">
        <v>85.373412025109999</v>
      </c>
      <c r="CW211" s="363">
        <v>86.00491640752243</v>
      </c>
      <c r="CX211" s="435">
        <v>86.351586476835152</v>
      </c>
      <c r="CY211" s="435">
        <v>86.69825654614786</v>
      </c>
      <c r="CZ211" s="435">
        <v>87.044926615460582</v>
      </c>
      <c r="DA211" s="435">
        <v>87.39159668477329</v>
      </c>
      <c r="DB211" s="363">
        <v>87.738266754086013</v>
      </c>
      <c r="DC211" s="435">
        <v>88.022433746862546</v>
      </c>
      <c r="DD211" s="435">
        <v>88.30660073963908</v>
      </c>
      <c r="DE211" s="435">
        <v>88.5907677324156</v>
      </c>
      <c r="DF211" s="435">
        <v>88.874934725192134</v>
      </c>
      <c r="DG211" s="363">
        <v>89.159101717968667</v>
      </c>
      <c r="DH211" s="362">
        <v>1.0093433242123859</v>
      </c>
      <c r="DI211" s="362">
        <v>1.0187739461321097</v>
      </c>
      <c r="DJ211" s="362">
        <v>1.0282926814099538</v>
      </c>
      <c r="DK211" s="363">
        <v>1.0215321081881421</v>
      </c>
      <c r="DL211" s="363">
        <v>1.014815982769095</v>
      </c>
      <c r="DM211" s="363">
        <v>1.0115753468613486</v>
      </c>
      <c r="DN211" s="363">
        <v>1.0083450593529821</v>
      </c>
      <c r="DO211" s="363">
        <v>1.0051250871982065</v>
      </c>
      <c r="DP211" s="363">
        <v>1.0019153974567587</v>
      </c>
      <c r="DQ211" s="363">
        <v>0.99871595729356522</v>
      </c>
      <c r="DR211" s="363">
        <v>1.0061034271024401</v>
      </c>
      <c r="DS211" s="363">
        <v>1.0135455417878469</v>
      </c>
      <c r="DT211" s="363">
        <v>1.0210427055561799</v>
      </c>
      <c r="DU211" s="363">
        <v>1.0285953256037348</v>
      </c>
      <c r="DV211" s="363">
        <v>1.0362038121388244</v>
      </c>
      <c r="DW211" s="435">
        <v>1.0403805599618692</v>
      </c>
      <c r="DX211" s="435">
        <v>1.044557307784914</v>
      </c>
      <c r="DY211" s="435">
        <v>1.0487340556079587</v>
      </c>
      <c r="DZ211" s="435">
        <v>1.0529108034310035</v>
      </c>
      <c r="EA211" s="363">
        <v>1.0570875512540483</v>
      </c>
      <c r="EB211" s="435">
        <v>1.0605112499621994</v>
      </c>
      <c r="EC211" s="435">
        <v>1.0639349486703502</v>
      </c>
      <c r="ED211" s="435">
        <v>1.0673586473785013</v>
      </c>
      <c r="EE211" s="435">
        <v>1.0707823460866521</v>
      </c>
      <c r="EF211" s="363">
        <v>1.0742060447948032</v>
      </c>
      <c r="EG211" s="364">
        <v>0</v>
      </c>
      <c r="EH211" s="364">
        <v>0</v>
      </c>
      <c r="EI211" s="364">
        <v>0</v>
      </c>
      <c r="EJ211" s="365">
        <v>0</v>
      </c>
      <c r="EK211" s="365">
        <v>0</v>
      </c>
      <c r="EL211" s="365">
        <v>0</v>
      </c>
      <c r="EM211" s="365">
        <v>0</v>
      </c>
      <c r="EN211" s="365">
        <v>0</v>
      </c>
      <c r="EO211" s="365">
        <v>0</v>
      </c>
      <c r="EP211" s="365">
        <v>0</v>
      </c>
      <c r="EQ211" s="365">
        <v>0</v>
      </c>
      <c r="ER211" s="365">
        <v>0</v>
      </c>
      <c r="ES211" s="365">
        <v>0</v>
      </c>
      <c r="ET211" s="365">
        <v>0</v>
      </c>
      <c r="EU211" s="365">
        <v>0</v>
      </c>
      <c r="EV211" s="436">
        <v>0</v>
      </c>
      <c r="EW211" s="436">
        <v>0</v>
      </c>
      <c r="EX211" s="436">
        <v>0</v>
      </c>
      <c r="EY211" s="436">
        <v>0</v>
      </c>
      <c r="EZ211" s="365">
        <v>0</v>
      </c>
      <c r="FA211" s="436">
        <v>0</v>
      </c>
      <c r="FB211" s="436">
        <v>0</v>
      </c>
      <c r="FC211" s="436">
        <v>0</v>
      </c>
      <c r="FD211" s="436">
        <v>0</v>
      </c>
      <c r="FE211" s="365">
        <v>0</v>
      </c>
      <c r="FF211" s="364">
        <v>0</v>
      </c>
      <c r="FG211" s="364">
        <v>0</v>
      </c>
      <c r="FH211" s="364">
        <v>0</v>
      </c>
      <c r="FI211" s="365">
        <v>0</v>
      </c>
      <c r="FJ211" s="365">
        <v>0</v>
      </c>
      <c r="FK211" s="365">
        <v>0</v>
      </c>
      <c r="FL211" s="365">
        <v>0</v>
      </c>
      <c r="FM211" s="365">
        <v>0</v>
      </c>
      <c r="FN211" s="365">
        <v>0</v>
      </c>
      <c r="FO211" s="365">
        <v>0</v>
      </c>
      <c r="FP211" s="365">
        <v>0</v>
      </c>
      <c r="FQ211" s="365">
        <v>0</v>
      </c>
      <c r="FR211" s="365">
        <v>0</v>
      </c>
      <c r="FS211" s="365">
        <v>0</v>
      </c>
      <c r="FT211" s="365">
        <v>0</v>
      </c>
      <c r="FU211" s="436">
        <v>0</v>
      </c>
      <c r="FV211" s="436">
        <v>0</v>
      </c>
      <c r="FW211" s="436">
        <v>0</v>
      </c>
      <c r="FX211" s="436">
        <v>0</v>
      </c>
      <c r="FY211" s="365">
        <v>0</v>
      </c>
      <c r="FZ211" s="436">
        <v>0</v>
      </c>
      <c r="GA211" s="436">
        <v>0</v>
      </c>
      <c r="GB211" s="436">
        <v>0</v>
      </c>
      <c r="GC211" s="436">
        <v>0</v>
      </c>
      <c r="GD211" s="365">
        <v>0</v>
      </c>
    </row>
    <row r="212" spans="1:186" ht="15" x14ac:dyDescent="0.25">
      <c r="A212" s="357">
        <v>104</v>
      </c>
      <c r="B212" s="357">
        <v>94</v>
      </c>
      <c r="C212" s="357" t="s">
        <v>1122</v>
      </c>
      <c r="D212" s="2">
        <v>99709</v>
      </c>
      <c r="E212" s="268" t="s">
        <v>1527</v>
      </c>
      <c r="F212" s="358" t="s">
        <v>985</v>
      </c>
      <c r="G212" s="49">
        <v>2321</v>
      </c>
      <c r="H212" s="49">
        <v>983</v>
      </c>
      <c r="I212" s="49">
        <v>933</v>
      </c>
      <c r="J212" s="49">
        <v>50</v>
      </c>
      <c r="K212" s="49">
        <v>27</v>
      </c>
      <c r="L212" s="49">
        <v>552</v>
      </c>
      <c r="M212" s="49">
        <v>579</v>
      </c>
      <c r="N212" s="49">
        <v>6</v>
      </c>
      <c r="O212" s="49">
        <v>0</v>
      </c>
      <c r="P212" s="49">
        <v>0</v>
      </c>
      <c r="Q212" s="49">
        <v>585</v>
      </c>
      <c r="R212" s="49">
        <v>7393.1111111111113</v>
      </c>
      <c r="S212" s="49">
        <v>2418.338768115942</v>
      </c>
      <c r="T212" s="49">
        <v>2650.322970639033</v>
      </c>
      <c r="U212" s="49">
        <v>11231.5</v>
      </c>
      <c r="V212" s="49">
        <v>0</v>
      </c>
      <c r="W212" s="49">
        <v>0</v>
      </c>
      <c r="X212" s="49">
        <v>2738.3350427350429</v>
      </c>
      <c r="Y212" s="434">
        <v>1534537</v>
      </c>
      <c r="Z212" s="434">
        <v>67389</v>
      </c>
      <c r="AA212" s="49">
        <v>45.839378238341972</v>
      </c>
      <c r="AB212" s="49">
        <v>937.16062176165804</v>
      </c>
      <c r="AC212" s="49">
        <v>0</v>
      </c>
      <c r="AD212" s="285">
        <v>6</v>
      </c>
      <c r="AE212" s="285">
        <v>0</v>
      </c>
      <c r="AF212" s="359">
        <v>989</v>
      </c>
      <c r="AG212" s="360">
        <v>43.50777202072539</v>
      </c>
      <c r="AH212" s="360">
        <v>889.49222797927462</v>
      </c>
      <c r="AI212" s="361">
        <v>933</v>
      </c>
      <c r="AJ212" s="360">
        <v>0</v>
      </c>
      <c r="AK212" s="360">
        <v>43.646348811572388</v>
      </c>
      <c r="AL212" s="360">
        <v>892.32535348103545</v>
      </c>
      <c r="AM212" s="360">
        <v>935.9717022926078</v>
      </c>
      <c r="AN212" s="360">
        <v>0</v>
      </c>
      <c r="AO212" s="360">
        <v>41.504440512208845</v>
      </c>
      <c r="AP212" s="360">
        <v>848.53522824960305</v>
      </c>
      <c r="AQ212" s="360">
        <v>890.03966876181187</v>
      </c>
      <c r="AR212" s="360">
        <v>0</v>
      </c>
      <c r="AS212" s="360">
        <v>5.7579944310074449</v>
      </c>
      <c r="AT212" s="360">
        <v>0</v>
      </c>
      <c r="AU212" s="360">
        <v>891.19331382759106</v>
      </c>
      <c r="AV212" s="360">
        <v>913.30812052395584</v>
      </c>
      <c r="AW212" s="360">
        <v>935.9717022926078</v>
      </c>
      <c r="AX212" s="360">
        <v>959.19767689128264</v>
      </c>
      <c r="AY212" s="360">
        <v>983</v>
      </c>
      <c r="AZ212" s="360">
        <v>849.05746191815194</v>
      </c>
      <c r="BA212" s="360">
        <v>869.30709312956651</v>
      </c>
      <c r="BB212" s="360">
        <v>890.03966876181187</v>
      </c>
      <c r="BC212" s="360">
        <v>911.26670681791643</v>
      </c>
      <c r="BD212" s="360">
        <v>933</v>
      </c>
      <c r="BE212" s="360">
        <v>5.5257499779187924</v>
      </c>
      <c r="BF212" s="360">
        <v>5.6406770515600275</v>
      </c>
      <c r="BG212" s="360">
        <v>5.7579944310074449</v>
      </c>
      <c r="BH212" s="360">
        <v>5.8777518309337182</v>
      </c>
      <c r="BI212" s="360">
        <v>6</v>
      </c>
      <c r="BJ212" s="362">
        <v>990.91115179976782</v>
      </c>
      <c r="BK212" s="362">
        <v>998.8859722900736</v>
      </c>
      <c r="BL212" s="362">
        <v>1006.9249738744535</v>
      </c>
      <c r="BM212" s="363">
        <v>1000.3048839547091</v>
      </c>
      <c r="BN212" s="363">
        <v>993.72831822165438</v>
      </c>
      <c r="BO212" s="363">
        <v>990.55502205244522</v>
      </c>
      <c r="BP212" s="363">
        <v>987.3918592450342</v>
      </c>
      <c r="BQ212" s="363">
        <v>984.23879744031694</v>
      </c>
      <c r="BR212" s="363">
        <v>981.09580438252249</v>
      </c>
      <c r="BS212" s="363">
        <v>977.96284791888297</v>
      </c>
      <c r="BT212" s="363">
        <v>985.19680764531029</v>
      </c>
      <c r="BU212" s="363">
        <v>992.48427673912806</v>
      </c>
      <c r="BV212" s="363">
        <v>999.82565100740567</v>
      </c>
      <c r="BW212" s="363">
        <v>1007.2213291849847</v>
      </c>
      <c r="BX212" s="363">
        <v>1014.6717129561348</v>
      </c>
      <c r="BY212" s="435">
        <v>1018.7616688302085</v>
      </c>
      <c r="BZ212" s="435">
        <v>1022.851624704282</v>
      </c>
      <c r="CA212" s="435">
        <v>1026.9415805783556</v>
      </c>
      <c r="CB212" s="435">
        <v>1031.0315364524292</v>
      </c>
      <c r="CC212" s="363">
        <v>1035.1214923265029</v>
      </c>
      <c r="CD212" s="435">
        <v>1038.4740472892904</v>
      </c>
      <c r="CE212" s="435">
        <v>1041.8266022520777</v>
      </c>
      <c r="CF212" s="435">
        <v>1045.1791572148652</v>
      </c>
      <c r="CG212" s="435">
        <v>1048.5317121776525</v>
      </c>
      <c r="CH212" s="363">
        <v>1051.88426714044</v>
      </c>
      <c r="CI212" s="362">
        <v>940.50875343762289</v>
      </c>
      <c r="CJ212" s="362">
        <v>948.07793707694668</v>
      </c>
      <c r="CK212" s="362">
        <v>955.70803725825544</v>
      </c>
      <c r="CL212" s="363">
        <v>949.42467622557842</v>
      </c>
      <c r="CM212" s="363">
        <v>943.18262553489672</v>
      </c>
      <c r="CN212" s="363">
        <v>940.17073812302272</v>
      </c>
      <c r="CO212" s="363">
        <v>937.16846864254012</v>
      </c>
      <c r="CP212" s="363">
        <v>934.17578638028044</v>
      </c>
      <c r="CQ212" s="363">
        <v>931.19266072115306</v>
      </c>
      <c r="CR212" s="363">
        <v>928.21906114783087</v>
      </c>
      <c r="CS212" s="363">
        <v>935.08506768369739</v>
      </c>
      <c r="CT212" s="363">
        <v>942.00186184904021</v>
      </c>
      <c r="CU212" s="363">
        <v>948.9698193183209</v>
      </c>
      <c r="CV212" s="363">
        <v>955.98931854485329</v>
      </c>
      <c r="CW212" s="363">
        <v>963.0607407813568</v>
      </c>
      <c r="CX212" s="435">
        <v>966.9426622772985</v>
      </c>
      <c r="CY212" s="435">
        <v>970.82458377324019</v>
      </c>
      <c r="CZ212" s="435">
        <v>974.70650526918189</v>
      </c>
      <c r="DA212" s="435">
        <v>978.58842676512359</v>
      </c>
      <c r="DB212" s="363">
        <v>982.47034826106528</v>
      </c>
      <c r="DC212" s="435">
        <v>985.65237652177814</v>
      </c>
      <c r="DD212" s="435">
        <v>988.83440478249088</v>
      </c>
      <c r="DE212" s="435">
        <v>992.01643304320373</v>
      </c>
      <c r="DF212" s="435">
        <v>995.19846130391647</v>
      </c>
      <c r="DG212" s="363">
        <v>998.38048956462933</v>
      </c>
      <c r="DH212" s="362">
        <v>6.0482878034573826</v>
      </c>
      <c r="DI212" s="362">
        <v>6.0969642255752206</v>
      </c>
      <c r="DJ212" s="362">
        <v>6.1460323939437647</v>
      </c>
      <c r="DK212" s="363">
        <v>6.1056249274956809</v>
      </c>
      <c r="DL212" s="363">
        <v>6.0654831224109111</v>
      </c>
      <c r="DM212" s="363">
        <v>6.0461140715306927</v>
      </c>
      <c r="DN212" s="363">
        <v>6.0268068722992929</v>
      </c>
      <c r="DO212" s="363">
        <v>6.0075613272043755</v>
      </c>
      <c r="DP212" s="363">
        <v>5.9883772393643282</v>
      </c>
      <c r="DQ212" s="363">
        <v>5.9692544125262437</v>
      </c>
      <c r="DR212" s="363">
        <v>6.013408795393552</v>
      </c>
      <c r="DS212" s="363">
        <v>6.0578897868105477</v>
      </c>
      <c r="DT212" s="363">
        <v>6.1026998026901662</v>
      </c>
      <c r="DU212" s="363">
        <v>6.1478412768157762</v>
      </c>
      <c r="DV212" s="363">
        <v>6.1933166609733554</v>
      </c>
      <c r="DW212" s="435">
        <v>6.2182807863491867</v>
      </c>
      <c r="DX212" s="435">
        <v>6.2432449117250171</v>
      </c>
      <c r="DY212" s="435">
        <v>6.2682090371008483</v>
      </c>
      <c r="DZ212" s="435">
        <v>6.2931731624766787</v>
      </c>
      <c r="EA212" s="363">
        <v>6.3181372878525099</v>
      </c>
      <c r="EB212" s="435">
        <v>6.3386004921014667</v>
      </c>
      <c r="EC212" s="435">
        <v>6.3590636963504235</v>
      </c>
      <c r="ED212" s="435">
        <v>6.3795269005993802</v>
      </c>
      <c r="EE212" s="435">
        <v>6.399990104848337</v>
      </c>
      <c r="EF212" s="363">
        <v>6.4204533090972937</v>
      </c>
      <c r="EG212" s="364">
        <v>0</v>
      </c>
      <c r="EH212" s="364">
        <v>0</v>
      </c>
      <c r="EI212" s="364">
        <v>0</v>
      </c>
      <c r="EJ212" s="365">
        <v>0</v>
      </c>
      <c r="EK212" s="365">
        <v>0</v>
      </c>
      <c r="EL212" s="365">
        <v>0</v>
      </c>
      <c r="EM212" s="365">
        <v>0</v>
      </c>
      <c r="EN212" s="365">
        <v>0</v>
      </c>
      <c r="EO212" s="365">
        <v>0</v>
      </c>
      <c r="EP212" s="365">
        <v>0</v>
      </c>
      <c r="EQ212" s="365">
        <v>0</v>
      </c>
      <c r="ER212" s="365">
        <v>0</v>
      </c>
      <c r="ES212" s="365">
        <v>0</v>
      </c>
      <c r="ET212" s="365">
        <v>0</v>
      </c>
      <c r="EU212" s="365">
        <v>0</v>
      </c>
      <c r="EV212" s="436">
        <v>0</v>
      </c>
      <c r="EW212" s="436">
        <v>0</v>
      </c>
      <c r="EX212" s="436">
        <v>0</v>
      </c>
      <c r="EY212" s="436">
        <v>0</v>
      </c>
      <c r="EZ212" s="365">
        <v>0</v>
      </c>
      <c r="FA212" s="436">
        <v>0</v>
      </c>
      <c r="FB212" s="436">
        <v>0</v>
      </c>
      <c r="FC212" s="436">
        <v>0</v>
      </c>
      <c r="FD212" s="436">
        <v>0</v>
      </c>
      <c r="FE212" s="365">
        <v>0</v>
      </c>
      <c r="FF212" s="364">
        <v>0</v>
      </c>
      <c r="FG212" s="364">
        <v>0</v>
      </c>
      <c r="FH212" s="364">
        <v>0</v>
      </c>
      <c r="FI212" s="365">
        <v>0</v>
      </c>
      <c r="FJ212" s="365">
        <v>0</v>
      </c>
      <c r="FK212" s="365">
        <v>0</v>
      </c>
      <c r="FL212" s="365">
        <v>0</v>
      </c>
      <c r="FM212" s="365">
        <v>0</v>
      </c>
      <c r="FN212" s="365">
        <v>0</v>
      </c>
      <c r="FO212" s="365">
        <v>0</v>
      </c>
      <c r="FP212" s="365">
        <v>0</v>
      </c>
      <c r="FQ212" s="365">
        <v>0</v>
      </c>
      <c r="FR212" s="365">
        <v>0</v>
      </c>
      <c r="FS212" s="365">
        <v>0</v>
      </c>
      <c r="FT212" s="365">
        <v>0</v>
      </c>
      <c r="FU212" s="436">
        <v>0</v>
      </c>
      <c r="FV212" s="436">
        <v>0</v>
      </c>
      <c r="FW212" s="436">
        <v>0</v>
      </c>
      <c r="FX212" s="436">
        <v>0</v>
      </c>
      <c r="FY212" s="365">
        <v>0</v>
      </c>
      <c r="FZ212" s="436">
        <v>0</v>
      </c>
      <c r="GA212" s="436">
        <v>0</v>
      </c>
      <c r="GB212" s="436">
        <v>0</v>
      </c>
      <c r="GC212" s="436">
        <v>0</v>
      </c>
      <c r="GD212" s="365">
        <v>0</v>
      </c>
    </row>
    <row r="213" spans="1:186" ht="15" x14ac:dyDescent="0.25">
      <c r="A213" s="357">
        <v>105</v>
      </c>
      <c r="B213" s="357">
        <v>94</v>
      </c>
      <c r="C213" s="357" t="s">
        <v>1123</v>
      </c>
      <c r="D213" s="2">
        <v>99709</v>
      </c>
      <c r="E213" s="268" t="s">
        <v>1527</v>
      </c>
      <c r="F213" s="358" t="s">
        <v>985</v>
      </c>
      <c r="G213" s="49">
        <v>1308</v>
      </c>
      <c r="H213" s="49">
        <v>508</v>
      </c>
      <c r="I213" s="49">
        <v>489</v>
      </c>
      <c r="J213" s="49">
        <v>19</v>
      </c>
      <c r="K213" s="49">
        <v>15</v>
      </c>
      <c r="L213" s="49">
        <v>325</v>
      </c>
      <c r="M213" s="49">
        <v>340</v>
      </c>
      <c r="N213" s="49">
        <v>9</v>
      </c>
      <c r="O213" s="49">
        <v>0</v>
      </c>
      <c r="P213" s="49">
        <v>0</v>
      </c>
      <c r="Q213" s="49">
        <v>349</v>
      </c>
      <c r="R213" s="49">
        <v>5749.8666666666668</v>
      </c>
      <c r="S213" s="49">
        <v>2513.8953846153845</v>
      </c>
      <c r="T213" s="49">
        <v>2656.6588235294116</v>
      </c>
      <c r="U213" s="49">
        <v>9360</v>
      </c>
      <c r="V213" s="49">
        <v>0</v>
      </c>
      <c r="W213" s="49">
        <v>0</v>
      </c>
      <c r="X213" s="49">
        <v>2829.5243553008595</v>
      </c>
      <c r="Y213" s="434">
        <v>903264</v>
      </c>
      <c r="Z213" s="434">
        <v>84240</v>
      </c>
      <c r="AA213" s="49">
        <v>22.411764705882351</v>
      </c>
      <c r="AB213" s="49">
        <v>485.58823529411762</v>
      </c>
      <c r="AC213" s="49">
        <v>0</v>
      </c>
      <c r="AD213" s="285">
        <v>9</v>
      </c>
      <c r="AE213" s="285">
        <v>0</v>
      </c>
      <c r="AF213" s="359">
        <v>517</v>
      </c>
      <c r="AG213" s="360">
        <v>21.573529411764707</v>
      </c>
      <c r="AH213" s="360">
        <v>467.4264705882353</v>
      </c>
      <c r="AI213" s="361">
        <v>489</v>
      </c>
      <c r="AJ213" s="360">
        <v>0</v>
      </c>
      <c r="AK213" s="360">
        <v>21.339549911644038</v>
      </c>
      <c r="AL213" s="360">
        <v>462.35691475228754</v>
      </c>
      <c r="AM213" s="360">
        <v>483.69646466393158</v>
      </c>
      <c r="AN213" s="360">
        <v>0</v>
      </c>
      <c r="AO213" s="360">
        <v>20.580168244019578</v>
      </c>
      <c r="AP213" s="360">
        <v>445.90364528709085</v>
      </c>
      <c r="AQ213" s="360">
        <v>466.48381353111046</v>
      </c>
      <c r="AR213" s="360">
        <v>0</v>
      </c>
      <c r="AS213" s="360">
        <v>8.6369916465111682</v>
      </c>
      <c r="AT213" s="360">
        <v>0</v>
      </c>
      <c r="AU213" s="360">
        <v>460.55564946532684</v>
      </c>
      <c r="AV213" s="360">
        <v>471.9842576054624</v>
      </c>
      <c r="AW213" s="360">
        <v>483.69646466393158</v>
      </c>
      <c r="AX213" s="360">
        <v>495.69930809844516</v>
      </c>
      <c r="AY213" s="360">
        <v>508</v>
      </c>
      <c r="AZ213" s="360">
        <v>445.00439322398319</v>
      </c>
      <c r="BA213" s="360">
        <v>455.61754398752203</v>
      </c>
      <c r="BB213" s="360">
        <v>466.4838135311104</v>
      </c>
      <c r="BC213" s="360">
        <v>477.60923862160894</v>
      </c>
      <c r="BD213" s="360">
        <v>489</v>
      </c>
      <c r="BE213" s="360">
        <v>8.2886249668781886</v>
      </c>
      <c r="BF213" s="360">
        <v>8.4610155773400404</v>
      </c>
      <c r="BG213" s="360">
        <v>8.6369916465111682</v>
      </c>
      <c r="BH213" s="360">
        <v>8.8166277464005773</v>
      </c>
      <c r="BI213" s="360">
        <v>9</v>
      </c>
      <c r="BJ213" s="362">
        <v>512.08836735939167</v>
      </c>
      <c r="BK213" s="362">
        <v>516.2096377653686</v>
      </c>
      <c r="BL213" s="362">
        <v>520.36407602057204</v>
      </c>
      <c r="BM213" s="363">
        <v>516.94291052796757</v>
      </c>
      <c r="BN213" s="363">
        <v>513.54423769745711</v>
      </c>
      <c r="BO213" s="363">
        <v>511.90432472293196</v>
      </c>
      <c r="BP213" s="363">
        <v>510.26964852134012</v>
      </c>
      <c r="BQ213" s="363">
        <v>508.64019236997046</v>
      </c>
      <c r="BR213" s="363">
        <v>507.0159395995131</v>
      </c>
      <c r="BS213" s="363">
        <v>505.39687359388859</v>
      </c>
      <c r="BT213" s="363">
        <v>509.13527800998736</v>
      </c>
      <c r="BU213" s="363">
        <v>512.90133528329295</v>
      </c>
      <c r="BV213" s="363">
        <v>516.69524996110079</v>
      </c>
      <c r="BW213" s="363">
        <v>520.51722810373576</v>
      </c>
      <c r="BX213" s="363">
        <v>524.36747729574404</v>
      </c>
      <c r="BY213" s="435">
        <v>526.48110657756445</v>
      </c>
      <c r="BZ213" s="435">
        <v>528.59473585938474</v>
      </c>
      <c r="CA213" s="435">
        <v>530.70836514120515</v>
      </c>
      <c r="CB213" s="435">
        <v>532.82199442302544</v>
      </c>
      <c r="CC213" s="363">
        <v>534.93562370484585</v>
      </c>
      <c r="CD213" s="435">
        <v>536.66817499792421</v>
      </c>
      <c r="CE213" s="435">
        <v>538.40072629100257</v>
      </c>
      <c r="CF213" s="435">
        <v>540.13327758408082</v>
      </c>
      <c r="CG213" s="435">
        <v>541.86582887715917</v>
      </c>
      <c r="CH213" s="363">
        <v>543.59838017023753</v>
      </c>
      <c r="CI213" s="362">
        <v>492.93545598177667</v>
      </c>
      <c r="CJ213" s="362">
        <v>496.90258438438042</v>
      </c>
      <c r="CK213" s="362">
        <v>500.90164010641683</v>
      </c>
      <c r="CL213" s="363">
        <v>497.60843159089796</v>
      </c>
      <c r="CM213" s="363">
        <v>494.3368744764893</v>
      </c>
      <c r="CN213" s="363">
        <v>492.75829682975149</v>
      </c>
      <c r="CO213" s="363">
        <v>491.18476009239237</v>
      </c>
      <c r="CP213" s="363">
        <v>489.61624816715664</v>
      </c>
      <c r="CQ213" s="363">
        <v>488.0527450081928</v>
      </c>
      <c r="CR213" s="363">
        <v>486.49423462088885</v>
      </c>
      <c r="CS213" s="363">
        <v>490.09281682457447</v>
      </c>
      <c r="CT213" s="363">
        <v>493.71801762505964</v>
      </c>
      <c r="CU213" s="363">
        <v>497.37003391924861</v>
      </c>
      <c r="CV213" s="363">
        <v>501.04906406048582</v>
      </c>
      <c r="CW213" s="363">
        <v>504.75530786932848</v>
      </c>
      <c r="CX213" s="435">
        <v>506.78988408745869</v>
      </c>
      <c r="CY213" s="435">
        <v>508.8244603055889</v>
      </c>
      <c r="CZ213" s="435">
        <v>510.85903652371917</v>
      </c>
      <c r="DA213" s="435">
        <v>512.89361274184932</v>
      </c>
      <c r="DB213" s="363">
        <v>514.92818895997959</v>
      </c>
      <c r="DC213" s="435">
        <v>516.59594010626961</v>
      </c>
      <c r="DD213" s="435">
        <v>518.26369125255951</v>
      </c>
      <c r="DE213" s="435">
        <v>519.93144239884953</v>
      </c>
      <c r="DF213" s="435">
        <v>521.59919354513943</v>
      </c>
      <c r="DG213" s="363">
        <v>523.26694469142944</v>
      </c>
      <c r="DH213" s="362">
        <v>9.072431705186073</v>
      </c>
      <c r="DI213" s="362">
        <v>9.1454463383628308</v>
      </c>
      <c r="DJ213" s="362">
        <v>9.2190485909156479</v>
      </c>
      <c r="DK213" s="363">
        <v>9.1584373912435222</v>
      </c>
      <c r="DL213" s="363">
        <v>9.0982246836163672</v>
      </c>
      <c r="DM213" s="363">
        <v>9.0691711072960395</v>
      </c>
      <c r="DN213" s="363">
        <v>9.0402103084489394</v>
      </c>
      <c r="DO213" s="363">
        <v>9.0113419908065655</v>
      </c>
      <c r="DP213" s="363">
        <v>8.9825658590464936</v>
      </c>
      <c r="DQ213" s="363">
        <v>8.9538816187893655</v>
      </c>
      <c r="DR213" s="363">
        <v>9.020113193090328</v>
      </c>
      <c r="DS213" s="363">
        <v>9.0868346802158211</v>
      </c>
      <c r="DT213" s="363">
        <v>9.1540497040352502</v>
      </c>
      <c r="DU213" s="363">
        <v>9.2217619152236665</v>
      </c>
      <c r="DV213" s="363">
        <v>9.2899749914600349</v>
      </c>
      <c r="DW213" s="435">
        <v>9.3274211795237818</v>
      </c>
      <c r="DX213" s="435">
        <v>9.3648673675875269</v>
      </c>
      <c r="DY213" s="435">
        <v>9.4023135556512738</v>
      </c>
      <c r="DZ213" s="435">
        <v>9.4397597437150189</v>
      </c>
      <c r="EA213" s="363">
        <v>9.4772059317787658</v>
      </c>
      <c r="EB213" s="435">
        <v>9.5079007381522018</v>
      </c>
      <c r="EC213" s="435">
        <v>9.5385955445256361</v>
      </c>
      <c r="ED213" s="435">
        <v>9.5692903508990721</v>
      </c>
      <c r="EE213" s="435">
        <v>9.5999851572725063</v>
      </c>
      <c r="EF213" s="363">
        <v>9.6306799636459424</v>
      </c>
      <c r="EG213" s="364">
        <v>0</v>
      </c>
      <c r="EH213" s="364">
        <v>0</v>
      </c>
      <c r="EI213" s="364">
        <v>0</v>
      </c>
      <c r="EJ213" s="365">
        <v>0</v>
      </c>
      <c r="EK213" s="365">
        <v>0</v>
      </c>
      <c r="EL213" s="365">
        <v>0</v>
      </c>
      <c r="EM213" s="365">
        <v>0</v>
      </c>
      <c r="EN213" s="365">
        <v>0</v>
      </c>
      <c r="EO213" s="365">
        <v>0</v>
      </c>
      <c r="EP213" s="365">
        <v>0</v>
      </c>
      <c r="EQ213" s="365">
        <v>0</v>
      </c>
      <c r="ER213" s="365">
        <v>0</v>
      </c>
      <c r="ES213" s="365">
        <v>0</v>
      </c>
      <c r="ET213" s="365">
        <v>0</v>
      </c>
      <c r="EU213" s="365">
        <v>0</v>
      </c>
      <c r="EV213" s="436">
        <v>0</v>
      </c>
      <c r="EW213" s="436">
        <v>0</v>
      </c>
      <c r="EX213" s="436">
        <v>0</v>
      </c>
      <c r="EY213" s="436">
        <v>0</v>
      </c>
      <c r="EZ213" s="365">
        <v>0</v>
      </c>
      <c r="FA213" s="436">
        <v>0</v>
      </c>
      <c r="FB213" s="436">
        <v>0</v>
      </c>
      <c r="FC213" s="436">
        <v>0</v>
      </c>
      <c r="FD213" s="436">
        <v>0</v>
      </c>
      <c r="FE213" s="365">
        <v>0</v>
      </c>
      <c r="FF213" s="364">
        <v>0</v>
      </c>
      <c r="FG213" s="364">
        <v>0</v>
      </c>
      <c r="FH213" s="364">
        <v>0</v>
      </c>
      <c r="FI213" s="365">
        <v>0</v>
      </c>
      <c r="FJ213" s="365">
        <v>0</v>
      </c>
      <c r="FK213" s="365">
        <v>0</v>
      </c>
      <c r="FL213" s="365">
        <v>0</v>
      </c>
      <c r="FM213" s="365">
        <v>0</v>
      </c>
      <c r="FN213" s="365">
        <v>0</v>
      </c>
      <c r="FO213" s="365">
        <v>0</v>
      </c>
      <c r="FP213" s="365">
        <v>0</v>
      </c>
      <c r="FQ213" s="365">
        <v>0</v>
      </c>
      <c r="FR213" s="365">
        <v>0</v>
      </c>
      <c r="FS213" s="365">
        <v>0</v>
      </c>
      <c r="FT213" s="365">
        <v>0</v>
      </c>
      <c r="FU213" s="436">
        <v>0</v>
      </c>
      <c r="FV213" s="436">
        <v>0</v>
      </c>
      <c r="FW213" s="436">
        <v>0</v>
      </c>
      <c r="FX213" s="436">
        <v>0</v>
      </c>
      <c r="FY213" s="365">
        <v>0</v>
      </c>
      <c r="FZ213" s="436">
        <v>0</v>
      </c>
      <c r="GA213" s="436">
        <v>0</v>
      </c>
      <c r="GB213" s="436">
        <v>0</v>
      </c>
      <c r="GC213" s="436">
        <v>0</v>
      </c>
      <c r="GD213" s="365">
        <v>0</v>
      </c>
    </row>
    <row r="214" spans="1:186" ht="15" x14ac:dyDescent="0.25">
      <c r="A214" s="357">
        <v>106</v>
      </c>
      <c r="B214" s="357">
        <v>94</v>
      </c>
      <c r="C214" s="357" t="s">
        <v>1124</v>
      </c>
      <c r="D214" s="2">
        <v>99709</v>
      </c>
      <c r="E214" s="268" t="s">
        <v>1527</v>
      </c>
      <c r="F214" s="358" t="s">
        <v>985</v>
      </c>
      <c r="G214" s="49">
        <v>1331</v>
      </c>
      <c r="H214" s="49">
        <v>577</v>
      </c>
      <c r="I214" s="49">
        <v>518</v>
      </c>
      <c r="J214" s="49">
        <v>59</v>
      </c>
      <c r="K214" s="49">
        <v>9</v>
      </c>
      <c r="L214" s="49">
        <v>288</v>
      </c>
      <c r="M214" s="49">
        <v>297</v>
      </c>
      <c r="N214" s="49">
        <v>24</v>
      </c>
      <c r="O214" s="49">
        <v>0</v>
      </c>
      <c r="P214" s="49">
        <v>0</v>
      </c>
      <c r="Q214" s="49">
        <v>321</v>
      </c>
      <c r="R214" s="49">
        <v>4333.4444444444443</v>
      </c>
      <c r="S214" s="49">
        <v>2359.7048611111113</v>
      </c>
      <c r="T214" s="49">
        <v>2419.5151515151515</v>
      </c>
      <c r="U214" s="49">
        <v>8092.958333333333</v>
      </c>
      <c r="V214" s="49">
        <v>0</v>
      </c>
      <c r="W214" s="49">
        <v>0</v>
      </c>
      <c r="X214" s="49">
        <v>2843.6978193146419</v>
      </c>
      <c r="Y214" s="434">
        <v>718596</v>
      </c>
      <c r="Z214" s="434">
        <v>194231</v>
      </c>
      <c r="AA214" s="49">
        <v>17.484848484848484</v>
      </c>
      <c r="AB214" s="49">
        <v>559.5151515151515</v>
      </c>
      <c r="AC214" s="49">
        <v>0</v>
      </c>
      <c r="AD214" s="285">
        <v>24</v>
      </c>
      <c r="AE214" s="285">
        <v>0</v>
      </c>
      <c r="AF214" s="359">
        <v>601</v>
      </c>
      <c r="AG214" s="360">
        <v>15.696969696969695</v>
      </c>
      <c r="AH214" s="360">
        <v>502.30303030303025</v>
      </c>
      <c r="AI214" s="361">
        <v>518</v>
      </c>
      <c r="AJ214" s="360">
        <v>0</v>
      </c>
      <c r="AK214" s="360">
        <v>16.648345270286836</v>
      </c>
      <c r="AL214" s="360">
        <v>532.74704864917874</v>
      </c>
      <c r="AM214" s="360">
        <v>549.39539391946562</v>
      </c>
      <c r="AN214" s="360">
        <v>0</v>
      </c>
      <c r="AO214" s="360">
        <v>14.974196902095505</v>
      </c>
      <c r="AP214" s="360">
        <v>479.17430086705616</v>
      </c>
      <c r="AQ214" s="360">
        <v>494.14849776915167</v>
      </c>
      <c r="AR214" s="360">
        <v>0</v>
      </c>
      <c r="AS214" s="360">
        <v>23.03197772402978</v>
      </c>
      <c r="AT214" s="360">
        <v>0</v>
      </c>
      <c r="AU214" s="360">
        <v>523.11143649900305</v>
      </c>
      <c r="AV214" s="360">
        <v>536.09235558730666</v>
      </c>
      <c r="AW214" s="360">
        <v>549.39539391946562</v>
      </c>
      <c r="AX214" s="360">
        <v>563.0285448283521</v>
      </c>
      <c r="AY214" s="360">
        <v>577</v>
      </c>
      <c r="AZ214" s="360">
        <v>471.39524680986358</v>
      </c>
      <c r="BA214" s="360">
        <v>482.63780733238525</v>
      </c>
      <c r="BB214" s="360">
        <v>494.14849776915173</v>
      </c>
      <c r="BC214" s="360">
        <v>505.93371289569205</v>
      </c>
      <c r="BD214" s="360">
        <v>518</v>
      </c>
      <c r="BE214" s="360">
        <v>22.10299991167517</v>
      </c>
      <c r="BF214" s="360">
        <v>22.56270820624011</v>
      </c>
      <c r="BG214" s="360">
        <v>23.03197772402978</v>
      </c>
      <c r="BH214" s="360">
        <v>23.511007323734873</v>
      </c>
      <c r="BI214" s="360">
        <v>24</v>
      </c>
      <c r="BJ214" s="362">
        <v>583.11260746506605</v>
      </c>
      <c r="BK214" s="362">
        <v>589.28997051075942</v>
      </c>
      <c r="BL214" s="362">
        <v>595.53277514305159</v>
      </c>
      <c r="BM214" s="363">
        <v>591.61740843362134</v>
      </c>
      <c r="BN214" s="363">
        <v>587.72778354245736</v>
      </c>
      <c r="BO214" s="363">
        <v>585.85097849438273</v>
      </c>
      <c r="BP214" s="363">
        <v>583.98016669230935</v>
      </c>
      <c r="BQ214" s="363">
        <v>582.11532899786266</v>
      </c>
      <c r="BR214" s="363">
        <v>580.2564463337834</v>
      </c>
      <c r="BS214" s="363">
        <v>578.40349968373221</v>
      </c>
      <c r="BT214" s="363">
        <v>582.68193176450154</v>
      </c>
      <c r="BU214" s="363">
        <v>586.99201126974151</v>
      </c>
      <c r="BV214" s="363">
        <v>591.33397229443278</v>
      </c>
      <c r="BW214" s="363">
        <v>595.70805066514936</v>
      </c>
      <c r="BX214" s="363">
        <v>600.11448395286607</v>
      </c>
      <c r="BY214" s="435">
        <v>602.53343554816479</v>
      </c>
      <c r="BZ214" s="435">
        <v>604.9523871434634</v>
      </c>
      <c r="CA214" s="435">
        <v>607.37133873876212</v>
      </c>
      <c r="CB214" s="435">
        <v>609.79029033406073</v>
      </c>
      <c r="CC214" s="363">
        <v>612.20924192935945</v>
      </c>
      <c r="CD214" s="435">
        <v>614.19206727644166</v>
      </c>
      <c r="CE214" s="435">
        <v>616.17489262352399</v>
      </c>
      <c r="CF214" s="435">
        <v>618.1577179706062</v>
      </c>
      <c r="CG214" s="435">
        <v>620.14054331768853</v>
      </c>
      <c r="CH214" s="363">
        <v>622.12336866477074</v>
      </c>
      <c r="CI214" s="362">
        <v>523.48757481265886</v>
      </c>
      <c r="CJ214" s="362">
        <v>529.03328375142701</v>
      </c>
      <c r="CK214" s="362">
        <v>534.63774267608449</v>
      </c>
      <c r="CL214" s="363">
        <v>531.12273408772251</v>
      </c>
      <c r="CM214" s="363">
        <v>527.63083513863592</v>
      </c>
      <c r="CN214" s="363">
        <v>525.94593909894331</v>
      </c>
      <c r="CO214" s="363">
        <v>524.2664234776712</v>
      </c>
      <c r="CP214" s="363">
        <v>522.59227109340191</v>
      </c>
      <c r="CQ214" s="363">
        <v>520.92346481958384</v>
      </c>
      <c r="CR214" s="363">
        <v>519.25998758435583</v>
      </c>
      <c r="CS214" s="363">
        <v>523.10093700868606</v>
      </c>
      <c r="CT214" s="363">
        <v>526.97029781235028</v>
      </c>
      <c r="CU214" s="363">
        <v>530.86828015340757</v>
      </c>
      <c r="CV214" s="363">
        <v>534.79509574444955</v>
      </c>
      <c r="CW214" s="363">
        <v>538.75095786409815</v>
      </c>
      <c r="CX214" s="435">
        <v>540.9225643222693</v>
      </c>
      <c r="CY214" s="435">
        <v>543.09417078044032</v>
      </c>
      <c r="CZ214" s="435">
        <v>545.26577723861146</v>
      </c>
      <c r="DA214" s="435">
        <v>547.43738369678249</v>
      </c>
      <c r="DB214" s="363">
        <v>549.60899015495363</v>
      </c>
      <c r="DC214" s="435">
        <v>551.38906559652833</v>
      </c>
      <c r="DD214" s="435">
        <v>553.16914103810302</v>
      </c>
      <c r="DE214" s="435">
        <v>554.94921647967783</v>
      </c>
      <c r="DF214" s="435">
        <v>556.72929192125252</v>
      </c>
      <c r="DG214" s="363">
        <v>558.50936736282722</v>
      </c>
      <c r="DH214" s="362">
        <v>24.254250570470681</v>
      </c>
      <c r="DI214" s="362">
        <v>24.511194613965728</v>
      </c>
      <c r="DJ214" s="362">
        <v>24.77086066452901</v>
      </c>
      <c r="DK214" s="363">
        <v>24.608003123755484</v>
      </c>
      <c r="DL214" s="363">
        <v>24.446216299859579</v>
      </c>
      <c r="DM214" s="363">
        <v>24.368151618483861</v>
      </c>
      <c r="DN214" s="363">
        <v>24.290336222903683</v>
      </c>
      <c r="DO214" s="363">
        <v>24.212769317068812</v>
      </c>
      <c r="DP214" s="363">
        <v>24.135450107471062</v>
      </c>
      <c r="DQ214" s="363">
        <v>24.058377803136175</v>
      </c>
      <c r="DR214" s="363">
        <v>24.236336849823289</v>
      </c>
      <c r="DS214" s="363">
        <v>24.415612253854064</v>
      </c>
      <c r="DT214" s="363">
        <v>24.596213752281432</v>
      </c>
      <c r="DU214" s="363">
        <v>24.778151154182989</v>
      </c>
      <c r="DV214" s="363">
        <v>24.961434341193737</v>
      </c>
      <c r="DW214" s="435">
        <v>25.062049312228691</v>
      </c>
      <c r="DX214" s="435">
        <v>25.162664283263645</v>
      </c>
      <c r="DY214" s="435">
        <v>25.263279254298599</v>
      </c>
      <c r="DZ214" s="435">
        <v>25.363894225333553</v>
      </c>
      <c r="EA214" s="363">
        <v>25.464509196368507</v>
      </c>
      <c r="EB214" s="435">
        <v>25.546983734202083</v>
      </c>
      <c r="EC214" s="435">
        <v>25.629458272035663</v>
      </c>
      <c r="ED214" s="435">
        <v>25.711932809869239</v>
      </c>
      <c r="EE214" s="435">
        <v>25.794407347702819</v>
      </c>
      <c r="EF214" s="363">
        <v>25.876881885536395</v>
      </c>
      <c r="EG214" s="364">
        <v>0</v>
      </c>
      <c r="EH214" s="364">
        <v>0</v>
      </c>
      <c r="EI214" s="364">
        <v>0</v>
      </c>
      <c r="EJ214" s="365">
        <v>0</v>
      </c>
      <c r="EK214" s="365">
        <v>0</v>
      </c>
      <c r="EL214" s="365">
        <v>0</v>
      </c>
      <c r="EM214" s="365">
        <v>0</v>
      </c>
      <c r="EN214" s="365">
        <v>0</v>
      </c>
      <c r="EO214" s="365">
        <v>0</v>
      </c>
      <c r="EP214" s="365">
        <v>0</v>
      </c>
      <c r="EQ214" s="365">
        <v>0</v>
      </c>
      <c r="ER214" s="365">
        <v>0</v>
      </c>
      <c r="ES214" s="365">
        <v>0</v>
      </c>
      <c r="ET214" s="365">
        <v>0</v>
      </c>
      <c r="EU214" s="365">
        <v>0</v>
      </c>
      <c r="EV214" s="436">
        <v>0</v>
      </c>
      <c r="EW214" s="436">
        <v>0</v>
      </c>
      <c r="EX214" s="436">
        <v>0</v>
      </c>
      <c r="EY214" s="436">
        <v>0</v>
      </c>
      <c r="EZ214" s="365">
        <v>0</v>
      </c>
      <c r="FA214" s="436">
        <v>0</v>
      </c>
      <c r="FB214" s="436">
        <v>0</v>
      </c>
      <c r="FC214" s="436">
        <v>0</v>
      </c>
      <c r="FD214" s="436">
        <v>0</v>
      </c>
      <c r="FE214" s="365">
        <v>0</v>
      </c>
      <c r="FF214" s="364">
        <v>0</v>
      </c>
      <c r="FG214" s="364">
        <v>0</v>
      </c>
      <c r="FH214" s="364">
        <v>0</v>
      </c>
      <c r="FI214" s="365">
        <v>0</v>
      </c>
      <c r="FJ214" s="365">
        <v>0</v>
      </c>
      <c r="FK214" s="365">
        <v>0</v>
      </c>
      <c r="FL214" s="365">
        <v>0</v>
      </c>
      <c r="FM214" s="365">
        <v>0</v>
      </c>
      <c r="FN214" s="365">
        <v>0</v>
      </c>
      <c r="FO214" s="365">
        <v>0</v>
      </c>
      <c r="FP214" s="365">
        <v>0</v>
      </c>
      <c r="FQ214" s="365">
        <v>0</v>
      </c>
      <c r="FR214" s="365">
        <v>0</v>
      </c>
      <c r="FS214" s="365">
        <v>0</v>
      </c>
      <c r="FT214" s="365">
        <v>0</v>
      </c>
      <c r="FU214" s="436">
        <v>0</v>
      </c>
      <c r="FV214" s="436">
        <v>0</v>
      </c>
      <c r="FW214" s="436">
        <v>0</v>
      </c>
      <c r="FX214" s="436">
        <v>0</v>
      </c>
      <c r="FY214" s="365">
        <v>0</v>
      </c>
      <c r="FZ214" s="436">
        <v>0</v>
      </c>
      <c r="GA214" s="436">
        <v>0</v>
      </c>
      <c r="GB214" s="436">
        <v>0</v>
      </c>
      <c r="GC214" s="436">
        <v>0</v>
      </c>
      <c r="GD214" s="365">
        <v>0</v>
      </c>
    </row>
    <row r="215" spans="1:186" ht="15" x14ac:dyDescent="0.25">
      <c r="A215" s="357">
        <v>107</v>
      </c>
      <c r="B215" s="357">
        <v>94</v>
      </c>
      <c r="C215" s="357" t="s">
        <v>1125</v>
      </c>
      <c r="D215" s="2">
        <v>99709</v>
      </c>
      <c r="E215" s="268" t="s">
        <v>1527</v>
      </c>
      <c r="F215" s="358" t="s">
        <v>985</v>
      </c>
      <c r="G215" s="49">
        <v>1501</v>
      </c>
      <c r="H215" s="49">
        <v>566</v>
      </c>
      <c r="I215" s="49">
        <v>538</v>
      </c>
      <c r="J215" s="49">
        <v>28</v>
      </c>
      <c r="K215" s="49">
        <v>3</v>
      </c>
      <c r="L215" s="49">
        <v>456</v>
      </c>
      <c r="M215" s="49">
        <v>459</v>
      </c>
      <c r="N215" s="49">
        <v>22</v>
      </c>
      <c r="O215" s="49">
        <v>0</v>
      </c>
      <c r="P215" s="49">
        <v>0</v>
      </c>
      <c r="Q215" s="49">
        <v>481</v>
      </c>
      <c r="R215" s="49">
        <v>13988</v>
      </c>
      <c r="S215" s="49">
        <v>2847.7368421052633</v>
      </c>
      <c r="T215" s="49">
        <v>2920.5490196078431</v>
      </c>
      <c r="U215" s="49">
        <v>9652.136363636364</v>
      </c>
      <c r="V215" s="49">
        <v>0</v>
      </c>
      <c r="W215" s="49">
        <v>0</v>
      </c>
      <c r="X215" s="49">
        <v>3228.4386694386694</v>
      </c>
      <c r="Y215" s="434">
        <v>1340532</v>
      </c>
      <c r="Z215" s="434">
        <v>212347</v>
      </c>
      <c r="AA215" s="49">
        <v>3.6993464052287583</v>
      </c>
      <c r="AB215" s="49">
        <v>562.30065359477123</v>
      </c>
      <c r="AC215" s="49">
        <v>0</v>
      </c>
      <c r="AD215" s="285">
        <v>22</v>
      </c>
      <c r="AE215" s="285">
        <v>0</v>
      </c>
      <c r="AF215" s="359">
        <v>588</v>
      </c>
      <c r="AG215" s="360">
        <v>3.5163398692810457</v>
      </c>
      <c r="AH215" s="360">
        <v>534.48366013071893</v>
      </c>
      <c r="AI215" s="361">
        <v>538</v>
      </c>
      <c r="AJ215" s="360">
        <v>0</v>
      </c>
      <c r="AK215" s="360">
        <v>3.5223637357802646</v>
      </c>
      <c r="AL215" s="360">
        <v>535.39928783860023</v>
      </c>
      <c r="AM215" s="360">
        <v>538.92165157438046</v>
      </c>
      <c r="AN215" s="360">
        <v>0</v>
      </c>
      <c r="AO215" s="360">
        <v>3.3544286950791586</v>
      </c>
      <c r="AP215" s="360">
        <v>509.87316165203208</v>
      </c>
      <c r="AQ215" s="360">
        <v>513.22759034711123</v>
      </c>
      <c r="AR215" s="360">
        <v>0</v>
      </c>
      <c r="AS215" s="360">
        <v>21.1126462470273</v>
      </c>
      <c r="AT215" s="360">
        <v>0</v>
      </c>
      <c r="AU215" s="360">
        <v>513.13877479798225</v>
      </c>
      <c r="AV215" s="360">
        <v>525.87222402498367</v>
      </c>
      <c r="AW215" s="360">
        <v>538.92165157438046</v>
      </c>
      <c r="AX215" s="360">
        <v>552.29489839314954</v>
      </c>
      <c r="AY215" s="360">
        <v>566</v>
      </c>
      <c r="AZ215" s="360">
        <v>489.59583548978111</v>
      </c>
      <c r="BA215" s="360">
        <v>501.27247170815303</v>
      </c>
      <c r="BB215" s="360">
        <v>513.22759034711123</v>
      </c>
      <c r="BC215" s="360">
        <v>525.46783308471493</v>
      </c>
      <c r="BD215" s="360">
        <v>538</v>
      </c>
      <c r="BE215" s="360">
        <v>20.261083252368906</v>
      </c>
      <c r="BF215" s="360">
        <v>20.682482522386767</v>
      </c>
      <c r="BG215" s="360">
        <v>21.1126462470273</v>
      </c>
      <c r="BH215" s="360">
        <v>21.551756713423632</v>
      </c>
      <c r="BI215" s="360">
        <v>22</v>
      </c>
      <c r="BJ215" s="362">
        <v>575.6053291574475</v>
      </c>
      <c r="BK215" s="362">
        <v>585.37366599726761</v>
      </c>
      <c r="BL215" s="362">
        <v>595.30777684886743</v>
      </c>
      <c r="BM215" s="363">
        <v>591.39388940450453</v>
      </c>
      <c r="BN215" s="363">
        <v>587.50573405288901</v>
      </c>
      <c r="BO215" s="363">
        <v>585.62963808070742</v>
      </c>
      <c r="BP215" s="363">
        <v>583.75953309021816</v>
      </c>
      <c r="BQ215" s="363">
        <v>581.89539995027746</v>
      </c>
      <c r="BR215" s="363">
        <v>580.03721959083362</v>
      </c>
      <c r="BS215" s="363">
        <v>578.18497300273168</v>
      </c>
      <c r="BT215" s="363">
        <v>582.46178864867147</v>
      </c>
      <c r="BU215" s="363">
        <v>586.77023976236524</v>
      </c>
      <c r="BV215" s="363">
        <v>591.11056035035051</v>
      </c>
      <c r="BW215" s="363">
        <v>595.48298615010356</v>
      </c>
      <c r="BX215" s="363">
        <v>599.88775464284254</v>
      </c>
      <c r="BY215" s="435">
        <v>602.3057923338099</v>
      </c>
      <c r="BZ215" s="435">
        <v>604.72383002477727</v>
      </c>
      <c r="CA215" s="435">
        <v>607.14186771574452</v>
      </c>
      <c r="CB215" s="435">
        <v>609.55990540671189</v>
      </c>
      <c r="CC215" s="363">
        <v>611.97794309767926</v>
      </c>
      <c r="CD215" s="435">
        <v>613.96001931332933</v>
      </c>
      <c r="CE215" s="435">
        <v>615.94209552897939</v>
      </c>
      <c r="CF215" s="435">
        <v>617.92417174462946</v>
      </c>
      <c r="CG215" s="435">
        <v>619.90624796027953</v>
      </c>
      <c r="CH215" s="363">
        <v>621.8883241759296</v>
      </c>
      <c r="CI215" s="362">
        <v>547.13015386343943</v>
      </c>
      <c r="CJ215" s="362">
        <v>556.41525142496459</v>
      </c>
      <c r="CK215" s="362">
        <v>565.85792216376444</v>
      </c>
      <c r="CL215" s="363">
        <v>562.13765459297429</v>
      </c>
      <c r="CM215" s="363">
        <v>558.44184614921255</v>
      </c>
      <c r="CN215" s="363">
        <v>556.65856057848168</v>
      </c>
      <c r="CO215" s="363">
        <v>554.88096961579049</v>
      </c>
      <c r="CP215" s="363">
        <v>553.10905507641223</v>
      </c>
      <c r="CQ215" s="363">
        <v>551.34279883368993</v>
      </c>
      <c r="CR215" s="363">
        <v>549.58218281885104</v>
      </c>
      <c r="CS215" s="363">
        <v>553.64742454591033</v>
      </c>
      <c r="CT215" s="363">
        <v>557.74273673525181</v>
      </c>
      <c r="CU215" s="363">
        <v>561.86834181711765</v>
      </c>
      <c r="CV215" s="363">
        <v>566.02446386705958</v>
      </c>
      <c r="CW215" s="363">
        <v>570.21132861810827</v>
      </c>
      <c r="CX215" s="435">
        <v>572.50974606994646</v>
      </c>
      <c r="CY215" s="435">
        <v>574.80816352178465</v>
      </c>
      <c r="CZ215" s="435">
        <v>577.10658097362295</v>
      </c>
      <c r="DA215" s="435">
        <v>579.40499842546114</v>
      </c>
      <c r="DB215" s="363">
        <v>581.70341587729934</v>
      </c>
      <c r="DC215" s="435">
        <v>583.58743885259923</v>
      </c>
      <c r="DD215" s="435">
        <v>585.47146182789913</v>
      </c>
      <c r="DE215" s="435">
        <v>587.35548480319903</v>
      </c>
      <c r="DF215" s="435">
        <v>589.23950777849893</v>
      </c>
      <c r="DG215" s="363">
        <v>591.12353075379883</v>
      </c>
      <c r="DH215" s="362">
        <v>22.373352016720574</v>
      </c>
      <c r="DI215" s="362">
        <v>22.753040021095206</v>
      </c>
      <c r="DJ215" s="362">
        <v>23.139171538295201</v>
      </c>
      <c r="DK215" s="363">
        <v>22.98704163763092</v>
      </c>
      <c r="DL215" s="363">
        <v>22.835911924317244</v>
      </c>
      <c r="DM215" s="363">
        <v>22.762989466034565</v>
      </c>
      <c r="DN215" s="363">
        <v>22.690299872764665</v>
      </c>
      <c r="DO215" s="363">
        <v>22.61784240089418</v>
      </c>
      <c r="DP215" s="363">
        <v>22.545616309184346</v>
      </c>
      <c r="DQ215" s="363">
        <v>22.473620858763425</v>
      </c>
      <c r="DR215" s="363">
        <v>22.639857509312318</v>
      </c>
      <c r="DS215" s="363">
        <v>22.807323807017731</v>
      </c>
      <c r="DT215" s="363">
        <v>22.976028847540128</v>
      </c>
      <c r="DU215" s="363">
        <v>23.14598179382028</v>
      </c>
      <c r="DV215" s="363">
        <v>23.317191876576921</v>
      </c>
      <c r="DW215" s="435">
        <v>23.411179207321233</v>
      </c>
      <c r="DX215" s="435">
        <v>23.505166538065545</v>
      </c>
      <c r="DY215" s="435">
        <v>23.599153868809861</v>
      </c>
      <c r="DZ215" s="435">
        <v>23.693141199554173</v>
      </c>
      <c r="EA215" s="363">
        <v>23.787128530298485</v>
      </c>
      <c r="EB215" s="435">
        <v>23.864170362002199</v>
      </c>
      <c r="EC215" s="435">
        <v>23.941212193705912</v>
      </c>
      <c r="ED215" s="435">
        <v>24.018254025409625</v>
      </c>
      <c r="EE215" s="435">
        <v>24.095295857113339</v>
      </c>
      <c r="EF215" s="363">
        <v>24.172337688817052</v>
      </c>
      <c r="EG215" s="364">
        <v>0</v>
      </c>
      <c r="EH215" s="364">
        <v>0</v>
      </c>
      <c r="EI215" s="364">
        <v>0</v>
      </c>
      <c r="EJ215" s="365">
        <v>0</v>
      </c>
      <c r="EK215" s="365">
        <v>0</v>
      </c>
      <c r="EL215" s="365">
        <v>0</v>
      </c>
      <c r="EM215" s="365">
        <v>0</v>
      </c>
      <c r="EN215" s="365">
        <v>0</v>
      </c>
      <c r="EO215" s="365">
        <v>0</v>
      </c>
      <c r="EP215" s="365">
        <v>0</v>
      </c>
      <c r="EQ215" s="365">
        <v>0</v>
      </c>
      <c r="ER215" s="365">
        <v>0</v>
      </c>
      <c r="ES215" s="365">
        <v>0</v>
      </c>
      <c r="ET215" s="365">
        <v>0</v>
      </c>
      <c r="EU215" s="365">
        <v>0</v>
      </c>
      <c r="EV215" s="436">
        <v>0</v>
      </c>
      <c r="EW215" s="436">
        <v>0</v>
      </c>
      <c r="EX215" s="436">
        <v>0</v>
      </c>
      <c r="EY215" s="436">
        <v>0</v>
      </c>
      <c r="EZ215" s="365">
        <v>0</v>
      </c>
      <c r="FA215" s="436">
        <v>0</v>
      </c>
      <c r="FB215" s="436">
        <v>0</v>
      </c>
      <c r="FC215" s="436">
        <v>0</v>
      </c>
      <c r="FD215" s="436">
        <v>0</v>
      </c>
      <c r="FE215" s="365">
        <v>0</v>
      </c>
      <c r="FF215" s="364">
        <v>0</v>
      </c>
      <c r="FG215" s="364">
        <v>0</v>
      </c>
      <c r="FH215" s="364">
        <v>0</v>
      </c>
      <c r="FI215" s="365">
        <v>0</v>
      </c>
      <c r="FJ215" s="365">
        <v>0</v>
      </c>
      <c r="FK215" s="365">
        <v>0</v>
      </c>
      <c r="FL215" s="365">
        <v>0</v>
      </c>
      <c r="FM215" s="365">
        <v>0</v>
      </c>
      <c r="FN215" s="365">
        <v>0</v>
      </c>
      <c r="FO215" s="365">
        <v>0</v>
      </c>
      <c r="FP215" s="365">
        <v>0</v>
      </c>
      <c r="FQ215" s="365">
        <v>0</v>
      </c>
      <c r="FR215" s="365">
        <v>0</v>
      </c>
      <c r="FS215" s="365">
        <v>0</v>
      </c>
      <c r="FT215" s="365">
        <v>0</v>
      </c>
      <c r="FU215" s="436">
        <v>0</v>
      </c>
      <c r="FV215" s="436">
        <v>0</v>
      </c>
      <c r="FW215" s="436">
        <v>0</v>
      </c>
      <c r="FX215" s="436">
        <v>0</v>
      </c>
      <c r="FY215" s="365">
        <v>0</v>
      </c>
      <c r="FZ215" s="436">
        <v>0</v>
      </c>
      <c r="GA215" s="436">
        <v>0</v>
      </c>
      <c r="GB215" s="436">
        <v>0</v>
      </c>
      <c r="GC215" s="436">
        <v>0</v>
      </c>
      <c r="GD215" s="365">
        <v>0</v>
      </c>
    </row>
    <row r="216" spans="1:186" ht="15" x14ac:dyDescent="0.25">
      <c r="A216" s="357">
        <v>108</v>
      </c>
      <c r="B216" s="357">
        <v>94</v>
      </c>
      <c r="C216" s="357" t="s">
        <v>1126</v>
      </c>
      <c r="D216" s="2">
        <v>99701</v>
      </c>
      <c r="E216" s="268" t="s">
        <v>1527</v>
      </c>
      <c r="F216" s="358" t="s">
        <v>985</v>
      </c>
      <c r="G216" s="49">
        <v>1159</v>
      </c>
      <c r="H216" s="49">
        <v>528</v>
      </c>
      <c r="I216" s="49">
        <v>470</v>
      </c>
      <c r="J216" s="49">
        <v>58</v>
      </c>
      <c r="K216" s="49">
        <v>4</v>
      </c>
      <c r="L216" s="49">
        <v>177</v>
      </c>
      <c r="M216" s="49">
        <v>181</v>
      </c>
      <c r="N216" s="49">
        <v>28</v>
      </c>
      <c r="O216" s="49">
        <v>0</v>
      </c>
      <c r="P216" s="49">
        <v>0</v>
      </c>
      <c r="Q216" s="49">
        <v>209</v>
      </c>
      <c r="R216" s="49">
        <v>3408.5</v>
      </c>
      <c r="S216" s="49">
        <v>2513.593220338983</v>
      </c>
      <c r="T216" s="49">
        <v>2533.3701657458564</v>
      </c>
      <c r="U216" s="49">
        <v>8862.4642857142862</v>
      </c>
      <c r="V216" s="49">
        <v>0</v>
      </c>
      <c r="W216" s="49">
        <v>0</v>
      </c>
      <c r="X216" s="49">
        <v>3381.287081339713</v>
      </c>
      <c r="Y216" s="434">
        <v>458540</v>
      </c>
      <c r="Z216" s="434">
        <v>248149</v>
      </c>
      <c r="AA216" s="49">
        <v>11.668508287292818</v>
      </c>
      <c r="AB216" s="49">
        <v>516.33149171270713</v>
      </c>
      <c r="AC216" s="49">
        <v>0</v>
      </c>
      <c r="AD216" s="285">
        <v>28</v>
      </c>
      <c r="AE216" s="285">
        <v>0</v>
      </c>
      <c r="AF216" s="359">
        <v>556</v>
      </c>
      <c r="AG216" s="360">
        <v>10.386740331491714</v>
      </c>
      <c r="AH216" s="360">
        <v>459.61325966850825</v>
      </c>
      <c r="AI216" s="361">
        <v>469.99999999999994</v>
      </c>
      <c r="AJ216" s="360">
        <v>0</v>
      </c>
      <c r="AK216" s="360">
        <v>11.538988036142854</v>
      </c>
      <c r="AL216" s="360">
        <v>510.60022059932123</v>
      </c>
      <c r="AM216" s="360">
        <v>522.13920863546412</v>
      </c>
      <c r="AN216" s="360">
        <v>0</v>
      </c>
      <c r="AO216" s="360">
        <v>10.29036442931698</v>
      </c>
      <c r="AP216" s="360">
        <v>455.34862599727632</v>
      </c>
      <c r="AQ216" s="360">
        <v>465.6389904265933</v>
      </c>
      <c r="AR216" s="360">
        <v>0</v>
      </c>
      <c r="AS216" s="360">
        <v>27.855380329919431</v>
      </c>
      <c r="AT216" s="360">
        <v>0</v>
      </c>
      <c r="AU216" s="360">
        <v>516.34347195922112</v>
      </c>
      <c r="AV216" s="360">
        <v>519.23325378183904</v>
      </c>
      <c r="AW216" s="360">
        <v>522.13920863546412</v>
      </c>
      <c r="AX216" s="360">
        <v>525.0614270345186</v>
      </c>
      <c r="AY216" s="360">
        <v>528</v>
      </c>
      <c r="AZ216" s="360">
        <v>461.31844554361072</v>
      </c>
      <c r="BA216" s="360">
        <v>463.47368344717512</v>
      </c>
      <c r="BB216" s="360">
        <v>465.6389904265933</v>
      </c>
      <c r="BC216" s="360">
        <v>467.81441352367375</v>
      </c>
      <c r="BD216" s="360">
        <v>469.99999999999994</v>
      </c>
      <c r="BE216" s="360">
        <v>27.711507618730796</v>
      </c>
      <c r="BF216" s="360">
        <v>27.783350846058983</v>
      </c>
      <c r="BG216" s="360">
        <v>27.855380329919431</v>
      </c>
      <c r="BH216" s="360">
        <v>27.927596553189893</v>
      </c>
      <c r="BI216" s="360">
        <v>28</v>
      </c>
      <c r="BJ216" s="362">
        <v>531.3161563689639</v>
      </c>
      <c r="BK216" s="362">
        <v>534.6531401869114</v>
      </c>
      <c r="BL216" s="362">
        <v>538.01108226270185</v>
      </c>
      <c r="BM216" s="363">
        <v>534.47389544659438</v>
      </c>
      <c r="BN216" s="363">
        <v>530.95996408187909</v>
      </c>
      <c r="BO216" s="363">
        <v>529.26443705590111</v>
      </c>
      <c r="BP216" s="363">
        <v>527.57432439652382</v>
      </c>
      <c r="BQ216" s="363">
        <v>525.88960881392211</v>
      </c>
      <c r="BR216" s="363">
        <v>524.21027307348299</v>
      </c>
      <c r="BS216" s="363">
        <v>522.53629999562895</v>
      </c>
      <c r="BT216" s="363">
        <v>526.40148419747129</v>
      </c>
      <c r="BU216" s="363">
        <v>530.29525904251716</v>
      </c>
      <c r="BV216" s="363">
        <v>534.21783601483492</v>
      </c>
      <c r="BW216" s="363">
        <v>538.16942816283358</v>
      </c>
      <c r="BX216" s="363">
        <v>542.15025011083367</v>
      </c>
      <c r="BY216" s="435">
        <v>544.33555849359243</v>
      </c>
      <c r="BZ216" s="435">
        <v>546.52086687635131</v>
      </c>
      <c r="CA216" s="435">
        <v>548.70617525911007</v>
      </c>
      <c r="CB216" s="435">
        <v>550.89148364186894</v>
      </c>
      <c r="CC216" s="363">
        <v>553.07679202462771</v>
      </c>
      <c r="CD216" s="435">
        <v>554.86809899453442</v>
      </c>
      <c r="CE216" s="435">
        <v>556.65940596444113</v>
      </c>
      <c r="CF216" s="435">
        <v>558.45071293434796</v>
      </c>
      <c r="CG216" s="435">
        <v>560.24201990425468</v>
      </c>
      <c r="CH216" s="363">
        <v>562.03332687416139</v>
      </c>
      <c r="CI216" s="362">
        <v>472.95188161631245</v>
      </c>
      <c r="CJ216" s="362">
        <v>475.92230281789455</v>
      </c>
      <c r="CK216" s="362">
        <v>478.91138004445042</v>
      </c>
      <c r="CL216" s="363">
        <v>475.76274784071836</v>
      </c>
      <c r="CM216" s="363">
        <v>472.63481651227863</v>
      </c>
      <c r="CN216" s="363">
        <v>471.12554056112401</v>
      </c>
      <c r="CO216" s="363">
        <v>469.62108421660258</v>
      </c>
      <c r="CP216" s="363">
        <v>468.1214320881503</v>
      </c>
      <c r="CQ216" s="363">
        <v>466.62656883435028</v>
      </c>
      <c r="CR216" s="363">
        <v>465.13647916277574</v>
      </c>
      <c r="CS216" s="363">
        <v>468.57707873638532</v>
      </c>
      <c r="CT216" s="363">
        <v>472.04312831436181</v>
      </c>
      <c r="CU216" s="363">
        <v>475.53481614956888</v>
      </c>
      <c r="CV216" s="363">
        <v>479.05233188737071</v>
      </c>
      <c r="CW216" s="363">
        <v>482.59586657593144</v>
      </c>
      <c r="CX216" s="435">
        <v>484.54112214391751</v>
      </c>
      <c r="CY216" s="435">
        <v>486.48637771190357</v>
      </c>
      <c r="CZ216" s="435">
        <v>488.43163327988964</v>
      </c>
      <c r="DA216" s="435">
        <v>490.3768888478757</v>
      </c>
      <c r="DB216" s="363">
        <v>492.32214441586177</v>
      </c>
      <c r="DC216" s="435">
        <v>493.91667902922569</v>
      </c>
      <c r="DD216" s="435">
        <v>495.51121364258967</v>
      </c>
      <c r="DE216" s="435">
        <v>497.10574825595359</v>
      </c>
      <c r="DF216" s="435">
        <v>498.70028286931756</v>
      </c>
      <c r="DG216" s="363">
        <v>500.29481748268148</v>
      </c>
      <c r="DH216" s="362">
        <v>28.175856777142023</v>
      </c>
      <c r="DI216" s="362">
        <v>28.352818040214999</v>
      </c>
      <c r="DJ216" s="362">
        <v>28.53089072605237</v>
      </c>
      <c r="DK216" s="363">
        <v>28.343312637319396</v>
      </c>
      <c r="DL216" s="363">
        <v>28.156967792220858</v>
      </c>
      <c r="DM216" s="363">
        <v>28.067053480237178</v>
      </c>
      <c r="DN216" s="363">
        <v>27.977426293755052</v>
      </c>
      <c r="DO216" s="363">
        <v>27.888085315889811</v>
      </c>
      <c r="DP216" s="363">
        <v>27.7990296326847</v>
      </c>
      <c r="DQ216" s="363">
        <v>27.710258333101535</v>
      </c>
      <c r="DR216" s="363">
        <v>27.91523022259317</v>
      </c>
      <c r="DS216" s="363">
        <v>28.12171828255773</v>
      </c>
      <c r="DT216" s="363">
        <v>28.329733728059427</v>
      </c>
      <c r="DU216" s="363">
        <v>28.539287857119959</v>
      </c>
      <c r="DV216" s="363">
        <v>28.750392051332089</v>
      </c>
      <c r="DW216" s="435">
        <v>28.866279617084452</v>
      </c>
      <c r="DX216" s="435">
        <v>28.982167182836811</v>
      </c>
      <c r="DY216" s="435">
        <v>29.098054748589174</v>
      </c>
      <c r="DZ216" s="435">
        <v>29.213942314341534</v>
      </c>
      <c r="EA216" s="363">
        <v>29.329829880093897</v>
      </c>
      <c r="EB216" s="435">
        <v>29.424823431528345</v>
      </c>
      <c r="EC216" s="435">
        <v>29.519816982962791</v>
      </c>
      <c r="ED216" s="435">
        <v>29.61481053439724</v>
      </c>
      <c r="EE216" s="435">
        <v>29.709804085831685</v>
      </c>
      <c r="EF216" s="363">
        <v>29.804797637266134</v>
      </c>
      <c r="EG216" s="364">
        <v>0</v>
      </c>
      <c r="EH216" s="364">
        <v>0</v>
      </c>
      <c r="EI216" s="364">
        <v>0</v>
      </c>
      <c r="EJ216" s="365">
        <v>0</v>
      </c>
      <c r="EK216" s="365">
        <v>0</v>
      </c>
      <c r="EL216" s="365">
        <v>0</v>
      </c>
      <c r="EM216" s="365">
        <v>0</v>
      </c>
      <c r="EN216" s="365">
        <v>0</v>
      </c>
      <c r="EO216" s="365">
        <v>0</v>
      </c>
      <c r="EP216" s="365">
        <v>0</v>
      </c>
      <c r="EQ216" s="365">
        <v>0</v>
      </c>
      <c r="ER216" s="365">
        <v>0</v>
      </c>
      <c r="ES216" s="365">
        <v>0</v>
      </c>
      <c r="ET216" s="365">
        <v>0</v>
      </c>
      <c r="EU216" s="365">
        <v>0</v>
      </c>
      <c r="EV216" s="436">
        <v>0</v>
      </c>
      <c r="EW216" s="436">
        <v>0</v>
      </c>
      <c r="EX216" s="436">
        <v>0</v>
      </c>
      <c r="EY216" s="436">
        <v>0</v>
      </c>
      <c r="EZ216" s="365">
        <v>0</v>
      </c>
      <c r="FA216" s="436">
        <v>0</v>
      </c>
      <c r="FB216" s="436">
        <v>0</v>
      </c>
      <c r="FC216" s="436">
        <v>0</v>
      </c>
      <c r="FD216" s="436">
        <v>0</v>
      </c>
      <c r="FE216" s="365">
        <v>0</v>
      </c>
      <c r="FF216" s="364">
        <v>0</v>
      </c>
      <c r="FG216" s="364">
        <v>0</v>
      </c>
      <c r="FH216" s="364">
        <v>0</v>
      </c>
      <c r="FI216" s="365">
        <v>0</v>
      </c>
      <c r="FJ216" s="365">
        <v>0</v>
      </c>
      <c r="FK216" s="365">
        <v>0</v>
      </c>
      <c r="FL216" s="365">
        <v>0</v>
      </c>
      <c r="FM216" s="365">
        <v>0</v>
      </c>
      <c r="FN216" s="365">
        <v>0</v>
      </c>
      <c r="FO216" s="365">
        <v>0</v>
      </c>
      <c r="FP216" s="365">
        <v>0</v>
      </c>
      <c r="FQ216" s="365">
        <v>0</v>
      </c>
      <c r="FR216" s="365">
        <v>0</v>
      </c>
      <c r="FS216" s="365">
        <v>0</v>
      </c>
      <c r="FT216" s="365">
        <v>0</v>
      </c>
      <c r="FU216" s="436">
        <v>0</v>
      </c>
      <c r="FV216" s="436">
        <v>0</v>
      </c>
      <c r="FW216" s="436">
        <v>0</v>
      </c>
      <c r="FX216" s="436">
        <v>0</v>
      </c>
      <c r="FY216" s="365">
        <v>0</v>
      </c>
      <c r="FZ216" s="436">
        <v>0</v>
      </c>
      <c r="GA216" s="436">
        <v>0</v>
      </c>
      <c r="GB216" s="436">
        <v>0</v>
      </c>
      <c r="GC216" s="436">
        <v>0</v>
      </c>
      <c r="GD216" s="365">
        <v>0</v>
      </c>
    </row>
    <row r="217" spans="1:186" ht="15" x14ac:dyDescent="0.25">
      <c r="A217" s="357">
        <v>109</v>
      </c>
      <c r="B217" s="357">
        <v>94</v>
      </c>
      <c r="C217" s="357" t="s">
        <v>1127</v>
      </c>
      <c r="D217" s="2">
        <v>99701</v>
      </c>
      <c r="E217" s="268" t="s">
        <v>1527</v>
      </c>
      <c r="F217" s="358" t="s">
        <v>985</v>
      </c>
      <c r="G217" s="49">
        <v>2461</v>
      </c>
      <c r="H217" s="49">
        <v>1456</v>
      </c>
      <c r="I217" s="49">
        <v>1242</v>
      </c>
      <c r="J217" s="49">
        <v>214</v>
      </c>
      <c r="K217" s="49">
        <v>17</v>
      </c>
      <c r="L217" s="49">
        <v>408</v>
      </c>
      <c r="M217" s="49">
        <v>425</v>
      </c>
      <c r="N217" s="49">
        <v>70</v>
      </c>
      <c r="O217" s="49">
        <v>29</v>
      </c>
      <c r="P217" s="49">
        <v>38</v>
      </c>
      <c r="Q217" s="49">
        <v>562</v>
      </c>
      <c r="R217" s="49">
        <v>4491.6470588235297</v>
      </c>
      <c r="S217" s="49">
        <v>2133.6200980392155</v>
      </c>
      <c r="T217" s="49">
        <v>2227.9411764705883</v>
      </c>
      <c r="U217" s="49">
        <v>8539.971428571429</v>
      </c>
      <c r="V217" s="49">
        <v>3203.4827586206898</v>
      </c>
      <c r="W217" s="49">
        <v>19775.236842105263</v>
      </c>
      <c r="X217" s="49">
        <v>4250.9483985765128</v>
      </c>
      <c r="Y217" s="434">
        <v>1039776</v>
      </c>
      <c r="Z217" s="434">
        <v>1349257</v>
      </c>
      <c r="AA217" s="49">
        <v>54.519823788546255</v>
      </c>
      <c r="AB217" s="49">
        <v>1308.4757709251101</v>
      </c>
      <c r="AC217" s="49">
        <v>93.004405286343612</v>
      </c>
      <c r="AD217" s="285">
        <v>70</v>
      </c>
      <c r="AE217" s="285">
        <v>38</v>
      </c>
      <c r="AF217" s="359">
        <v>1564</v>
      </c>
      <c r="AG217" s="360">
        <v>46.506607929515418</v>
      </c>
      <c r="AH217" s="360">
        <v>1116.1585903083699</v>
      </c>
      <c r="AI217" s="361">
        <v>1162.6651982378853</v>
      </c>
      <c r="AJ217" s="360">
        <v>79.334801762114537</v>
      </c>
      <c r="AK217" s="360">
        <v>53.914654636167604</v>
      </c>
      <c r="AL217" s="360">
        <v>1293.9517112680223</v>
      </c>
      <c r="AM217" s="360">
        <v>1347.8663659041899</v>
      </c>
      <c r="AN217" s="360">
        <v>91.972057908756497</v>
      </c>
      <c r="AO217" s="360">
        <v>46.075085030776513</v>
      </c>
      <c r="AP217" s="360">
        <v>1105.8020407386362</v>
      </c>
      <c r="AQ217" s="360">
        <v>1151.8771257694127</v>
      </c>
      <c r="AR217" s="360">
        <v>78.598674464265812</v>
      </c>
      <c r="AS217" s="360">
        <v>69.638450824798582</v>
      </c>
      <c r="AT217" s="360">
        <v>37.803730447747796</v>
      </c>
      <c r="AU217" s="360">
        <v>1332.9050712870696</v>
      </c>
      <c r="AV217" s="360">
        <v>1340.3648438134178</v>
      </c>
      <c r="AW217" s="360">
        <v>1347.8663659041902</v>
      </c>
      <c r="AX217" s="360">
        <v>1355.4098712161265</v>
      </c>
      <c r="AY217" s="360">
        <v>1362.9955947136564</v>
      </c>
      <c r="AZ217" s="360">
        <v>1141.1891530611815</v>
      </c>
      <c r="BA217" s="360">
        <v>1146.5206851981975</v>
      </c>
      <c r="BB217" s="360">
        <v>1151.8771257694127</v>
      </c>
      <c r="BC217" s="360">
        <v>1157.2585911447707</v>
      </c>
      <c r="BD217" s="360">
        <v>1162.6651982378853</v>
      </c>
      <c r="BE217" s="360">
        <v>69.278769046826994</v>
      </c>
      <c r="BF217" s="360">
        <v>69.458377115147456</v>
      </c>
      <c r="BG217" s="360">
        <v>69.638450824798582</v>
      </c>
      <c r="BH217" s="360">
        <v>69.818991382974744</v>
      </c>
      <c r="BI217" s="360">
        <v>70</v>
      </c>
      <c r="BJ217" s="362">
        <v>1381.2850784733737</v>
      </c>
      <c r="BK217" s="362">
        <v>1399.8199813800743</v>
      </c>
      <c r="BL217" s="362">
        <v>1418.6035966135171</v>
      </c>
      <c r="BM217" s="363">
        <v>1409.2769003712751</v>
      </c>
      <c r="BN217" s="363">
        <v>1400.011523064783</v>
      </c>
      <c r="BO217" s="363">
        <v>1395.5408331171113</v>
      </c>
      <c r="BP217" s="363">
        <v>1391.0844195295119</v>
      </c>
      <c r="BQ217" s="363">
        <v>1386.6422367129458</v>
      </c>
      <c r="BR217" s="363">
        <v>1382.2142392239546</v>
      </c>
      <c r="BS217" s="363">
        <v>1377.8003817641963</v>
      </c>
      <c r="BT217" s="363">
        <v>1387.9919268662911</v>
      </c>
      <c r="BU217" s="363">
        <v>1398.258858499659</v>
      </c>
      <c r="BV217" s="363">
        <v>1408.6017342960467</v>
      </c>
      <c r="BW217" s="363">
        <v>1419.0211160119859</v>
      </c>
      <c r="BX217" s="363">
        <v>1429.5175695593007</v>
      </c>
      <c r="BY217" s="435">
        <v>1435.2796931171526</v>
      </c>
      <c r="BZ217" s="435">
        <v>1441.0418166750046</v>
      </c>
      <c r="CA217" s="435">
        <v>1446.8039402328563</v>
      </c>
      <c r="CB217" s="435">
        <v>1452.5660637907083</v>
      </c>
      <c r="CC217" s="363">
        <v>1458.3281873485603</v>
      </c>
      <c r="CD217" s="435">
        <v>1463.0514255752921</v>
      </c>
      <c r="CE217" s="435">
        <v>1467.774663802024</v>
      </c>
      <c r="CF217" s="435">
        <v>1472.4979020287556</v>
      </c>
      <c r="CG217" s="435">
        <v>1477.2211402554874</v>
      </c>
      <c r="CH217" s="363">
        <v>1481.9443784822192</v>
      </c>
      <c r="CI217" s="362">
        <v>1178.2665298516001</v>
      </c>
      <c r="CJ217" s="362">
        <v>1194.0772093915193</v>
      </c>
      <c r="CK217" s="362">
        <v>1210.1000460123544</v>
      </c>
      <c r="CL217" s="363">
        <v>1202.1441691353871</v>
      </c>
      <c r="CM217" s="363">
        <v>1194.240598658283</v>
      </c>
      <c r="CN217" s="363">
        <v>1190.4270018759973</v>
      </c>
      <c r="CO217" s="363">
        <v>1186.6255831426192</v>
      </c>
      <c r="CP217" s="363">
        <v>1182.8363035696966</v>
      </c>
      <c r="CQ217" s="363">
        <v>1179.0591243929612</v>
      </c>
      <c r="CR217" s="363">
        <v>1175.2940069719309</v>
      </c>
      <c r="CS217" s="363">
        <v>1183.98761893402</v>
      </c>
      <c r="CT217" s="363">
        <v>1192.7455372641321</v>
      </c>
      <c r="CU217" s="363">
        <v>1201.5682376344023</v>
      </c>
      <c r="CV217" s="363">
        <v>1210.4561992354986</v>
      </c>
      <c r="CW217" s="363">
        <v>1219.4099048026451</v>
      </c>
      <c r="CX217" s="435">
        <v>1224.3251228375709</v>
      </c>
      <c r="CY217" s="435">
        <v>1229.2403408724967</v>
      </c>
      <c r="CZ217" s="435">
        <v>1234.1555589074228</v>
      </c>
      <c r="DA217" s="435">
        <v>1239.0707769423486</v>
      </c>
      <c r="DB217" s="363">
        <v>1243.9859949772745</v>
      </c>
      <c r="DC217" s="435">
        <v>1248.0150209921103</v>
      </c>
      <c r="DD217" s="435">
        <v>1252.0440470069461</v>
      </c>
      <c r="DE217" s="435">
        <v>1256.0730730217817</v>
      </c>
      <c r="DF217" s="435">
        <v>1260.1020990366176</v>
      </c>
      <c r="DG217" s="363">
        <v>1264.1311250514534</v>
      </c>
      <c r="DH217" s="362">
        <v>70.939301541505841</v>
      </c>
      <c r="DI217" s="362">
        <v>71.891207188524177</v>
      </c>
      <c r="DJ217" s="362">
        <v>72.855886070422713</v>
      </c>
      <c r="DK217" s="363">
        <v>72.37689058467862</v>
      </c>
      <c r="DL217" s="363">
        <v>71.901044284096329</v>
      </c>
      <c r="DM217" s="363">
        <v>71.671440976829032</v>
      </c>
      <c r="DN217" s="363">
        <v>71.442570867239638</v>
      </c>
      <c r="DO217" s="363">
        <v>71.214431613990655</v>
      </c>
      <c r="DP217" s="363">
        <v>70.987020883221192</v>
      </c>
      <c r="DQ217" s="363">
        <v>70.760336348523211</v>
      </c>
      <c r="DR217" s="363">
        <v>71.28374828023712</v>
      </c>
      <c r="DS217" s="363">
        <v>71.811031873172539</v>
      </c>
      <c r="DT217" s="363">
        <v>72.342215765882955</v>
      </c>
      <c r="DU217" s="363">
        <v>72.877328808760353</v>
      </c>
      <c r="DV217" s="363">
        <v>73.41640006560209</v>
      </c>
      <c r="DW217" s="435">
        <v>73.712328130677292</v>
      </c>
      <c r="DX217" s="435">
        <v>74.008256195752494</v>
      </c>
      <c r="DY217" s="435">
        <v>74.304184260827697</v>
      </c>
      <c r="DZ217" s="435">
        <v>74.600112325902899</v>
      </c>
      <c r="EA217" s="363">
        <v>74.896040390978101</v>
      </c>
      <c r="EB217" s="435">
        <v>75.138613937916588</v>
      </c>
      <c r="EC217" s="435">
        <v>75.381187484855076</v>
      </c>
      <c r="ED217" s="435">
        <v>75.623761031793563</v>
      </c>
      <c r="EE217" s="435">
        <v>75.866334578732051</v>
      </c>
      <c r="EF217" s="363">
        <v>76.108908125670538</v>
      </c>
      <c r="EG217" s="364">
        <v>94.252393589947843</v>
      </c>
      <c r="EH217" s="364">
        <v>95.517128141228611</v>
      </c>
      <c r="EI217" s="364">
        <v>96.798833651275288</v>
      </c>
      <c r="EJ217" s="365">
        <v>96.162423790039966</v>
      </c>
      <c r="EK217" s="365">
        <v>95.530198044420487</v>
      </c>
      <c r="EL217" s="365">
        <v>95.225139200932318</v>
      </c>
      <c r="EM217" s="365">
        <v>94.92105450907259</v>
      </c>
      <c r="EN217" s="365">
        <v>94.617940858059825</v>
      </c>
      <c r="EO217" s="365">
        <v>94.315795147046316</v>
      </c>
      <c r="EP217" s="365">
        <v>94.014614285086338</v>
      </c>
      <c r="EQ217" s="365">
        <v>94.710037362641046</v>
      </c>
      <c r="ER217" s="365">
        <v>95.410604462329673</v>
      </c>
      <c r="ES217" s="365">
        <v>96.116353634318486</v>
      </c>
      <c r="ET217" s="365">
        <v>96.827323210229622</v>
      </c>
      <c r="EU217" s="365">
        <v>97.543551805222876</v>
      </c>
      <c r="EV217" s="436">
        <v>97.936732000935123</v>
      </c>
      <c r="EW217" s="436">
        <v>98.329912196647371</v>
      </c>
      <c r="EX217" s="436">
        <v>98.723092392359618</v>
      </c>
      <c r="EY217" s="436">
        <v>99.116272588071865</v>
      </c>
      <c r="EZ217" s="365">
        <v>99.509452783784113</v>
      </c>
      <c r="FA217" s="436">
        <v>99.831744333372868</v>
      </c>
      <c r="FB217" s="436">
        <v>100.15403588296164</v>
      </c>
      <c r="FC217" s="436">
        <v>100.47632743255039</v>
      </c>
      <c r="FD217" s="436">
        <v>100.79861898213916</v>
      </c>
      <c r="FE217" s="365">
        <v>101.12091053172792</v>
      </c>
      <c r="FF217" s="364">
        <v>38.509906551103171</v>
      </c>
      <c r="FG217" s="364">
        <v>39.02665533091313</v>
      </c>
      <c r="FH217" s="364">
        <v>39.550338152515188</v>
      </c>
      <c r="FI217" s="365">
        <v>39.290312031682681</v>
      </c>
      <c r="FJ217" s="365">
        <v>39.031995468509436</v>
      </c>
      <c r="FK217" s="365">
        <v>38.907353673135759</v>
      </c>
      <c r="FL217" s="365">
        <v>38.783109899358664</v>
      </c>
      <c r="FM217" s="365">
        <v>38.659262876166352</v>
      </c>
      <c r="FN217" s="365">
        <v>38.535811336605796</v>
      </c>
      <c r="FO217" s="365">
        <v>38.412754017769743</v>
      </c>
      <c r="FP217" s="365">
        <v>38.696891923557295</v>
      </c>
      <c r="FQ217" s="365">
        <v>38.983131588293659</v>
      </c>
      <c r="FR217" s="365">
        <v>39.271488558622174</v>
      </c>
      <c r="FS217" s="365">
        <v>39.561978496184196</v>
      </c>
      <c r="FT217" s="365">
        <v>39.854617178469709</v>
      </c>
      <c r="FU217" s="436">
        <v>40.015263842367673</v>
      </c>
      <c r="FV217" s="436">
        <v>40.175910506265637</v>
      </c>
      <c r="FW217" s="436">
        <v>40.336557170163609</v>
      </c>
      <c r="FX217" s="436">
        <v>40.497203834061573</v>
      </c>
      <c r="FY217" s="365">
        <v>40.657850497959537</v>
      </c>
      <c r="FZ217" s="436">
        <v>40.789533280583285</v>
      </c>
      <c r="GA217" s="436">
        <v>40.921216063207041</v>
      </c>
      <c r="GB217" s="436">
        <v>41.052898845830789</v>
      </c>
      <c r="GC217" s="436">
        <v>41.184581628454545</v>
      </c>
      <c r="GD217" s="365">
        <v>41.316264411078294</v>
      </c>
    </row>
    <row r="218" spans="1:186" ht="15" x14ac:dyDescent="0.25">
      <c r="A218" s="357">
        <v>110</v>
      </c>
      <c r="B218" s="357">
        <v>94</v>
      </c>
      <c r="C218" s="357" t="s">
        <v>1128</v>
      </c>
      <c r="D218" s="2">
        <v>99701</v>
      </c>
      <c r="E218" s="268" t="s">
        <v>1527</v>
      </c>
      <c r="F218" s="358" t="s">
        <v>985</v>
      </c>
      <c r="G218" s="49">
        <v>2613</v>
      </c>
      <c r="H218" s="49">
        <v>1325</v>
      </c>
      <c r="I218" s="49">
        <v>1189</v>
      </c>
      <c r="J218" s="49">
        <v>136</v>
      </c>
      <c r="K218" s="49">
        <v>29</v>
      </c>
      <c r="L218" s="49">
        <v>516</v>
      </c>
      <c r="M218" s="49">
        <v>545</v>
      </c>
      <c r="N218" s="49">
        <v>68</v>
      </c>
      <c r="O218" s="49">
        <v>1</v>
      </c>
      <c r="P218" s="49">
        <v>7</v>
      </c>
      <c r="Q218" s="49">
        <v>621</v>
      </c>
      <c r="R218" s="49">
        <v>4888.3793103448279</v>
      </c>
      <c r="S218" s="49">
        <v>2042.2926356589148</v>
      </c>
      <c r="T218" s="49">
        <v>2193.735779816514</v>
      </c>
      <c r="U218" s="49">
        <v>6239.8235294117649</v>
      </c>
      <c r="V218" s="49">
        <v>39744</v>
      </c>
      <c r="W218" s="49">
        <v>38067.571428571428</v>
      </c>
      <c r="X218" s="49">
        <v>3101.6280193236717</v>
      </c>
      <c r="Y218" s="434">
        <v>1235330</v>
      </c>
      <c r="Z218" s="434">
        <v>690781</v>
      </c>
      <c r="AA218" s="49">
        <v>70.375457875457869</v>
      </c>
      <c r="AB218" s="49">
        <v>1252.1978021978023</v>
      </c>
      <c r="AC218" s="49">
        <v>2.4267399267399266</v>
      </c>
      <c r="AD218" s="285">
        <v>68</v>
      </c>
      <c r="AE218" s="285">
        <v>7</v>
      </c>
      <c r="AF218" s="359">
        <v>1400</v>
      </c>
      <c r="AG218" s="360">
        <v>63.152014652014643</v>
      </c>
      <c r="AH218" s="360">
        <v>1123.6703296703297</v>
      </c>
      <c r="AI218" s="361">
        <v>1186.8223443223444</v>
      </c>
      <c r="AJ218" s="360">
        <v>2.1776556776556775</v>
      </c>
      <c r="AK218" s="360">
        <v>69.594291444034113</v>
      </c>
      <c r="AL218" s="360">
        <v>1238.298427073159</v>
      </c>
      <c r="AM218" s="360">
        <v>1307.8927185171931</v>
      </c>
      <c r="AN218" s="360">
        <v>2.3998031532425559</v>
      </c>
      <c r="AO218" s="360">
        <v>62.566043289296871</v>
      </c>
      <c r="AP218" s="360">
        <v>1113.2440805957651</v>
      </c>
      <c r="AQ218" s="360">
        <v>1175.810123885062</v>
      </c>
      <c r="AR218" s="360">
        <v>2.157449768596444</v>
      </c>
      <c r="AS218" s="360">
        <v>67.648780801232903</v>
      </c>
      <c r="AT218" s="360">
        <v>6.9638450824798577</v>
      </c>
      <c r="AU218" s="360">
        <v>1293.3751307322975</v>
      </c>
      <c r="AV218" s="360">
        <v>1300.6136689255554</v>
      </c>
      <c r="AW218" s="360">
        <v>1307.8927185171931</v>
      </c>
      <c r="AX218" s="360">
        <v>1315.2125062343966</v>
      </c>
      <c r="AY218" s="360">
        <v>1322.5732600732601</v>
      </c>
      <c r="AZ218" s="360">
        <v>1164.9000830195914</v>
      </c>
      <c r="BA218" s="360">
        <v>1170.3423904691247</v>
      </c>
      <c r="BB218" s="360">
        <v>1175.810123885062</v>
      </c>
      <c r="BC218" s="360">
        <v>1181.3034020552111</v>
      </c>
      <c r="BD218" s="360">
        <v>1186.8223443223444</v>
      </c>
      <c r="BE218" s="360">
        <v>67.299375645489079</v>
      </c>
      <c r="BF218" s="360">
        <v>67.473852054714669</v>
      </c>
      <c r="BG218" s="360">
        <v>67.648780801232903</v>
      </c>
      <c r="BH218" s="360">
        <v>67.824163057746887</v>
      </c>
      <c r="BI218" s="360">
        <v>68</v>
      </c>
      <c r="BJ218" s="362">
        <v>1328.5907964888136</v>
      </c>
      <c r="BK218" s="362">
        <v>1334.635711912854</v>
      </c>
      <c r="BL218" s="362">
        <v>1340.7081309163113</v>
      </c>
      <c r="BM218" s="363">
        <v>1331.8935631847685</v>
      </c>
      <c r="BN218" s="363">
        <v>1323.1369473687112</v>
      </c>
      <c r="BO218" s="363">
        <v>1318.9117428239338</v>
      </c>
      <c r="BP218" s="363">
        <v>1314.7000307248784</v>
      </c>
      <c r="BQ218" s="363">
        <v>1310.5017679857986</v>
      </c>
      <c r="BR218" s="363">
        <v>1306.3169116585348</v>
      </c>
      <c r="BS218" s="363">
        <v>1302.1454189320746</v>
      </c>
      <c r="BT218" s="363">
        <v>1311.7773467078091</v>
      </c>
      <c r="BU218" s="363">
        <v>1321.4805215434558</v>
      </c>
      <c r="BV218" s="363">
        <v>1331.2554704512249</v>
      </c>
      <c r="BW218" s="363">
        <v>1341.1027243416195</v>
      </c>
      <c r="BX218" s="363">
        <v>1351.022818052269</v>
      </c>
      <c r="BY218" s="435">
        <v>1356.4685436403038</v>
      </c>
      <c r="BZ218" s="435">
        <v>1361.9142692283388</v>
      </c>
      <c r="CA218" s="435">
        <v>1367.3599948163735</v>
      </c>
      <c r="CB218" s="435">
        <v>1372.8057204044085</v>
      </c>
      <c r="CC218" s="363">
        <v>1378.2514459924432</v>
      </c>
      <c r="CD218" s="435">
        <v>1382.7153314005664</v>
      </c>
      <c r="CE218" s="435">
        <v>1387.1792168086895</v>
      </c>
      <c r="CF218" s="435">
        <v>1391.6431022168126</v>
      </c>
      <c r="CG218" s="435">
        <v>1396.1069876249358</v>
      </c>
      <c r="CH218" s="363">
        <v>1400.5708730330589</v>
      </c>
      <c r="CI218" s="362">
        <v>1192.2222317171315</v>
      </c>
      <c r="CJ218" s="362">
        <v>1197.646687897648</v>
      </c>
      <c r="CK218" s="362">
        <v>1203.095824648675</v>
      </c>
      <c r="CL218" s="363">
        <v>1195.1859974541055</v>
      </c>
      <c r="CM218" s="363">
        <v>1187.3281739029417</v>
      </c>
      <c r="CN218" s="363">
        <v>1183.5366507303074</v>
      </c>
      <c r="CO218" s="363">
        <v>1179.7572351184006</v>
      </c>
      <c r="CP218" s="363">
        <v>1175.9898884038603</v>
      </c>
      <c r="CQ218" s="363">
        <v>1172.2345720467908</v>
      </c>
      <c r="CR218" s="363">
        <v>1168.4912476303673</v>
      </c>
      <c r="CS218" s="363">
        <v>1177.1345398004416</v>
      </c>
      <c r="CT218" s="363">
        <v>1185.841766124656</v>
      </c>
      <c r="CU218" s="363">
        <v>1194.613399521892</v>
      </c>
      <c r="CV218" s="363">
        <v>1203.4499164091969</v>
      </c>
      <c r="CW218" s="363">
        <v>1212.3517967276589</v>
      </c>
      <c r="CX218" s="435">
        <v>1217.2385648213747</v>
      </c>
      <c r="CY218" s="435">
        <v>1222.1253329150904</v>
      </c>
      <c r="CZ218" s="435">
        <v>1227.0121010088064</v>
      </c>
      <c r="DA218" s="435">
        <v>1231.8988691025222</v>
      </c>
      <c r="DB218" s="363">
        <v>1236.785637196238</v>
      </c>
      <c r="DC218" s="435">
        <v>1240.7913426681312</v>
      </c>
      <c r="DD218" s="435">
        <v>1244.7970481400243</v>
      </c>
      <c r="DE218" s="435">
        <v>1248.8027536119173</v>
      </c>
      <c r="DF218" s="435">
        <v>1252.8084590838105</v>
      </c>
      <c r="DG218" s="363">
        <v>1256.8141645557037</v>
      </c>
      <c r="DH218" s="362">
        <v>68.309391160860883</v>
      </c>
      <c r="DI218" s="362">
        <v>68.620190011286752</v>
      </c>
      <c r="DJ218" s="362">
        <v>68.932402956082129</v>
      </c>
      <c r="DK218" s="363">
        <v>68.479202650405512</v>
      </c>
      <c r="DL218" s="363">
        <v>68.02898193789926</v>
      </c>
      <c r="DM218" s="363">
        <v>67.811743379009187</v>
      </c>
      <c r="DN218" s="363">
        <v>67.595198533153237</v>
      </c>
      <c r="DO218" s="363">
        <v>67.379345185081149</v>
      </c>
      <c r="DP218" s="363">
        <v>67.164181126616683</v>
      </c>
      <c r="DQ218" s="363">
        <v>66.949704156635022</v>
      </c>
      <c r="DR218" s="363">
        <v>67.444928964607982</v>
      </c>
      <c r="DS218" s="363">
        <v>67.94381693455486</v>
      </c>
      <c r="DT218" s="363">
        <v>68.446395162766947</v>
      </c>
      <c r="DU218" s="363">
        <v>68.952690945965941</v>
      </c>
      <c r="DV218" s="363">
        <v>69.46273178278642</v>
      </c>
      <c r="DW218" s="435">
        <v>69.742723334986607</v>
      </c>
      <c r="DX218" s="435">
        <v>70.022714887186794</v>
      </c>
      <c r="DY218" s="435">
        <v>70.302706439386967</v>
      </c>
      <c r="DZ218" s="435">
        <v>70.582697991587153</v>
      </c>
      <c r="EA218" s="363">
        <v>70.86268954378734</v>
      </c>
      <c r="EB218" s="435">
        <v>71.092199860467687</v>
      </c>
      <c r="EC218" s="435">
        <v>71.321710177148034</v>
      </c>
      <c r="ED218" s="435">
        <v>71.551220493828382</v>
      </c>
      <c r="EE218" s="435">
        <v>71.780730810508729</v>
      </c>
      <c r="EF218" s="363">
        <v>72.010241127189076</v>
      </c>
      <c r="EG218" s="364">
        <v>2.4377812779611254</v>
      </c>
      <c r="EH218" s="364">
        <v>2.4488728658951446</v>
      </c>
      <c r="EI218" s="364">
        <v>2.4600149191124978</v>
      </c>
      <c r="EJ218" s="365">
        <v>2.4438414003390245</v>
      </c>
      <c r="EK218" s="365">
        <v>2.4277742153554334</v>
      </c>
      <c r="EL218" s="365">
        <v>2.4200215464659331</v>
      </c>
      <c r="EM218" s="365">
        <v>2.4122936343575749</v>
      </c>
      <c r="EN218" s="365">
        <v>2.4045903999739422</v>
      </c>
      <c r="EO218" s="365">
        <v>2.3969117645110729</v>
      </c>
      <c r="EP218" s="365">
        <v>2.3892576494166504</v>
      </c>
      <c r="EQ218" s="365">
        <v>2.4069309113904755</v>
      </c>
      <c r="ER218" s="365">
        <v>2.4247349019145981</v>
      </c>
      <c r="ES218" s="365">
        <v>2.442670587983899</v>
      </c>
      <c r="ET218" s="365">
        <v>2.4607389437460907</v>
      </c>
      <c r="EU218" s="365">
        <v>2.4789409505546218</v>
      </c>
      <c r="EV218" s="436">
        <v>2.4889331075968877</v>
      </c>
      <c r="EW218" s="436">
        <v>2.4989252646391535</v>
      </c>
      <c r="EX218" s="436">
        <v>2.508917421681419</v>
      </c>
      <c r="EY218" s="436">
        <v>2.5189095787236848</v>
      </c>
      <c r="EZ218" s="365">
        <v>2.5289017357659507</v>
      </c>
      <c r="FA218" s="436">
        <v>2.5370923511936994</v>
      </c>
      <c r="FB218" s="436">
        <v>2.5452829666214485</v>
      </c>
      <c r="FC218" s="436">
        <v>2.5534735820491972</v>
      </c>
      <c r="FD218" s="436">
        <v>2.5616641974769463</v>
      </c>
      <c r="FE218" s="365">
        <v>2.569854812904695</v>
      </c>
      <c r="FF218" s="364">
        <v>7.0318490900886204</v>
      </c>
      <c r="FG218" s="364">
        <v>7.0638430893971655</v>
      </c>
      <c r="FH218" s="364">
        <v>7.0959826572437485</v>
      </c>
      <c r="FI218" s="365">
        <v>7.0493296846005675</v>
      </c>
      <c r="FJ218" s="365">
        <v>7.0029834347837481</v>
      </c>
      <c r="FK218" s="365">
        <v>6.9806206419568282</v>
      </c>
      <c r="FL218" s="365">
        <v>6.9583292607657752</v>
      </c>
      <c r="FM218" s="365">
        <v>6.936109063170119</v>
      </c>
      <c r="FN218" s="365">
        <v>6.9139598218575999</v>
      </c>
      <c r="FO218" s="365">
        <v>6.8918813102418399</v>
      </c>
      <c r="FP218" s="365">
        <v>6.9428603345919981</v>
      </c>
      <c r="FQ218" s="365">
        <v>6.9942164491453536</v>
      </c>
      <c r="FR218" s="365">
        <v>7.0459524432260094</v>
      </c>
      <c r="FS218" s="365">
        <v>7.0980711267906109</v>
      </c>
      <c r="FT218" s="365">
        <v>7.1505753305809545</v>
      </c>
      <c r="FU218" s="436">
        <v>7.1793979903662679</v>
      </c>
      <c r="FV218" s="436">
        <v>7.2082206501515804</v>
      </c>
      <c r="FW218" s="436">
        <v>7.2370433099368938</v>
      </c>
      <c r="FX218" s="436">
        <v>7.2658659697222063</v>
      </c>
      <c r="FY218" s="365">
        <v>7.2946886295075197</v>
      </c>
      <c r="FZ218" s="436">
        <v>7.318314691518732</v>
      </c>
      <c r="GA218" s="436">
        <v>7.3419407535299444</v>
      </c>
      <c r="GB218" s="436">
        <v>7.3655668155411567</v>
      </c>
      <c r="GC218" s="436">
        <v>7.389192877552369</v>
      </c>
      <c r="GD218" s="365">
        <v>7.4128189395635813</v>
      </c>
    </row>
    <row r="219" spans="1:186" ht="15" x14ac:dyDescent="0.25">
      <c r="A219" s="357">
        <v>111</v>
      </c>
      <c r="B219" s="357">
        <v>94</v>
      </c>
      <c r="C219" s="357" t="s">
        <v>1129</v>
      </c>
      <c r="D219" s="2">
        <v>99701</v>
      </c>
      <c r="E219" s="268" t="s">
        <v>1527</v>
      </c>
      <c r="F219" s="358" t="s">
        <v>985</v>
      </c>
      <c r="G219" s="49">
        <v>2634</v>
      </c>
      <c r="H219" s="49">
        <v>1026</v>
      </c>
      <c r="I219" s="49">
        <v>904</v>
      </c>
      <c r="J219" s="49">
        <v>122</v>
      </c>
      <c r="K219" s="49">
        <v>18</v>
      </c>
      <c r="L219" s="49">
        <v>438</v>
      </c>
      <c r="M219" s="49">
        <v>456</v>
      </c>
      <c r="N219" s="49">
        <v>4</v>
      </c>
      <c r="O219" s="49">
        <v>0</v>
      </c>
      <c r="P219" s="49">
        <v>0</v>
      </c>
      <c r="Q219" s="49">
        <v>460</v>
      </c>
      <c r="R219" s="49">
        <v>6249.666666666667</v>
      </c>
      <c r="S219" s="49">
        <v>2289.4063926940639</v>
      </c>
      <c r="T219" s="49">
        <v>2445.7324561403507</v>
      </c>
      <c r="U219" s="49">
        <v>1614</v>
      </c>
      <c r="V219" s="49">
        <v>0</v>
      </c>
      <c r="W219" s="49">
        <v>0</v>
      </c>
      <c r="X219" s="49">
        <v>2438.5</v>
      </c>
      <c r="Y219" s="434">
        <v>1115254</v>
      </c>
      <c r="Z219" s="434">
        <v>6456</v>
      </c>
      <c r="AA219" s="49">
        <v>40.5</v>
      </c>
      <c r="AB219" s="49">
        <v>985.5</v>
      </c>
      <c r="AC219" s="49">
        <v>0</v>
      </c>
      <c r="AD219" s="285">
        <v>4</v>
      </c>
      <c r="AE219" s="285">
        <v>0</v>
      </c>
      <c r="AF219" s="359">
        <v>1030</v>
      </c>
      <c r="AG219" s="360">
        <v>35.684210526315788</v>
      </c>
      <c r="AH219" s="360">
        <v>868.31578947368416</v>
      </c>
      <c r="AI219" s="361">
        <v>904</v>
      </c>
      <c r="AJ219" s="360">
        <v>0</v>
      </c>
      <c r="AK219" s="360">
        <v>40.050450662379355</v>
      </c>
      <c r="AL219" s="360">
        <v>974.56096611789758</v>
      </c>
      <c r="AM219" s="360">
        <v>1014.611416780277</v>
      </c>
      <c r="AN219" s="360">
        <v>0</v>
      </c>
      <c r="AO219" s="360">
        <v>35.353105880092976</v>
      </c>
      <c r="AP219" s="360">
        <v>860.25890974892911</v>
      </c>
      <c r="AQ219" s="360">
        <v>895.61201562902204</v>
      </c>
      <c r="AR219" s="360">
        <v>0</v>
      </c>
      <c r="AS219" s="360">
        <v>3.9793400471313474</v>
      </c>
      <c r="AT219" s="360">
        <v>0</v>
      </c>
      <c r="AU219" s="360">
        <v>1003.349246648032</v>
      </c>
      <c r="AV219" s="360">
        <v>1008.9646181442554</v>
      </c>
      <c r="AW219" s="360">
        <v>1014.611416780277</v>
      </c>
      <c r="AX219" s="360">
        <v>1020.2898184420759</v>
      </c>
      <c r="AY219" s="360">
        <v>1026</v>
      </c>
      <c r="AZ219" s="360">
        <v>887.30186121579607</v>
      </c>
      <c r="BA219" s="360">
        <v>891.44725497073694</v>
      </c>
      <c r="BB219" s="360">
        <v>895.61201562902204</v>
      </c>
      <c r="BC219" s="360">
        <v>899.79623367106615</v>
      </c>
      <c r="BD219" s="360">
        <v>904</v>
      </c>
      <c r="BE219" s="360">
        <v>3.9587868026758279</v>
      </c>
      <c r="BF219" s="360">
        <v>3.9690501208655693</v>
      </c>
      <c r="BG219" s="360">
        <v>3.9793400471313474</v>
      </c>
      <c r="BH219" s="360">
        <v>3.9896566504556992</v>
      </c>
      <c r="BI219" s="360">
        <v>4</v>
      </c>
      <c r="BJ219" s="362">
        <v>1032.6258343515988</v>
      </c>
      <c r="BK219" s="362">
        <v>1039.2944578658239</v>
      </c>
      <c r="BL219" s="362">
        <v>1046.0061468720164</v>
      </c>
      <c r="BM219" s="363">
        <v>1039.1291153864893</v>
      </c>
      <c r="BN219" s="363">
        <v>1032.2972973657152</v>
      </c>
      <c r="BO219" s="363">
        <v>1029.0008379621249</v>
      </c>
      <c r="BP219" s="363">
        <v>1025.7149052204059</v>
      </c>
      <c r="BQ219" s="363">
        <v>1022.4394655255186</v>
      </c>
      <c r="BR219" s="363">
        <v>1019.1744853697687</v>
      </c>
      <c r="BS219" s="363">
        <v>1015.9199313524622</v>
      </c>
      <c r="BT219" s="363">
        <v>1023.434658404024</v>
      </c>
      <c r="BU219" s="363">
        <v>1031.0049716498486</v>
      </c>
      <c r="BV219" s="363">
        <v>1038.6312822592265</v>
      </c>
      <c r="BW219" s="363">
        <v>1046.3140044428551</v>
      </c>
      <c r="BX219" s="363">
        <v>1054.0535554753337</v>
      </c>
      <c r="BY219" s="435">
        <v>1058.3022523452255</v>
      </c>
      <c r="BZ219" s="435">
        <v>1062.5509492151175</v>
      </c>
      <c r="CA219" s="435">
        <v>1066.7996460850093</v>
      </c>
      <c r="CB219" s="435">
        <v>1071.0483429549013</v>
      </c>
      <c r="CC219" s="363">
        <v>1075.297039824793</v>
      </c>
      <c r="CD219" s="435">
        <v>1078.7797154856305</v>
      </c>
      <c r="CE219" s="435">
        <v>1082.262391146468</v>
      </c>
      <c r="CF219" s="435">
        <v>1085.7450668073052</v>
      </c>
      <c r="CG219" s="435">
        <v>1089.2277424681427</v>
      </c>
      <c r="CH219" s="363">
        <v>1092.7104181289801</v>
      </c>
      <c r="CI219" s="362">
        <v>909.83796710901095</v>
      </c>
      <c r="CJ219" s="362">
        <v>915.71363539055051</v>
      </c>
      <c r="CK219" s="362">
        <v>921.62724831608455</v>
      </c>
      <c r="CL219" s="363">
        <v>915.56795351792039</v>
      </c>
      <c r="CM219" s="363">
        <v>909.54849592456765</v>
      </c>
      <c r="CN219" s="363">
        <v>906.6440131752056</v>
      </c>
      <c r="CO219" s="363">
        <v>903.7488053793827</v>
      </c>
      <c r="CP219" s="363">
        <v>900.86284291917025</v>
      </c>
      <c r="CQ219" s="363">
        <v>897.98609627121914</v>
      </c>
      <c r="CR219" s="363">
        <v>895.11853600645782</v>
      </c>
      <c r="CS219" s="363">
        <v>901.73969902264878</v>
      </c>
      <c r="CT219" s="363">
        <v>908.4098385686774</v>
      </c>
      <c r="CU219" s="363">
        <v>915.12931692235929</v>
      </c>
      <c r="CV219" s="363">
        <v>921.898499041268</v>
      </c>
      <c r="CW219" s="363">
        <v>928.71775258255514</v>
      </c>
      <c r="CX219" s="435">
        <v>932.46124378175807</v>
      </c>
      <c r="CY219" s="435">
        <v>936.20473498096101</v>
      </c>
      <c r="CZ219" s="435">
        <v>939.94822618016406</v>
      </c>
      <c r="DA219" s="435">
        <v>943.69171737936699</v>
      </c>
      <c r="DB219" s="363">
        <v>947.43520857856993</v>
      </c>
      <c r="DC219" s="435">
        <v>950.50376491131556</v>
      </c>
      <c r="DD219" s="435">
        <v>953.57232124406119</v>
      </c>
      <c r="DE219" s="435">
        <v>956.64087757680693</v>
      </c>
      <c r="DF219" s="435">
        <v>959.70943390955256</v>
      </c>
      <c r="DG219" s="363">
        <v>962.77799024229819</v>
      </c>
      <c r="DH219" s="362">
        <v>4.0258317128717298</v>
      </c>
      <c r="DI219" s="362">
        <v>4.0518302450909314</v>
      </c>
      <c r="DJ219" s="362">
        <v>4.077996673964976</v>
      </c>
      <c r="DK219" s="363">
        <v>4.0511856350350461</v>
      </c>
      <c r="DL219" s="363">
        <v>4.0245508669228656</v>
      </c>
      <c r="DM219" s="363">
        <v>4.0116991733416176</v>
      </c>
      <c r="DN219" s="363">
        <v>3.9988885193777999</v>
      </c>
      <c r="DO219" s="363">
        <v>3.9861187739786299</v>
      </c>
      <c r="DP219" s="363">
        <v>3.9733898065098194</v>
      </c>
      <c r="DQ219" s="363">
        <v>3.9607014867542381</v>
      </c>
      <c r="DR219" s="363">
        <v>3.9899986682418089</v>
      </c>
      <c r="DS219" s="363">
        <v>4.0195125600383959</v>
      </c>
      <c r="DT219" s="363">
        <v>4.0492447651431833</v>
      </c>
      <c r="DU219" s="363">
        <v>4.0791968984126905</v>
      </c>
      <c r="DV219" s="363">
        <v>4.109370586648474</v>
      </c>
      <c r="DW219" s="435">
        <v>4.1259347069989296</v>
      </c>
      <c r="DX219" s="435">
        <v>4.1424988273493852</v>
      </c>
      <c r="DY219" s="435">
        <v>4.1590629476998409</v>
      </c>
      <c r="DZ219" s="435">
        <v>4.1756270680502965</v>
      </c>
      <c r="EA219" s="363">
        <v>4.1921911884007521</v>
      </c>
      <c r="EB219" s="435">
        <v>4.2057688712890071</v>
      </c>
      <c r="EC219" s="435">
        <v>4.2193465541772621</v>
      </c>
      <c r="ED219" s="435">
        <v>4.232924237065518</v>
      </c>
      <c r="EE219" s="435">
        <v>4.246501919953773</v>
      </c>
      <c r="EF219" s="363">
        <v>4.260079602842028</v>
      </c>
      <c r="EG219" s="364">
        <v>0</v>
      </c>
      <c r="EH219" s="364">
        <v>0</v>
      </c>
      <c r="EI219" s="364">
        <v>0</v>
      </c>
      <c r="EJ219" s="365">
        <v>0</v>
      </c>
      <c r="EK219" s="365">
        <v>0</v>
      </c>
      <c r="EL219" s="365">
        <v>0</v>
      </c>
      <c r="EM219" s="365">
        <v>0</v>
      </c>
      <c r="EN219" s="365">
        <v>0</v>
      </c>
      <c r="EO219" s="365">
        <v>0</v>
      </c>
      <c r="EP219" s="365">
        <v>0</v>
      </c>
      <c r="EQ219" s="365">
        <v>0</v>
      </c>
      <c r="ER219" s="365">
        <v>0</v>
      </c>
      <c r="ES219" s="365">
        <v>0</v>
      </c>
      <c r="ET219" s="365">
        <v>0</v>
      </c>
      <c r="EU219" s="365">
        <v>0</v>
      </c>
      <c r="EV219" s="436">
        <v>0</v>
      </c>
      <c r="EW219" s="436">
        <v>0</v>
      </c>
      <c r="EX219" s="436">
        <v>0</v>
      </c>
      <c r="EY219" s="436">
        <v>0</v>
      </c>
      <c r="EZ219" s="365">
        <v>0</v>
      </c>
      <c r="FA219" s="436">
        <v>0</v>
      </c>
      <c r="FB219" s="436">
        <v>0</v>
      </c>
      <c r="FC219" s="436">
        <v>0</v>
      </c>
      <c r="FD219" s="436">
        <v>0</v>
      </c>
      <c r="FE219" s="365">
        <v>0</v>
      </c>
      <c r="FF219" s="364">
        <v>0</v>
      </c>
      <c r="FG219" s="364">
        <v>0</v>
      </c>
      <c r="FH219" s="364">
        <v>0</v>
      </c>
      <c r="FI219" s="365">
        <v>0</v>
      </c>
      <c r="FJ219" s="365">
        <v>0</v>
      </c>
      <c r="FK219" s="365">
        <v>0</v>
      </c>
      <c r="FL219" s="365">
        <v>0</v>
      </c>
      <c r="FM219" s="365">
        <v>0</v>
      </c>
      <c r="FN219" s="365">
        <v>0</v>
      </c>
      <c r="FO219" s="365">
        <v>0</v>
      </c>
      <c r="FP219" s="365">
        <v>0</v>
      </c>
      <c r="FQ219" s="365">
        <v>0</v>
      </c>
      <c r="FR219" s="365">
        <v>0</v>
      </c>
      <c r="FS219" s="365">
        <v>0</v>
      </c>
      <c r="FT219" s="365">
        <v>0</v>
      </c>
      <c r="FU219" s="436">
        <v>0</v>
      </c>
      <c r="FV219" s="436">
        <v>0</v>
      </c>
      <c r="FW219" s="436">
        <v>0</v>
      </c>
      <c r="FX219" s="436">
        <v>0</v>
      </c>
      <c r="FY219" s="365">
        <v>0</v>
      </c>
      <c r="FZ219" s="436">
        <v>0</v>
      </c>
      <c r="GA219" s="436">
        <v>0</v>
      </c>
      <c r="GB219" s="436">
        <v>0</v>
      </c>
      <c r="GC219" s="436">
        <v>0</v>
      </c>
      <c r="GD219" s="365">
        <v>0</v>
      </c>
    </row>
    <row r="220" spans="1:186" ht="15" x14ac:dyDescent="0.25">
      <c r="A220" s="357">
        <v>112</v>
      </c>
      <c r="B220" s="357">
        <v>94</v>
      </c>
      <c r="C220" s="357" t="s">
        <v>1130</v>
      </c>
      <c r="D220" s="2">
        <v>99703</v>
      </c>
      <c r="E220" s="268" t="s">
        <v>1527</v>
      </c>
      <c r="F220" s="358" t="s">
        <v>985</v>
      </c>
      <c r="G220" s="49">
        <v>60</v>
      </c>
      <c r="H220" s="49">
        <v>26</v>
      </c>
      <c r="I220" s="49">
        <v>18</v>
      </c>
      <c r="J220" s="49">
        <v>8</v>
      </c>
      <c r="K220" s="49">
        <v>0</v>
      </c>
      <c r="L220" s="49">
        <v>0</v>
      </c>
      <c r="M220" s="49">
        <v>0</v>
      </c>
      <c r="N220" s="49">
        <v>0</v>
      </c>
      <c r="O220" s="49">
        <v>0</v>
      </c>
      <c r="P220" s="49">
        <v>0</v>
      </c>
      <c r="Q220" s="49">
        <v>0</v>
      </c>
      <c r="R220" s="49">
        <v>0</v>
      </c>
      <c r="S220" s="49">
        <v>834.49503068156923</v>
      </c>
      <c r="T220" s="49">
        <v>834.49503068156923</v>
      </c>
      <c r="U220" s="49">
        <v>1408.3846153846155</v>
      </c>
      <c r="V220" s="49">
        <v>0</v>
      </c>
      <c r="W220" s="49">
        <v>0</v>
      </c>
      <c r="X220" s="49">
        <v>1365.173957061457</v>
      </c>
      <c r="Y220" s="434">
        <v>0</v>
      </c>
      <c r="Z220" s="434">
        <v>0</v>
      </c>
      <c r="AA220" s="49">
        <v>0.59572072072072069</v>
      </c>
      <c r="AB220" s="49">
        <v>25.370495495495497</v>
      </c>
      <c r="AC220" s="49">
        <v>3.3783783783783786E-2</v>
      </c>
      <c r="AD220" s="285">
        <v>0</v>
      </c>
      <c r="AE220" s="285">
        <v>0</v>
      </c>
      <c r="AF220" s="359">
        <v>26</v>
      </c>
      <c r="AG220" s="360">
        <v>0.41242203742203737</v>
      </c>
      <c r="AH220" s="360">
        <v>17.564189189189189</v>
      </c>
      <c r="AI220" s="361">
        <v>17.976611226611226</v>
      </c>
      <c r="AJ220" s="360">
        <v>2.338877338877339E-2</v>
      </c>
      <c r="AK220" s="360">
        <v>0.58423454066629699</v>
      </c>
      <c r="AL220" s="360">
        <v>24.881323188414001</v>
      </c>
      <c r="AM220" s="360">
        <v>25.465557729080299</v>
      </c>
      <c r="AN220" s="360">
        <v>3.3132393610565053E-2</v>
      </c>
      <c r="AO220" s="360">
        <v>0.41374612523865917</v>
      </c>
      <c r="AP220" s="360">
        <v>17.620579310967397</v>
      </c>
      <c r="AQ220" s="360">
        <v>18.034325436206057</v>
      </c>
      <c r="AR220" s="360">
        <v>2.3463863435084643E-2</v>
      </c>
      <c r="AS220" s="360">
        <v>0</v>
      </c>
      <c r="AT220" s="360">
        <v>0</v>
      </c>
      <c r="AU220" s="360">
        <v>24.974552512896679</v>
      </c>
      <c r="AV220" s="360">
        <v>25.218860179935131</v>
      </c>
      <c r="AW220" s="360">
        <v>25.465557729080299</v>
      </c>
      <c r="AX220" s="360">
        <v>25.714668538789976</v>
      </c>
      <c r="AY220" s="360">
        <v>25.966216216216218</v>
      </c>
      <c r="AZ220" s="360">
        <v>18.092224938231542</v>
      </c>
      <c r="BA220" s="360">
        <v>18.06325198852938</v>
      </c>
      <c r="BB220" s="360">
        <v>18.034325436206057</v>
      </c>
      <c r="BC220" s="360">
        <v>18.005445206960648</v>
      </c>
      <c r="BD220" s="360">
        <v>17.976611226611226</v>
      </c>
      <c r="BE220" s="360">
        <v>0</v>
      </c>
      <c r="BF220" s="360">
        <v>0</v>
      </c>
      <c r="BG220" s="360">
        <v>0</v>
      </c>
      <c r="BH220" s="360">
        <v>0</v>
      </c>
      <c r="BI220" s="360">
        <v>0</v>
      </c>
      <c r="BJ220" s="362">
        <v>26.074110376331209</v>
      </c>
      <c r="BK220" s="362">
        <v>26.182452855511638</v>
      </c>
      <c r="BL220" s="362">
        <v>26.29124551660146</v>
      </c>
      <c r="BM220" s="363">
        <v>26.118392112487083</v>
      </c>
      <c r="BN220" s="363">
        <v>25.946675143666159</v>
      </c>
      <c r="BO220" s="363">
        <v>25.863819011534936</v>
      </c>
      <c r="BP220" s="363">
        <v>25.781227465852414</v>
      </c>
      <c r="BQ220" s="363">
        <v>25.698899661708413</v>
      </c>
      <c r="BR220" s="363">
        <v>25.616834756890839</v>
      </c>
      <c r="BS220" s="363">
        <v>25.535031911877041</v>
      </c>
      <c r="BT220" s="363">
        <v>25.723913721504719</v>
      </c>
      <c r="BU220" s="363">
        <v>25.91419268380216</v>
      </c>
      <c r="BV220" s="363">
        <v>26.105879133462722</v>
      </c>
      <c r="BW220" s="363">
        <v>26.298983481625157</v>
      </c>
      <c r="BX220" s="363">
        <v>26.493516216439055</v>
      </c>
      <c r="BY220" s="435">
        <v>26.600306728967094</v>
      </c>
      <c r="BZ220" s="435">
        <v>26.707097241495134</v>
      </c>
      <c r="CA220" s="435">
        <v>26.81388775402317</v>
      </c>
      <c r="CB220" s="435">
        <v>26.92067826655121</v>
      </c>
      <c r="CC220" s="363">
        <v>27.02746877907925</v>
      </c>
      <c r="CD220" s="435">
        <v>27.115005435653959</v>
      </c>
      <c r="CE220" s="435">
        <v>27.202542092228668</v>
      </c>
      <c r="CF220" s="435">
        <v>27.290078748803374</v>
      </c>
      <c r="CG220" s="435">
        <v>27.377615405378084</v>
      </c>
      <c r="CH220" s="363">
        <v>27.465152061952793</v>
      </c>
      <c r="CI220" s="362">
        <v>18.051307183613915</v>
      </c>
      <c r="CJ220" s="362">
        <v>18.126313515354209</v>
      </c>
      <c r="CK220" s="362">
        <v>18.201631511493318</v>
      </c>
      <c r="CL220" s="363">
        <v>18.081963770183364</v>
      </c>
      <c r="CM220" s="363">
        <v>17.96308279176888</v>
      </c>
      <c r="CN220" s="363">
        <v>17.90572085413957</v>
      </c>
      <c r="CO220" s="363">
        <v>17.84854209174398</v>
      </c>
      <c r="CP220" s="363">
        <v>17.791545919644285</v>
      </c>
      <c r="CQ220" s="363">
        <v>17.734731754770579</v>
      </c>
      <c r="CR220" s="363">
        <v>17.678099015914874</v>
      </c>
      <c r="CS220" s="363">
        <v>17.808863345657112</v>
      </c>
      <c r="CT220" s="363">
        <v>17.940594934939956</v>
      </c>
      <c r="CU220" s="363">
        <v>18.073300938551114</v>
      </c>
      <c r="CV220" s="363">
        <v>18.206988564202032</v>
      </c>
      <c r="CW220" s="363">
        <v>18.341665072919344</v>
      </c>
      <c r="CX220" s="435">
        <v>18.415596966207985</v>
      </c>
      <c r="CY220" s="435">
        <v>18.48952885949663</v>
      </c>
      <c r="CZ220" s="435">
        <v>18.563460752785272</v>
      </c>
      <c r="DA220" s="435">
        <v>18.637392646073916</v>
      </c>
      <c r="DB220" s="363">
        <v>18.711324539362558</v>
      </c>
      <c r="DC220" s="435">
        <v>18.771926840068126</v>
      </c>
      <c r="DD220" s="435">
        <v>18.832529140773694</v>
      </c>
      <c r="DE220" s="435">
        <v>18.893131441479259</v>
      </c>
      <c r="DF220" s="435">
        <v>18.953733742184827</v>
      </c>
      <c r="DG220" s="363">
        <v>19.014336042890395</v>
      </c>
      <c r="DH220" s="362">
        <v>0</v>
      </c>
      <c r="DI220" s="362">
        <v>0</v>
      </c>
      <c r="DJ220" s="362">
        <v>0</v>
      </c>
      <c r="DK220" s="363">
        <v>0</v>
      </c>
      <c r="DL220" s="363">
        <v>0</v>
      </c>
      <c r="DM220" s="363">
        <v>0</v>
      </c>
      <c r="DN220" s="363">
        <v>0</v>
      </c>
      <c r="DO220" s="363">
        <v>0</v>
      </c>
      <c r="DP220" s="363">
        <v>0</v>
      </c>
      <c r="DQ220" s="363">
        <v>0</v>
      </c>
      <c r="DR220" s="363">
        <v>0</v>
      </c>
      <c r="DS220" s="363">
        <v>0</v>
      </c>
      <c r="DT220" s="363">
        <v>0</v>
      </c>
      <c r="DU220" s="363">
        <v>0</v>
      </c>
      <c r="DV220" s="363">
        <v>0</v>
      </c>
      <c r="DW220" s="435">
        <v>0</v>
      </c>
      <c r="DX220" s="435">
        <v>0</v>
      </c>
      <c r="DY220" s="435">
        <v>0</v>
      </c>
      <c r="DZ220" s="435">
        <v>0</v>
      </c>
      <c r="EA220" s="363">
        <v>0</v>
      </c>
      <c r="EB220" s="435">
        <v>0</v>
      </c>
      <c r="EC220" s="435">
        <v>0</v>
      </c>
      <c r="ED220" s="435">
        <v>0</v>
      </c>
      <c r="EE220" s="435">
        <v>0</v>
      </c>
      <c r="EF220" s="363">
        <v>0</v>
      </c>
      <c r="EG220" s="364">
        <v>3.39241613014978E-2</v>
      </c>
      <c r="EH220" s="364">
        <v>3.4065122112297209E-2</v>
      </c>
      <c r="EI220" s="364">
        <v>3.4206668639866586E-2</v>
      </c>
      <c r="EJ220" s="365">
        <v>3.3981774801570497E-2</v>
      </c>
      <c r="EK220" s="365">
        <v>3.3758359541590108E-2</v>
      </c>
      <c r="EL220" s="365">
        <v>3.3650558172697027E-2</v>
      </c>
      <c r="EM220" s="365">
        <v>3.3543101048467881E-2</v>
      </c>
      <c r="EN220" s="365">
        <v>3.343598706961802E-2</v>
      </c>
      <c r="EO220" s="365">
        <v>3.3329215140373195E-2</v>
      </c>
      <c r="EP220" s="365">
        <v>3.3222784168458287E-2</v>
      </c>
      <c r="EQ220" s="365">
        <v>3.3468532034224195E-2</v>
      </c>
      <c r="ER220" s="365">
        <v>3.3716097689047826E-2</v>
      </c>
      <c r="ES220" s="365">
        <v>3.3965494579056357E-2</v>
      </c>
      <c r="ET220" s="365">
        <v>3.4216736249837565E-2</v>
      </c>
      <c r="EU220" s="365">
        <v>3.4469836347175452E-2</v>
      </c>
      <c r="EV220" s="436">
        <v>3.4608777945572586E-2</v>
      </c>
      <c r="EW220" s="436">
        <v>3.4747719543969727E-2</v>
      </c>
      <c r="EX220" s="436">
        <v>3.4886661142366861E-2</v>
      </c>
      <c r="EY220" s="436">
        <v>3.5025602740764002E-2</v>
      </c>
      <c r="EZ220" s="365">
        <v>3.5164544339161136E-2</v>
      </c>
      <c r="FA220" s="436">
        <v>3.5278435383364504E-2</v>
      </c>
      <c r="FB220" s="436">
        <v>3.5392326427567872E-2</v>
      </c>
      <c r="FC220" s="436">
        <v>3.550621747177124E-2</v>
      </c>
      <c r="FD220" s="436">
        <v>3.5620108515974608E-2</v>
      </c>
      <c r="FE220" s="365">
        <v>3.5733999560177976E-2</v>
      </c>
      <c r="FF220" s="364">
        <v>0</v>
      </c>
      <c r="FG220" s="364">
        <v>0</v>
      </c>
      <c r="FH220" s="364">
        <v>0</v>
      </c>
      <c r="FI220" s="365">
        <v>0</v>
      </c>
      <c r="FJ220" s="365">
        <v>0</v>
      </c>
      <c r="FK220" s="365">
        <v>0</v>
      </c>
      <c r="FL220" s="365">
        <v>0</v>
      </c>
      <c r="FM220" s="365">
        <v>0</v>
      </c>
      <c r="FN220" s="365">
        <v>0</v>
      </c>
      <c r="FO220" s="365">
        <v>0</v>
      </c>
      <c r="FP220" s="365">
        <v>0</v>
      </c>
      <c r="FQ220" s="365">
        <v>0</v>
      </c>
      <c r="FR220" s="365">
        <v>0</v>
      </c>
      <c r="FS220" s="365">
        <v>0</v>
      </c>
      <c r="FT220" s="365">
        <v>0</v>
      </c>
      <c r="FU220" s="436">
        <v>0</v>
      </c>
      <c r="FV220" s="436">
        <v>0</v>
      </c>
      <c r="FW220" s="436">
        <v>0</v>
      </c>
      <c r="FX220" s="436">
        <v>0</v>
      </c>
      <c r="FY220" s="365">
        <v>0</v>
      </c>
      <c r="FZ220" s="436">
        <v>0</v>
      </c>
      <c r="GA220" s="436">
        <v>0</v>
      </c>
      <c r="GB220" s="436">
        <v>0</v>
      </c>
      <c r="GC220" s="436">
        <v>0</v>
      </c>
      <c r="GD220" s="365">
        <v>0</v>
      </c>
    </row>
    <row r="221" spans="1:186" ht="15" x14ac:dyDescent="0.25">
      <c r="A221" s="357">
        <v>113</v>
      </c>
      <c r="B221" s="357">
        <v>94</v>
      </c>
      <c r="C221" s="357" t="s">
        <v>1131</v>
      </c>
      <c r="D221" s="2">
        <v>99703</v>
      </c>
      <c r="E221" s="268" t="s">
        <v>1527</v>
      </c>
      <c r="F221" s="358" t="s">
        <v>985</v>
      </c>
      <c r="G221" s="49">
        <v>677</v>
      </c>
      <c r="H221" s="49">
        <v>183</v>
      </c>
      <c r="I221" s="49">
        <v>170</v>
      </c>
      <c r="J221" s="49">
        <v>13</v>
      </c>
      <c r="K221" s="49">
        <v>0</v>
      </c>
      <c r="L221" s="49">
        <v>0</v>
      </c>
      <c r="M221" s="49">
        <v>0</v>
      </c>
      <c r="N221" s="49">
        <v>0</v>
      </c>
      <c r="O221" s="49">
        <v>0</v>
      </c>
      <c r="P221" s="49">
        <v>0</v>
      </c>
      <c r="Q221" s="49">
        <v>0</v>
      </c>
      <c r="R221" s="49">
        <v>0</v>
      </c>
      <c r="S221" s="49">
        <v>834.49503068156923</v>
      </c>
      <c r="T221" s="49">
        <v>834.49503068156923</v>
      </c>
      <c r="U221" s="49">
        <v>1408.3846153846155</v>
      </c>
      <c r="V221" s="49">
        <v>0</v>
      </c>
      <c r="W221" s="49">
        <v>0</v>
      </c>
      <c r="X221" s="49">
        <v>1365.173957061457</v>
      </c>
      <c r="Y221" s="434">
        <v>0</v>
      </c>
      <c r="Z221" s="434">
        <v>0</v>
      </c>
      <c r="AA221" s="49">
        <v>4.1929573804573801</v>
      </c>
      <c r="AB221" s="49">
        <v>178.56925675675674</v>
      </c>
      <c r="AC221" s="49">
        <v>0.23778586278586278</v>
      </c>
      <c r="AD221" s="285">
        <v>0</v>
      </c>
      <c r="AE221" s="285">
        <v>0</v>
      </c>
      <c r="AF221" s="359">
        <v>183</v>
      </c>
      <c r="AG221" s="360">
        <v>3.8950970200970194</v>
      </c>
      <c r="AH221" s="360">
        <v>165.88400900900899</v>
      </c>
      <c r="AI221" s="361">
        <v>169.779106029106</v>
      </c>
      <c r="AJ221" s="360">
        <v>0.22089397089397086</v>
      </c>
      <c r="AK221" s="360">
        <v>4.112112343920475</v>
      </c>
      <c r="AL221" s="360">
        <v>175.12623628768313</v>
      </c>
      <c r="AM221" s="360">
        <v>179.2383486316036</v>
      </c>
      <c r="AN221" s="360">
        <v>0.23320107810513091</v>
      </c>
      <c r="AO221" s="360">
        <v>3.9076022939206694</v>
      </c>
      <c r="AP221" s="360">
        <v>166.41658238135872</v>
      </c>
      <c r="AQ221" s="360">
        <v>170.32418467527938</v>
      </c>
      <c r="AR221" s="360">
        <v>0.22160315466468827</v>
      </c>
      <c r="AS221" s="360">
        <v>0</v>
      </c>
      <c r="AT221" s="360">
        <v>0</v>
      </c>
      <c r="AU221" s="360">
        <v>175.78242730231122</v>
      </c>
      <c r="AV221" s="360">
        <v>177.50197742031264</v>
      </c>
      <c r="AW221" s="360">
        <v>179.2383486316036</v>
      </c>
      <c r="AX221" s="360">
        <v>180.99170548456021</v>
      </c>
      <c r="AY221" s="360">
        <v>182.76221413721413</v>
      </c>
      <c r="AZ221" s="360">
        <v>170.87101330552011</v>
      </c>
      <c r="BA221" s="360">
        <v>170.59737989166635</v>
      </c>
      <c r="BB221" s="360">
        <v>170.32418467527941</v>
      </c>
      <c r="BC221" s="360">
        <v>170.05142695462834</v>
      </c>
      <c r="BD221" s="360">
        <v>169.779106029106</v>
      </c>
      <c r="BE221" s="360">
        <v>0</v>
      </c>
      <c r="BF221" s="360">
        <v>0</v>
      </c>
      <c r="BG221" s="360">
        <v>0</v>
      </c>
      <c r="BH221" s="360">
        <v>0</v>
      </c>
      <c r="BI221" s="360">
        <v>0</v>
      </c>
      <c r="BJ221" s="362">
        <v>183.52162303340813</v>
      </c>
      <c r="BK221" s="362">
        <v>184.28418740610113</v>
      </c>
      <c r="BL221" s="362">
        <v>185.04992036684871</v>
      </c>
      <c r="BM221" s="363">
        <v>183.83329833019752</v>
      </c>
      <c r="BN221" s="363">
        <v>182.62467504965025</v>
      </c>
      <c r="BO221" s="363">
        <v>182.04149535041896</v>
      </c>
      <c r="BP221" s="363">
        <v>181.46017793273043</v>
      </c>
      <c r="BQ221" s="363">
        <v>180.88071684971689</v>
      </c>
      <c r="BR221" s="363">
        <v>180.30310617350085</v>
      </c>
      <c r="BS221" s="363">
        <v>179.72733999513454</v>
      </c>
      <c r="BT221" s="363">
        <v>181.05677734751396</v>
      </c>
      <c r="BU221" s="363">
        <v>182.39604850522286</v>
      </c>
      <c r="BV221" s="363">
        <v>183.74522620860296</v>
      </c>
      <c r="BW221" s="363">
        <v>185.10438373605396</v>
      </c>
      <c r="BX221" s="363">
        <v>186.4735949080133</v>
      </c>
      <c r="BY221" s="435">
        <v>187.2252358231145</v>
      </c>
      <c r="BZ221" s="435">
        <v>187.97687673821571</v>
      </c>
      <c r="CA221" s="435">
        <v>188.72851765331691</v>
      </c>
      <c r="CB221" s="435">
        <v>189.48015856841812</v>
      </c>
      <c r="CC221" s="363">
        <v>190.23179948351932</v>
      </c>
      <c r="CD221" s="435">
        <v>190.84792287402593</v>
      </c>
      <c r="CE221" s="435">
        <v>191.46404626453253</v>
      </c>
      <c r="CF221" s="435">
        <v>192.0801696550391</v>
      </c>
      <c r="CG221" s="435">
        <v>192.6962930455457</v>
      </c>
      <c r="CH221" s="363">
        <v>193.3124164360523</v>
      </c>
      <c r="CI221" s="362">
        <v>170.48456784524251</v>
      </c>
      <c r="CJ221" s="362">
        <v>171.1929609783453</v>
      </c>
      <c r="CK221" s="362">
        <v>171.90429760854798</v>
      </c>
      <c r="CL221" s="363">
        <v>170.77410227395399</v>
      </c>
      <c r="CM221" s="363">
        <v>169.65133747781715</v>
      </c>
      <c r="CN221" s="363">
        <v>169.10958584465149</v>
      </c>
      <c r="CO221" s="363">
        <v>168.5695641998042</v>
      </c>
      <c r="CP221" s="363">
        <v>168.03126701886268</v>
      </c>
      <c r="CQ221" s="363">
        <v>167.49468879505545</v>
      </c>
      <c r="CR221" s="363">
        <v>166.95982403919601</v>
      </c>
      <c r="CS221" s="363">
        <v>168.19482048676159</v>
      </c>
      <c r="CT221" s="363">
        <v>169.43895216332177</v>
      </c>
      <c r="CU221" s="363">
        <v>170.69228664187159</v>
      </c>
      <c r="CV221" s="363">
        <v>171.95489199524138</v>
      </c>
      <c r="CW221" s="363">
        <v>173.22683679979377</v>
      </c>
      <c r="CX221" s="435">
        <v>173.92508245863095</v>
      </c>
      <c r="CY221" s="435">
        <v>174.62332811746813</v>
      </c>
      <c r="CZ221" s="435">
        <v>175.32157377630531</v>
      </c>
      <c r="DA221" s="435">
        <v>176.01981943514249</v>
      </c>
      <c r="DB221" s="363">
        <v>176.71806509397967</v>
      </c>
      <c r="DC221" s="435">
        <v>177.29042015619893</v>
      </c>
      <c r="DD221" s="435">
        <v>177.86277521841816</v>
      </c>
      <c r="DE221" s="435">
        <v>178.43513028063742</v>
      </c>
      <c r="DF221" s="435">
        <v>179.00748534285665</v>
      </c>
      <c r="DG221" s="363">
        <v>179.57984040507591</v>
      </c>
      <c r="DH221" s="362">
        <v>0</v>
      </c>
      <c r="DI221" s="362">
        <v>0</v>
      </c>
      <c r="DJ221" s="362">
        <v>0</v>
      </c>
      <c r="DK221" s="363">
        <v>0</v>
      </c>
      <c r="DL221" s="363">
        <v>0</v>
      </c>
      <c r="DM221" s="363">
        <v>0</v>
      </c>
      <c r="DN221" s="363">
        <v>0</v>
      </c>
      <c r="DO221" s="363">
        <v>0</v>
      </c>
      <c r="DP221" s="363">
        <v>0</v>
      </c>
      <c r="DQ221" s="363">
        <v>0</v>
      </c>
      <c r="DR221" s="363">
        <v>0</v>
      </c>
      <c r="DS221" s="363">
        <v>0</v>
      </c>
      <c r="DT221" s="363">
        <v>0</v>
      </c>
      <c r="DU221" s="363">
        <v>0</v>
      </c>
      <c r="DV221" s="363">
        <v>0</v>
      </c>
      <c r="DW221" s="435">
        <v>0</v>
      </c>
      <c r="DX221" s="435">
        <v>0</v>
      </c>
      <c r="DY221" s="435">
        <v>0</v>
      </c>
      <c r="DZ221" s="435">
        <v>0</v>
      </c>
      <c r="EA221" s="363">
        <v>0</v>
      </c>
      <c r="EB221" s="435">
        <v>0</v>
      </c>
      <c r="EC221" s="435">
        <v>0</v>
      </c>
      <c r="ED221" s="435">
        <v>0</v>
      </c>
      <c r="EE221" s="435">
        <v>0</v>
      </c>
      <c r="EF221" s="363">
        <v>0</v>
      </c>
      <c r="EG221" s="364">
        <v>0.23877390454515759</v>
      </c>
      <c r="EH221" s="364">
        <v>0.23976605179039959</v>
      </c>
      <c r="EI221" s="364">
        <v>0.24076232158059943</v>
      </c>
      <c r="EJ221" s="365">
        <v>0.23917941494951539</v>
      </c>
      <c r="EK221" s="365">
        <v>0.23760691523503807</v>
      </c>
      <c r="EL221" s="365">
        <v>0.23684815944629062</v>
      </c>
      <c r="EM221" s="365">
        <v>0.23609182661037006</v>
      </c>
      <c r="EN221" s="365">
        <v>0.23533790899000376</v>
      </c>
      <c r="EO221" s="365">
        <v>0.23458639887262669</v>
      </c>
      <c r="EP221" s="365">
        <v>0.23383728857030256</v>
      </c>
      <c r="EQ221" s="365">
        <v>0.23556697547165492</v>
      </c>
      <c r="ER221" s="365">
        <v>0.23730945681137508</v>
      </c>
      <c r="ES221" s="365">
        <v>0.23906482722951208</v>
      </c>
      <c r="ET221" s="365">
        <v>0.24083318206616441</v>
      </c>
      <c r="EU221" s="365">
        <v>0.24261461736665799</v>
      </c>
      <c r="EV221" s="436">
        <v>0.2435925524630686</v>
      </c>
      <c r="EW221" s="436">
        <v>0.24457048755947922</v>
      </c>
      <c r="EX221" s="436">
        <v>0.24554842265588983</v>
      </c>
      <c r="EY221" s="436">
        <v>0.24652635775230045</v>
      </c>
      <c r="EZ221" s="365">
        <v>0.24750429284871106</v>
      </c>
      <c r="FA221" s="436">
        <v>0.24830591058291168</v>
      </c>
      <c r="FB221" s="436">
        <v>0.2491075283171123</v>
      </c>
      <c r="FC221" s="436">
        <v>0.24990914605131292</v>
      </c>
      <c r="FD221" s="436">
        <v>0.25071076378551355</v>
      </c>
      <c r="FE221" s="365">
        <v>0.25151238151971417</v>
      </c>
      <c r="FF221" s="364">
        <v>0</v>
      </c>
      <c r="FG221" s="364">
        <v>0</v>
      </c>
      <c r="FH221" s="364">
        <v>0</v>
      </c>
      <c r="FI221" s="365">
        <v>0</v>
      </c>
      <c r="FJ221" s="365">
        <v>0</v>
      </c>
      <c r="FK221" s="365">
        <v>0</v>
      </c>
      <c r="FL221" s="365">
        <v>0</v>
      </c>
      <c r="FM221" s="365">
        <v>0</v>
      </c>
      <c r="FN221" s="365">
        <v>0</v>
      </c>
      <c r="FO221" s="365">
        <v>0</v>
      </c>
      <c r="FP221" s="365">
        <v>0</v>
      </c>
      <c r="FQ221" s="365">
        <v>0</v>
      </c>
      <c r="FR221" s="365">
        <v>0</v>
      </c>
      <c r="FS221" s="365">
        <v>0</v>
      </c>
      <c r="FT221" s="365">
        <v>0</v>
      </c>
      <c r="FU221" s="436">
        <v>0</v>
      </c>
      <c r="FV221" s="436">
        <v>0</v>
      </c>
      <c r="FW221" s="436">
        <v>0</v>
      </c>
      <c r="FX221" s="436">
        <v>0</v>
      </c>
      <c r="FY221" s="365">
        <v>0</v>
      </c>
      <c r="FZ221" s="436">
        <v>0</v>
      </c>
      <c r="GA221" s="436">
        <v>0</v>
      </c>
      <c r="GB221" s="436">
        <v>0</v>
      </c>
      <c r="GC221" s="436">
        <v>0</v>
      </c>
      <c r="GD221" s="365">
        <v>0</v>
      </c>
    </row>
    <row r="222" spans="1:186" ht="15" x14ac:dyDescent="0.25">
      <c r="A222" s="357">
        <v>114</v>
      </c>
      <c r="B222" s="357">
        <v>94</v>
      </c>
      <c r="C222" s="357" t="s">
        <v>1132</v>
      </c>
      <c r="D222" s="2">
        <v>99703</v>
      </c>
      <c r="E222" s="268" t="s">
        <v>1527</v>
      </c>
      <c r="F222" s="358" t="s">
        <v>985</v>
      </c>
      <c r="G222" s="49">
        <v>501</v>
      </c>
      <c r="H222" s="49">
        <v>46</v>
      </c>
      <c r="I222" s="49">
        <v>46</v>
      </c>
      <c r="J222" s="49">
        <v>0</v>
      </c>
      <c r="K222" s="49">
        <v>0</v>
      </c>
      <c r="L222" s="49">
        <v>0</v>
      </c>
      <c r="M222" s="49">
        <v>0</v>
      </c>
      <c r="N222" s="49">
        <v>0</v>
      </c>
      <c r="O222" s="49">
        <v>0</v>
      </c>
      <c r="P222" s="49">
        <v>0</v>
      </c>
      <c r="Q222" s="49">
        <v>0</v>
      </c>
      <c r="R222" s="49">
        <v>0</v>
      </c>
      <c r="S222" s="49">
        <v>834.49503068156923</v>
      </c>
      <c r="T222" s="49">
        <v>834.49503068156923</v>
      </c>
      <c r="U222" s="49">
        <v>1408.3846153846155</v>
      </c>
      <c r="V222" s="49">
        <v>0</v>
      </c>
      <c r="W222" s="49">
        <v>0</v>
      </c>
      <c r="X222" s="49">
        <v>1365.173957061457</v>
      </c>
      <c r="Y222" s="434">
        <v>0</v>
      </c>
      <c r="Z222" s="434">
        <v>0</v>
      </c>
      <c r="AA222" s="49">
        <v>1.053967428967429</v>
      </c>
      <c r="AB222" s="49">
        <v>44.886261261261261</v>
      </c>
      <c r="AC222" s="49">
        <v>5.9771309771309775E-2</v>
      </c>
      <c r="AD222" s="285">
        <v>0</v>
      </c>
      <c r="AE222" s="285">
        <v>0</v>
      </c>
      <c r="AF222" s="359">
        <v>46</v>
      </c>
      <c r="AG222" s="360">
        <v>1.053967428967429</v>
      </c>
      <c r="AH222" s="360">
        <v>44.886261261261268</v>
      </c>
      <c r="AI222" s="361">
        <v>45.9402286902287</v>
      </c>
      <c r="AJ222" s="360">
        <v>5.9771309771309775E-2</v>
      </c>
      <c r="AK222" s="360">
        <v>1.0336457257942178</v>
      </c>
      <c r="AL222" s="360">
        <v>44.020802564117076</v>
      </c>
      <c r="AM222" s="360">
        <v>45.054448289911292</v>
      </c>
      <c r="AN222" s="360">
        <v>5.8618850234076626E-2</v>
      </c>
      <c r="AO222" s="360">
        <v>1.0573512089432402</v>
      </c>
      <c r="AP222" s="360">
        <v>45.03036935025002</v>
      </c>
      <c r="AQ222" s="360">
        <v>46.087720559193258</v>
      </c>
      <c r="AR222" s="360">
        <v>5.9963206556327427E-2</v>
      </c>
      <c r="AS222" s="360">
        <v>0</v>
      </c>
      <c r="AT222" s="360">
        <v>0</v>
      </c>
      <c r="AU222" s="360">
        <v>44.185746753586429</v>
      </c>
      <c r="AV222" s="360">
        <v>44.617983395269846</v>
      </c>
      <c r="AW222" s="360">
        <v>45.054448289911292</v>
      </c>
      <c r="AX222" s="360">
        <v>45.495182799397654</v>
      </c>
      <c r="AY222" s="360">
        <v>45.940228690228693</v>
      </c>
      <c r="AZ222" s="360">
        <v>46.235685953258397</v>
      </c>
      <c r="BA222" s="360">
        <v>46.161643970686207</v>
      </c>
      <c r="BB222" s="360">
        <v>46.087720559193265</v>
      </c>
      <c r="BC222" s="360">
        <v>46.013915528899446</v>
      </c>
      <c r="BD222" s="360">
        <v>45.9402286902287</v>
      </c>
      <c r="BE222" s="360">
        <v>0</v>
      </c>
      <c r="BF222" s="360">
        <v>0</v>
      </c>
      <c r="BG222" s="360">
        <v>0</v>
      </c>
      <c r="BH222" s="360">
        <v>0</v>
      </c>
      <c r="BI222" s="360">
        <v>0</v>
      </c>
      <c r="BJ222" s="362">
        <v>46.131118358124453</v>
      </c>
      <c r="BK222" s="362">
        <v>46.322801205905208</v>
      </c>
      <c r="BL222" s="362">
        <v>46.515280529371815</v>
      </c>
      <c r="BM222" s="363">
        <v>46.209462968246378</v>
      </c>
      <c r="BN222" s="363">
        <v>45.905656023409357</v>
      </c>
      <c r="BO222" s="363">
        <v>45.759064405023352</v>
      </c>
      <c r="BP222" s="363">
        <v>45.612940901123501</v>
      </c>
      <c r="BQ222" s="363">
        <v>45.467284016868732</v>
      </c>
      <c r="BR222" s="363">
        <v>45.322092262191482</v>
      </c>
      <c r="BS222" s="363">
        <v>45.177364151782463</v>
      </c>
      <c r="BT222" s="363">
        <v>45.511539661123734</v>
      </c>
      <c r="BU222" s="363">
        <v>45.848187055957666</v>
      </c>
      <c r="BV222" s="363">
        <v>46.187324620741734</v>
      </c>
      <c r="BW222" s="363">
        <v>46.52897077518297</v>
      </c>
      <c r="BX222" s="363">
        <v>46.873144075238322</v>
      </c>
      <c r="BY222" s="435">
        <v>47.062081135864851</v>
      </c>
      <c r="BZ222" s="435">
        <v>47.251018196491387</v>
      </c>
      <c r="CA222" s="435">
        <v>47.439955257117916</v>
      </c>
      <c r="CB222" s="435">
        <v>47.628892317744452</v>
      </c>
      <c r="CC222" s="363">
        <v>47.81782937837098</v>
      </c>
      <c r="CD222" s="435">
        <v>47.972701924618541</v>
      </c>
      <c r="CE222" s="435">
        <v>48.127574470866101</v>
      </c>
      <c r="CF222" s="435">
        <v>48.282447017113668</v>
      </c>
      <c r="CG222" s="435">
        <v>48.437319563361228</v>
      </c>
      <c r="CH222" s="363">
        <v>48.592192109608789</v>
      </c>
      <c r="CI222" s="362">
        <v>46.131118358124461</v>
      </c>
      <c r="CJ222" s="362">
        <v>46.322801205905215</v>
      </c>
      <c r="CK222" s="362">
        <v>46.515280529371822</v>
      </c>
      <c r="CL222" s="363">
        <v>46.209462968246385</v>
      </c>
      <c r="CM222" s="363">
        <v>45.905656023409364</v>
      </c>
      <c r="CN222" s="363">
        <v>45.759064405023359</v>
      </c>
      <c r="CO222" s="363">
        <v>45.612940901123508</v>
      </c>
      <c r="CP222" s="363">
        <v>45.467284016868739</v>
      </c>
      <c r="CQ222" s="363">
        <v>45.322092262191489</v>
      </c>
      <c r="CR222" s="363">
        <v>45.177364151782463</v>
      </c>
      <c r="CS222" s="363">
        <v>45.511539661123741</v>
      </c>
      <c r="CT222" s="363">
        <v>45.848187055957673</v>
      </c>
      <c r="CU222" s="363">
        <v>46.187324620741741</v>
      </c>
      <c r="CV222" s="363">
        <v>46.528970775182977</v>
      </c>
      <c r="CW222" s="363">
        <v>46.873144075238329</v>
      </c>
      <c r="CX222" s="435">
        <v>47.062081135864858</v>
      </c>
      <c r="CY222" s="435">
        <v>47.251018196491394</v>
      </c>
      <c r="CZ222" s="435">
        <v>47.439955257117923</v>
      </c>
      <c r="DA222" s="435">
        <v>47.628892317744459</v>
      </c>
      <c r="DB222" s="363">
        <v>47.817829378370988</v>
      </c>
      <c r="DC222" s="435">
        <v>47.972701924618548</v>
      </c>
      <c r="DD222" s="435">
        <v>48.127574470866108</v>
      </c>
      <c r="DE222" s="435">
        <v>48.282447017113675</v>
      </c>
      <c r="DF222" s="435">
        <v>48.437319563361235</v>
      </c>
      <c r="DG222" s="363">
        <v>48.592192109608796</v>
      </c>
      <c r="DH222" s="362">
        <v>0</v>
      </c>
      <c r="DI222" s="362">
        <v>0</v>
      </c>
      <c r="DJ222" s="362">
        <v>0</v>
      </c>
      <c r="DK222" s="363">
        <v>0</v>
      </c>
      <c r="DL222" s="363">
        <v>0</v>
      </c>
      <c r="DM222" s="363">
        <v>0</v>
      </c>
      <c r="DN222" s="363">
        <v>0</v>
      </c>
      <c r="DO222" s="363">
        <v>0</v>
      </c>
      <c r="DP222" s="363">
        <v>0</v>
      </c>
      <c r="DQ222" s="363">
        <v>0</v>
      </c>
      <c r="DR222" s="363">
        <v>0</v>
      </c>
      <c r="DS222" s="363">
        <v>0</v>
      </c>
      <c r="DT222" s="363">
        <v>0</v>
      </c>
      <c r="DU222" s="363">
        <v>0</v>
      </c>
      <c r="DV222" s="363">
        <v>0</v>
      </c>
      <c r="DW222" s="435">
        <v>0</v>
      </c>
      <c r="DX222" s="435">
        <v>0</v>
      </c>
      <c r="DY222" s="435">
        <v>0</v>
      </c>
      <c r="DZ222" s="435">
        <v>0</v>
      </c>
      <c r="EA222" s="363">
        <v>0</v>
      </c>
      <c r="EB222" s="435">
        <v>0</v>
      </c>
      <c r="EC222" s="435">
        <v>0</v>
      </c>
      <c r="ED222" s="435">
        <v>0</v>
      </c>
      <c r="EE222" s="435">
        <v>0</v>
      </c>
      <c r="EF222" s="363">
        <v>0</v>
      </c>
      <c r="EG222" s="364">
        <v>6.0019669994957649E-2</v>
      </c>
      <c r="EH222" s="364">
        <v>6.0269062198679682E-2</v>
      </c>
      <c r="EI222" s="364">
        <v>6.0519490670533194E-2</v>
      </c>
      <c r="EJ222" s="365">
        <v>6.0121601572009339E-2</v>
      </c>
      <c r="EK222" s="365">
        <v>5.9726328419736345E-2</v>
      </c>
      <c r="EL222" s="365">
        <v>5.9535602920925516E-2</v>
      </c>
      <c r="EM222" s="365">
        <v>5.9345486470366249E-2</v>
      </c>
      <c r="EN222" s="365">
        <v>5.9155977123170347E-2</v>
      </c>
      <c r="EO222" s="365">
        <v>5.8967072940660267E-2</v>
      </c>
      <c r="EP222" s="365">
        <v>5.8778771990349282E-2</v>
      </c>
      <c r="EQ222" s="365">
        <v>5.9213556675935121E-2</v>
      </c>
      <c r="ER222" s="365">
        <v>5.9651557449853843E-2</v>
      </c>
      <c r="ES222" s="365">
        <v>6.0092798101407406E-2</v>
      </c>
      <c r="ET222" s="365">
        <v>6.0537302595866468E-2</v>
      </c>
      <c r="EU222" s="365">
        <v>6.0985095075771954E-2</v>
      </c>
      <c r="EV222" s="436">
        <v>6.1230914826782272E-2</v>
      </c>
      <c r="EW222" s="436">
        <v>6.147673457779259E-2</v>
      </c>
      <c r="EX222" s="436">
        <v>6.1722554328802914E-2</v>
      </c>
      <c r="EY222" s="436">
        <v>6.1968374079813232E-2</v>
      </c>
      <c r="EZ222" s="365">
        <v>6.221419383082355E-2</v>
      </c>
      <c r="FA222" s="436">
        <v>6.2415693370567966E-2</v>
      </c>
      <c r="FB222" s="436">
        <v>6.2617192910312383E-2</v>
      </c>
      <c r="FC222" s="436">
        <v>6.2818692450056807E-2</v>
      </c>
      <c r="FD222" s="436">
        <v>6.3020191989801216E-2</v>
      </c>
      <c r="FE222" s="365">
        <v>6.322169152954564E-2</v>
      </c>
      <c r="FF222" s="364">
        <v>0</v>
      </c>
      <c r="FG222" s="364">
        <v>0</v>
      </c>
      <c r="FH222" s="364">
        <v>0</v>
      </c>
      <c r="FI222" s="365">
        <v>0</v>
      </c>
      <c r="FJ222" s="365">
        <v>0</v>
      </c>
      <c r="FK222" s="365">
        <v>0</v>
      </c>
      <c r="FL222" s="365">
        <v>0</v>
      </c>
      <c r="FM222" s="365">
        <v>0</v>
      </c>
      <c r="FN222" s="365">
        <v>0</v>
      </c>
      <c r="FO222" s="365">
        <v>0</v>
      </c>
      <c r="FP222" s="365">
        <v>0</v>
      </c>
      <c r="FQ222" s="365">
        <v>0</v>
      </c>
      <c r="FR222" s="365">
        <v>0</v>
      </c>
      <c r="FS222" s="365">
        <v>0</v>
      </c>
      <c r="FT222" s="365">
        <v>0</v>
      </c>
      <c r="FU222" s="436">
        <v>0</v>
      </c>
      <c r="FV222" s="436">
        <v>0</v>
      </c>
      <c r="FW222" s="436">
        <v>0</v>
      </c>
      <c r="FX222" s="436">
        <v>0</v>
      </c>
      <c r="FY222" s="365">
        <v>0</v>
      </c>
      <c r="FZ222" s="436">
        <v>0</v>
      </c>
      <c r="GA222" s="436">
        <v>0</v>
      </c>
      <c r="GB222" s="436">
        <v>0</v>
      </c>
      <c r="GC222" s="436">
        <v>0</v>
      </c>
      <c r="GD222" s="365">
        <v>0</v>
      </c>
    </row>
    <row r="223" spans="1:186" ht="15" x14ac:dyDescent="0.25">
      <c r="A223" s="357">
        <v>115</v>
      </c>
      <c r="B223" s="357">
        <v>94</v>
      </c>
      <c r="C223" s="357" t="s">
        <v>1133</v>
      </c>
      <c r="D223" s="2">
        <v>99705</v>
      </c>
      <c r="E223" s="268" t="s">
        <v>1527</v>
      </c>
      <c r="F223" s="358" t="s">
        <v>985</v>
      </c>
      <c r="G223" s="49">
        <v>76</v>
      </c>
      <c r="H223" s="49">
        <v>39</v>
      </c>
      <c r="I223" s="49">
        <v>34</v>
      </c>
      <c r="J223" s="49">
        <v>5</v>
      </c>
      <c r="K223" s="49">
        <v>0</v>
      </c>
      <c r="L223" s="49">
        <v>48</v>
      </c>
      <c r="M223" s="49">
        <v>48</v>
      </c>
      <c r="N223" s="49">
        <v>0</v>
      </c>
      <c r="O223" s="49">
        <v>0</v>
      </c>
      <c r="P223" s="49">
        <v>0</v>
      </c>
      <c r="Q223" s="49">
        <v>48</v>
      </c>
      <c r="R223" s="49">
        <v>0</v>
      </c>
      <c r="S223" s="49">
        <v>1971.875</v>
      </c>
      <c r="T223" s="49">
        <v>1971.875</v>
      </c>
      <c r="U223" s="49">
        <v>0</v>
      </c>
      <c r="V223" s="49">
        <v>0</v>
      </c>
      <c r="W223" s="49">
        <v>0</v>
      </c>
      <c r="X223" s="49">
        <v>1971.875</v>
      </c>
      <c r="Y223" s="434">
        <v>94650</v>
      </c>
      <c r="Z223" s="434">
        <v>0</v>
      </c>
      <c r="AA223" s="49">
        <v>0</v>
      </c>
      <c r="AB223" s="49">
        <v>39</v>
      </c>
      <c r="AC223" s="49">
        <v>0</v>
      </c>
      <c r="AD223" s="285">
        <v>0</v>
      </c>
      <c r="AE223" s="285">
        <v>0</v>
      </c>
      <c r="AF223" s="359">
        <v>39</v>
      </c>
      <c r="AG223" s="360">
        <v>0</v>
      </c>
      <c r="AH223" s="360">
        <v>34</v>
      </c>
      <c r="AI223" s="361">
        <v>34</v>
      </c>
      <c r="AJ223" s="360">
        <v>0</v>
      </c>
      <c r="AK223" s="360">
        <v>0</v>
      </c>
      <c r="AL223" s="360">
        <v>36.197916308613557</v>
      </c>
      <c r="AM223" s="360">
        <v>36.197916308613557</v>
      </c>
      <c r="AN223" s="360">
        <v>0</v>
      </c>
      <c r="AO223" s="360">
        <v>0</v>
      </c>
      <c r="AP223" s="360">
        <v>31.719017607330336</v>
      </c>
      <c r="AQ223" s="360">
        <v>31.719017607330336</v>
      </c>
      <c r="AR223" s="360">
        <v>0</v>
      </c>
      <c r="AS223" s="360">
        <v>0</v>
      </c>
      <c r="AT223" s="360">
        <v>0</v>
      </c>
      <c r="AU223" s="360">
        <v>33.59715756629209</v>
      </c>
      <c r="AV223" s="360">
        <v>34.873300643786848</v>
      </c>
      <c r="AW223" s="360">
        <v>36.197916308613557</v>
      </c>
      <c r="AX223" s="360">
        <v>37.572845727146202</v>
      </c>
      <c r="AY223" s="360">
        <v>39</v>
      </c>
      <c r="AZ223" s="360">
        <v>29.59106111688623</v>
      </c>
      <c r="BA223" s="360">
        <v>30.636569465038058</v>
      </c>
      <c r="BB223" s="360">
        <v>31.719017607330336</v>
      </c>
      <c r="BC223" s="360">
        <v>32.839710696795599</v>
      </c>
      <c r="BD223" s="360">
        <v>34</v>
      </c>
      <c r="BE223" s="360">
        <v>0</v>
      </c>
      <c r="BF223" s="360">
        <v>0</v>
      </c>
      <c r="BG223" s="360">
        <v>0</v>
      </c>
      <c r="BH223" s="360">
        <v>0</v>
      </c>
      <c r="BI223" s="360">
        <v>0</v>
      </c>
      <c r="BJ223" s="362">
        <v>39.369302596271126</v>
      </c>
      <c r="BK223" s="362">
        <v>39.742102228634877</v>
      </c>
      <c r="BL223" s="362">
        <v>40.118432011565837</v>
      </c>
      <c r="BM223" s="363">
        <v>39.85467092285851</v>
      </c>
      <c r="BN223" s="363">
        <v>39.592643947585529</v>
      </c>
      <c r="BO223" s="363">
        <v>39.466211820147947</v>
      </c>
      <c r="BP223" s="363">
        <v>39.340183431416719</v>
      </c>
      <c r="BQ223" s="363">
        <v>39.214557492123468</v>
      </c>
      <c r="BR223" s="363">
        <v>39.089332717116868</v>
      </c>
      <c r="BS223" s="363">
        <v>38.964507825349521</v>
      </c>
      <c r="BT223" s="363">
        <v>39.252727036302637</v>
      </c>
      <c r="BU223" s="363">
        <v>39.543078195487581</v>
      </c>
      <c r="BV223" s="363">
        <v>39.835577072856843</v>
      </c>
      <c r="BW223" s="363">
        <v>40.130239555012764</v>
      </c>
      <c r="BX223" s="363">
        <v>40.427081646070306</v>
      </c>
      <c r="BY223" s="435">
        <v>40.590035809410765</v>
      </c>
      <c r="BZ223" s="435">
        <v>40.752989972751223</v>
      </c>
      <c r="CA223" s="435">
        <v>40.915944136091689</v>
      </c>
      <c r="CB223" s="435">
        <v>41.078898299432147</v>
      </c>
      <c r="CC223" s="363">
        <v>41.241852462772606</v>
      </c>
      <c r="CD223" s="435">
        <v>41.375426712919662</v>
      </c>
      <c r="CE223" s="435">
        <v>41.509000963066718</v>
      </c>
      <c r="CF223" s="435">
        <v>41.642575213213782</v>
      </c>
      <c r="CG223" s="435">
        <v>41.776149463360838</v>
      </c>
      <c r="CH223" s="363">
        <v>41.909723713507894</v>
      </c>
      <c r="CI223" s="362">
        <v>34.321956109569697</v>
      </c>
      <c r="CJ223" s="362">
        <v>34.646960917271429</v>
      </c>
      <c r="CK223" s="362">
        <v>34.975043292134316</v>
      </c>
      <c r="CL223" s="363">
        <v>34.745097727620241</v>
      </c>
      <c r="CM223" s="363">
        <v>34.516663954305329</v>
      </c>
      <c r="CN223" s="363">
        <v>34.406441073975131</v>
      </c>
      <c r="CO223" s="363">
        <v>34.296570170978676</v>
      </c>
      <c r="CP223" s="363">
        <v>34.187050121338402</v>
      </c>
      <c r="CQ223" s="363">
        <v>34.07787980466599</v>
      </c>
      <c r="CR223" s="363">
        <v>33.969058104150861</v>
      </c>
      <c r="CS223" s="363">
        <v>34.220326134212549</v>
      </c>
      <c r="CT223" s="363">
        <v>34.473452785809684</v>
      </c>
      <c r="CU223" s="363">
        <v>34.728451807105962</v>
      </c>
      <c r="CV223" s="363">
        <v>34.985337047959838</v>
      </c>
      <c r="CW223" s="363">
        <v>35.244122460676671</v>
      </c>
      <c r="CX223" s="435">
        <v>35.386185064614509</v>
      </c>
      <c r="CY223" s="435">
        <v>35.528247668552346</v>
      </c>
      <c r="CZ223" s="435">
        <v>35.670310272490184</v>
      </c>
      <c r="DA223" s="435">
        <v>35.812372876428022</v>
      </c>
      <c r="DB223" s="363">
        <v>35.954435480365859</v>
      </c>
      <c r="DC223" s="435">
        <v>36.070884826647912</v>
      </c>
      <c r="DD223" s="435">
        <v>36.187334172929958</v>
      </c>
      <c r="DE223" s="435">
        <v>36.303783519212011</v>
      </c>
      <c r="DF223" s="435">
        <v>36.420232865494057</v>
      </c>
      <c r="DG223" s="363">
        <v>36.53668221177611</v>
      </c>
      <c r="DH223" s="362">
        <v>0</v>
      </c>
      <c r="DI223" s="362">
        <v>0</v>
      </c>
      <c r="DJ223" s="362">
        <v>0</v>
      </c>
      <c r="DK223" s="363">
        <v>0</v>
      </c>
      <c r="DL223" s="363">
        <v>0</v>
      </c>
      <c r="DM223" s="363">
        <v>0</v>
      </c>
      <c r="DN223" s="363">
        <v>0</v>
      </c>
      <c r="DO223" s="363">
        <v>0</v>
      </c>
      <c r="DP223" s="363">
        <v>0</v>
      </c>
      <c r="DQ223" s="363">
        <v>0</v>
      </c>
      <c r="DR223" s="363">
        <v>0</v>
      </c>
      <c r="DS223" s="363">
        <v>0</v>
      </c>
      <c r="DT223" s="363">
        <v>0</v>
      </c>
      <c r="DU223" s="363">
        <v>0</v>
      </c>
      <c r="DV223" s="363">
        <v>0</v>
      </c>
      <c r="DW223" s="435">
        <v>0</v>
      </c>
      <c r="DX223" s="435">
        <v>0</v>
      </c>
      <c r="DY223" s="435">
        <v>0</v>
      </c>
      <c r="DZ223" s="435">
        <v>0</v>
      </c>
      <c r="EA223" s="363">
        <v>0</v>
      </c>
      <c r="EB223" s="435">
        <v>0</v>
      </c>
      <c r="EC223" s="435">
        <v>0</v>
      </c>
      <c r="ED223" s="435">
        <v>0</v>
      </c>
      <c r="EE223" s="435">
        <v>0</v>
      </c>
      <c r="EF223" s="363">
        <v>0</v>
      </c>
      <c r="EG223" s="364">
        <v>0</v>
      </c>
      <c r="EH223" s="364">
        <v>0</v>
      </c>
      <c r="EI223" s="364">
        <v>0</v>
      </c>
      <c r="EJ223" s="365">
        <v>0</v>
      </c>
      <c r="EK223" s="365">
        <v>0</v>
      </c>
      <c r="EL223" s="365">
        <v>0</v>
      </c>
      <c r="EM223" s="365">
        <v>0</v>
      </c>
      <c r="EN223" s="365">
        <v>0</v>
      </c>
      <c r="EO223" s="365">
        <v>0</v>
      </c>
      <c r="EP223" s="365">
        <v>0</v>
      </c>
      <c r="EQ223" s="365">
        <v>0</v>
      </c>
      <c r="ER223" s="365">
        <v>0</v>
      </c>
      <c r="ES223" s="365">
        <v>0</v>
      </c>
      <c r="ET223" s="365">
        <v>0</v>
      </c>
      <c r="EU223" s="365">
        <v>0</v>
      </c>
      <c r="EV223" s="436">
        <v>0</v>
      </c>
      <c r="EW223" s="436">
        <v>0</v>
      </c>
      <c r="EX223" s="436">
        <v>0</v>
      </c>
      <c r="EY223" s="436">
        <v>0</v>
      </c>
      <c r="EZ223" s="365">
        <v>0</v>
      </c>
      <c r="FA223" s="436">
        <v>0</v>
      </c>
      <c r="FB223" s="436">
        <v>0</v>
      </c>
      <c r="FC223" s="436">
        <v>0</v>
      </c>
      <c r="FD223" s="436">
        <v>0</v>
      </c>
      <c r="FE223" s="365">
        <v>0</v>
      </c>
      <c r="FF223" s="364">
        <v>0</v>
      </c>
      <c r="FG223" s="364">
        <v>0</v>
      </c>
      <c r="FH223" s="364">
        <v>0</v>
      </c>
      <c r="FI223" s="365">
        <v>0</v>
      </c>
      <c r="FJ223" s="365">
        <v>0</v>
      </c>
      <c r="FK223" s="365">
        <v>0</v>
      </c>
      <c r="FL223" s="365">
        <v>0</v>
      </c>
      <c r="FM223" s="365">
        <v>0</v>
      </c>
      <c r="FN223" s="365">
        <v>0</v>
      </c>
      <c r="FO223" s="365">
        <v>0</v>
      </c>
      <c r="FP223" s="365">
        <v>0</v>
      </c>
      <c r="FQ223" s="365">
        <v>0</v>
      </c>
      <c r="FR223" s="365">
        <v>0</v>
      </c>
      <c r="FS223" s="365">
        <v>0</v>
      </c>
      <c r="FT223" s="365">
        <v>0</v>
      </c>
      <c r="FU223" s="436">
        <v>0</v>
      </c>
      <c r="FV223" s="436">
        <v>0</v>
      </c>
      <c r="FW223" s="436">
        <v>0</v>
      </c>
      <c r="FX223" s="436">
        <v>0</v>
      </c>
      <c r="FY223" s="365">
        <v>0</v>
      </c>
      <c r="FZ223" s="436">
        <v>0</v>
      </c>
      <c r="GA223" s="436">
        <v>0</v>
      </c>
      <c r="GB223" s="436">
        <v>0</v>
      </c>
      <c r="GC223" s="436">
        <v>0</v>
      </c>
      <c r="GD223" s="365">
        <v>0</v>
      </c>
    </row>
    <row r="224" spans="1:186" ht="15" x14ac:dyDescent="0.25">
      <c r="A224" s="357">
        <v>116</v>
      </c>
      <c r="B224" s="357">
        <v>94</v>
      </c>
      <c r="C224" s="357" t="s">
        <v>1134</v>
      </c>
      <c r="D224" s="2">
        <v>99705</v>
      </c>
      <c r="E224" s="268" t="s">
        <v>218</v>
      </c>
      <c r="F224" s="358" t="s">
        <v>985</v>
      </c>
      <c r="G224" s="49">
        <v>36</v>
      </c>
      <c r="H224" s="49">
        <v>14</v>
      </c>
      <c r="I224" s="49">
        <v>13</v>
      </c>
      <c r="J224" s="49">
        <v>1</v>
      </c>
      <c r="K224" s="49">
        <v>0</v>
      </c>
      <c r="L224" s="49">
        <v>15</v>
      </c>
      <c r="M224" s="49">
        <v>15</v>
      </c>
      <c r="N224" s="49">
        <v>0</v>
      </c>
      <c r="O224" s="49">
        <v>0</v>
      </c>
      <c r="P224" s="49">
        <v>0</v>
      </c>
      <c r="Q224" s="49">
        <v>15</v>
      </c>
      <c r="R224" s="49">
        <v>0</v>
      </c>
      <c r="S224" s="49">
        <v>2211.7333333333331</v>
      </c>
      <c r="T224" s="49">
        <v>2211.7333333333331</v>
      </c>
      <c r="U224" s="49">
        <v>0</v>
      </c>
      <c r="V224" s="49">
        <v>0</v>
      </c>
      <c r="W224" s="49">
        <v>0</v>
      </c>
      <c r="X224" s="49">
        <v>2211.7333333333331</v>
      </c>
      <c r="Y224" s="434">
        <v>33176</v>
      </c>
      <c r="Z224" s="434">
        <v>0</v>
      </c>
      <c r="AA224" s="49">
        <v>0</v>
      </c>
      <c r="AB224" s="49">
        <v>14</v>
      </c>
      <c r="AC224" s="49">
        <v>0</v>
      </c>
      <c r="AD224" s="285">
        <v>0</v>
      </c>
      <c r="AE224" s="285">
        <v>0</v>
      </c>
      <c r="AF224" s="359">
        <v>14</v>
      </c>
      <c r="AG224" s="360">
        <v>0</v>
      </c>
      <c r="AH224" s="360">
        <v>13</v>
      </c>
      <c r="AI224" s="361">
        <v>13</v>
      </c>
      <c r="AJ224" s="360">
        <v>0</v>
      </c>
      <c r="AK224" s="360">
        <v>0</v>
      </c>
      <c r="AL224" s="360">
        <v>12.994123803092048</v>
      </c>
      <c r="AM224" s="360">
        <v>12.994123803092048</v>
      </c>
      <c r="AN224" s="360">
        <v>0</v>
      </c>
      <c r="AO224" s="360">
        <v>0</v>
      </c>
      <c r="AP224" s="360">
        <v>12.127859673391011</v>
      </c>
      <c r="AQ224" s="360">
        <v>12.127859673391011</v>
      </c>
      <c r="AR224" s="360">
        <v>0</v>
      </c>
      <c r="AS224" s="360">
        <v>0</v>
      </c>
      <c r="AT224" s="360">
        <v>0</v>
      </c>
      <c r="AU224" s="360">
        <v>12.060518100720238</v>
      </c>
      <c r="AV224" s="360">
        <v>12.518620743923483</v>
      </c>
      <c r="AW224" s="360">
        <v>12.994123803092048</v>
      </c>
      <c r="AX224" s="360">
        <v>13.487688209744791</v>
      </c>
      <c r="AY224" s="360">
        <v>14</v>
      </c>
      <c r="AZ224" s="360">
        <v>11.314229250574147</v>
      </c>
      <c r="BA224" s="360">
        <v>11.713982442514551</v>
      </c>
      <c r="BB224" s="360">
        <v>12.127859673391011</v>
      </c>
      <c r="BC224" s="360">
        <v>12.5563599723042</v>
      </c>
      <c r="BD224" s="360">
        <v>13</v>
      </c>
      <c r="BE224" s="360">
        <v>0</v>
      </c>
      <c r="BF224" s="360">
        <v>0</v>
      </c>
      <c r="BG224" s="360">
        <v>0</v>
      </c>
      <c r="BH224" s="360">
        <v>0</v>
      </c>
      <c r="BI224" s="360">
        <v>0</v>
      </c>
      <c r="BJ224" s="362">
        <v>14.132570162763994</v>
      </c>
      <c r="BK224" s="362">
        <v>14.266395671817648</v>
      </c>
      <c r="BL224" s="362">
        <v>14.401488414408249</v>
      </c>
      <c r="BM224" s="363">
        <v>14.306804946667159</v>
      </c>
      <c r="BN224" s="363">
        <v>14.21274398118455</v>
      </c>
      <c r="BO224" s="363">
        <v>14.167358089283878</v>
      </c>
      <c r="BP224" s="363">
        <v>14.122117129226515</v>
      </c>
      <c r="BQ224" s="363">
        <v>14.077020638198167</v>
      </c>
      <c r="BR224" s="363">
        <v>14.032068154862467</v>
      </c>
      <c r="BS224" s="363">
        <v>13.987259219356238</v>
      </c>
      <c r="BT224" s="363">
        <v>14.090722525852227</v>
      </c>
      <c r="BU224" s="363">
        <v>14.194951147098104</v>
      </c>
      <c r="BV224" s="363">
        <v>14.299950744102457</v>
      </c>
      <c r="BW224" s="363">
        <v>14.40572701974817</v>
      </c>
      <c r="BX224" s="363">
        <v>14.512285719102161</v>
      </c>
      <c r="BY224" s="435">
        <v>14.570782085429506</v>
      </c>
      <c r="BZ224" s="435">
        <v>14.629278451756852</v>
      </c>
      <c r="CA224" s="435">
        <v>14.687774818084195</v>
      </c>
      <c r="CB224" s="435">
        <v>14.74627118441154</v>
      </c>
      <c r="CC224" s="363">
        <v>14.804767550738886</v>
      </c>
      <c r="CD224" s="435">
        <v>14.852717281560906</v>
      </c>
      <c r="CE224" s="435">
        <v>14.900667012382927</v>
      </c>
      <c r="CF224" s="435">
        <v>14.948616743204946</v>
      </c>
      <c r="CG224" s="435">
        <v>14.996566474026967</v>
      </c>
      <c r="CH224" s="363">
        <v>15.044516204848987</v>
      </c>
      <c r="CI224" s="362">
        <v>13.123100865423709</v>
      </c>
      <c r="CJ224" s="362">
        <v>13.247367409544959</v>
      </c>
      <c r="CK224" s="362">
        <v>13.372810670521945</v>
      </c>
      <c r="CL224" s="363">
        <v>13.284890307619504</v>
      </c>
      <c r="CM224" s="363">
        <v>13.19754798252851</v>
      </c>
      <c r="CN224" s="363">
        <v>13.155403940049316</v>
      </c>
      <c r="CO224" s="363">
        <v>13.113394477138906</v>
      </c>
      <c r="CP224" s="363">
        <v>13.071519164041154</v>
      </c>
      <c r="CQ224" s="363">
        <v>13.029777572372289</v>
      </c>
      <c r="CR224" s="363">
        <v>12.988169275116507</v>
      </c>
      <c r="CS224" s="363">
        <v>13.084242345434211</v>
      </c>
      <c r="CT224" s="363">
        <v>13.181026065162525</v>
      </c>
      <c r="CU224" s="363">
        <v>13.27852569095228</v>
      </c>
      <c r="CV224" s="363">
        <v>13.376746518337587</v>
      </c>
      <c r="CW224" s="363">
        <v>13.475693882023435</v>
      </c>
      <c r="CX224" s="435">
        <v>13.530011936470256</v>
      </c>
      <c r="CY224" s="435">
        <v>13.584329990917075</v>
      </c>
      <c r="CZ224" s="435">
        <v>13.638648045363896</v>
      </c>
      <c r="DA224" s="435">
        <v>13.692966099810715</v>
      </c>
      <c r="DB224" s="363">
        <v>13.747284154257535</v>
      </c>
      <c r="DC224" s="435">
        <v>13.791808904306555</v>
      </c>
      <c r="DD224" s="435">
        <v>13.836333654355574</v>
      </c>
      <c r="DE224" s="435">
        <v>13.880858404404592</v>
      </c>
      <c r="DF224" s="435">
        <v>13.925383154453611</v>
      </c>
      <c r="DG224" s="363">
        <v>13.96990790450263</v>
      </c>
      <c r="DH224" s="362">
        <v>0</v>
      </c>
      <c r="DI224" s="362">
        <v>0</v>
      </c>
      <c r="DJ224" s="362">
        <v>0</v>
      </c>
      <c r="DK224" s="363">
        <v>0</v>
      </c>
      <c r="DL224" s="363">
        <v>0</v>
      </c>
      <c r="DM224" s="363">
        <v>0</v>
      </c>
      <c r="DN224" s="363">
        <v>0</v>
      </c>
      <c r="DO224" s="363">
        <v>0</v>
      </c>
      <c r="DP224" s="363">
        <v>0</v>
      </c>
      <c r="DQ224" s="363">
        <v>0</v>
      </c>
      <c r="DR224" s="363">
        <v>0</v>
      </c>
      <c r="DS224" s="363">
        <v>0</v>
      </c>
      <c r="DT224" s="363">
        <v>0</v>
      </c>
      <c r="DU224" s="363">
        <v>0</v>
      </c>
      <c r="DV224" s="363">
        <v>0</v>
      </c>
      <c r="DW224" s="435">
        <v>0</v>
      </c>
      <c r="DX224" s="435">
        <v>0</v>
      </c>
      <c r="DY224" s="435">
        <v>0</v>
      </c>
      <c r="DZ224" s="435">
        <v>0</v>
      </c>
      <c r="EA224" s="363">
        <v>0</v>
      </c>
      <c r="EB224" s="435">
        <v>0</v>
      </c>
      <c r="EC224" s="435">
        <v>0</v>
      </c>
      <c r="ED224" s="435">
        <v>0</v>
      </c>
      <c r="EE224" s="435">
        <v>0</v>
      </c>
      <c r="EF224" s="363">
        <v>0</v>
      </c>
      <c r="EG224" s="364">
        <v>0</v>
      </c>
      <c r="EH224" s="364">
        <v>0</v>
      </c>
      <c r="EI224" s="364">
        <v>0</v>
      </c>
      <c r="EJ224" s="365">
        <v>0</v>
      </c>
      <c r="EK224" s="365">
        <v>0</v>
      </c>
      <c r="EL224" s="365">
        <v>0</v>
      </c>
      <c r="EM224" s="365">
        <v>0</v>
      </c>
      <c r="EN224" s="365">
        <v>0</v>
      </c>
      <c r="EO224" s="365">
        <v>0</v>
      </c>
      <c r="EP224" s="365">
        <v>0</v>
      </c>
      <c r="EQ224" s="365">
        <v>0</v>
      </c>
      <c r="ER224" s="365">
        <v>0</v>
      </c>
      <c r="ES224" s="365">
        <v>0</v>
      </c>
      <c r="ET224" s="365">
        <v>0</v>
      </c>
      <c r="EU224" s="365">
        <v>0</v>
      </c>
      <c r="EV224" s="436">
        <v>0</v>
      </c>
      <c r="EW224" s="436">
        <v>0</v>
      </c>
      <c r="EX224" s="436">
        <v>0</v>
      </c>
      <c r="EY224" s="436">
        <v>0</v>
      </c>
      <c r="EZ224" s="365">
        <v>0</v>
      </c>
      <c r="FA224" s="436">
        <v>0</v>
      </c>
      <c r="FB224" s="436">
        <v>0</v>
      </c>
      <c r="FC224" s="436">
        <v>0</v>
      </c>
      <c r="FD224" s="436">
        <v>0</v>
      </c>
      <c r="FE224" s="365">
        <v>0</v>
      </c>
      <c r="FF224" s="364">
        <v>0</v>
      </c>
      <c r="FG224" s="364">
        <v>0</v>
      </c>
      <c r="FH224" s="364">
        <v>0</v>
      </c>
      <c r="FI224" s="365">
        <v>0</v>
      </c>
      <c r="FJ224" s="365">
        <v>0</v>
      </c>
      <c r="FK224" s="365">
        <v>0</v>
      </c>
      <c r="FL224" s="365">
        <v>0</v>
      </c>
      <c r="FM224" s="365">
        <v>0</v>
      </c>
      <c r="FN224" s="365">
        <v>0</v>
      </c>
      <c r="FO224" s="365">
        <v>0</v>
      </c>
      <c r="FP224" s="365">
        <v>0</v>
      </c>
      <c r="FQ224" s="365">
        <v>0</v>
      </c>
      <c r="FR224" s="365">
        <v>0</v>
      </c>
      <c r="FS224" s="365">
        <v>0</v>
      </c>
      <c r="FT224" s="365">
        <v>0</v>
      </c>
      <c r="FU224" s="436">
        <v>0</v>
      </c>
      <c r="FV224" s="436">
        <v>0</v>
      </c>
      <c r="FW224" s="436">
        <v>0</v>
      </c>
      <c r="FX224" s="436">
        <v>0</v>
      </c>
      <c r="FY224" s="365">
        <v>0</v>
      </c>
      <c r="FZ224" s="436">
        <v>0</v>
      </c>
      <c r="GA224" s="436">
        <v>0</v>
      </c>
      <c r="GB224" s="436">
        <v>0</v>
      </c>
      <c r="GC224" s="436">
        <v>0</v>
      </c>
      <c r="GD224" s="365">
        <v>0</v>
      </c>
    </row>
    <row r="225" spans="1:186" ht="15" x14ac:dyDescent="0.25">
      <c r="A225" s="357">
        <v>117</v>
      </c>
      <c r="B225" s="357">
        <v>94</v>
      </c>
      <c r="C225" s="357" t="s">
        <v>1135</v>
      </c>
      <c r="D225" s="2">
        <v>99705</v>
      </c>
      <c r="E225" s="268" t="s">
        <v>218</v>
      </c>
      <c r="F225" s="358" t="s">
        <v>985</v>
      </c>
      <c r="G225" s="49">
        <v>251</v>
      </c>
      <c r="H225" s="49">
        <v>105</v>
      </c>
      <c r="I225" s="49">
        <v>94</v>
      </c>
      <c r="J225" s="49">
        <v>11</v>
      </c>
      <c r="K225" s="49">
        <v>0</v>
      </c>
      <c r="L225" s="49">
        <v>103</v>
      </c>
      <c r="M225" s="49">
        <v>103</v>
      </c>
      <c r="N225" s="49">
        <v>0</v>
      </c>
      <c r="O225" s="49">
        <v>0</v>
      </c>
      <c r="P225" s="49">
        <v>0</v>
      </c>
      <c r="Q225" s="49">
        <v>103</v>
      </c>
      <c r="R225" s="49">
        <v>0</v>
      </c>
      <c r="S225" s="49">
        <v>2264.1844660194174</v>
      </c>
      <c r="T225" s="49">
        <v>2264.1844660194174</v>
      </c>
      <c r="U225" s="49">
        <v>0</v>
      </c>
      <c r="V225" s="49">
        <v>0</v>
      </c>
      <c r="W225" s="49">
        <v>0</v>
      </c>
      <c r="X225" s="49">
        <v>2264.1844660194174</v>
      </c>
      <c r="Y225" s="434">
        <v>233211</v>
      </c>
      <c r="Z225" s="434">
        <v>0</v>
      </c>
      <c r="AA225" s="49">
        <v>0</v>
      </c>
      <c r="AB225" s="49">
        <v>105</v>
      </c>
      <c r="AC225" s="49">
        <v>0</v>
      </c>
      <c r="AD225" s="285">
        <v>0</v>
      </c>
      <c r="AE225" s="285">
        <v>0</v>
      </c>
      <c r="AF225" s="359">
        <v>105</v>
      </c>
      <c r="AG225" s="360">
        <v>0</v>
      </c>
      <c r="AH225" s="360">
        <v>94</v>
      </c>
      <c r="AI225" s="361">
        <v>94</v>
      </c>
      <c r="AJ225" s="360">
        <v>0</v>
      </c>
      <c r="AK225" s="360">
        <v>0</v>
      </c>
      <c r="AL225" s="360">
        <v>97.455928523190352</v>
      </c>
      <c r="AM225" s="360">
        <v>97.455928523190352</v>
      </c>
      <c r="AN225" s="360">
        <v>0</v>
      </c>
      <c r="AO225" s="360">
        <v>0</v>
      </c>
      <c r="AP225" s="360">
        <v>87.693754561442688</v>
      </c>
      <c r="AQ225" s="360">
        <v>87.693754561442688</v>
      </c>
      <c r="AR225" s="360">
        <v>0</v>
      </c>
      <c r="AS225" s="360">
        <v>0</v>
      </c>
      <c r="AT225" s="360">
        <v>0</v>
      </c>
      <c r="AU225" s="360">
        <v>90.453885755401785</v>
      </c>
      <c r="AV225" s="360">
        <v>93.889655579426119</v>
      </c>
      <c r="AW225" s="360">
        <v>97.455928523190352</v>
      </c>
      <c r="AX225" s="360">
        <v>101.15766157308593</v>
      </c>
      <c r="AY225" s="360">
        <v>105</v>
      </c>
      <c r="AZ225" s="360">
        <v>81.810580734920748</v>
      </c>
      <c r="BA225" s="360">
        <v>84.701103815105213</v>
      </c>
      <c r="BB225" s="360">
        <v>87.693754561442688</v>
      </c>
      <c r="BC225" s="360">
        <v>90.792141338199599</v>
      </c>
      <c r="BD225" s="360">
        <v>94</v>
      </c>
      <c r="BE225" s="360">
        <v>0</v>
      </c>
      <c r="BF225" s="360">
        <v>0</v>
      </c>
      <c r="BG225" s="360">
        <v>0</v>
      </c>
      <c r="BH225" s="360">
        <v>0</v>
      </c>
      <c r="BI225" s="360">
        <v>0</v>
      </c>
      <c r="BJ225" s="362">
        <v>107.33283015623367</v>
      </c>
      <c r="BK225" s="362">
        <v>109.71748980330383</v>
      </c>
      <c r="BL225" s="362">
        <v>112.15513045929819</v>
      </c>
      <c r="BM225" s="363">
        <v>111.41775968405135</v>
      </c>
      <c r="BN225" s="363">
        <v>110.68523679813386</v>
      </c>
      <c r="BO225" s="363">
        <v>110.33178301053516</v>
      </c>
      <c r="BP225" s="363">
        <v>109.97945791528589</v>
      </c>
      <c r="BQ225" s="363">
        <v>109.62825790810604</v>
      </c>
      <c r="BR225" s="363">
        <v>109.27817939622521</v>
      </c>
      <c r="BS225" s="363">
        <v>108.92921879834594</v>
      </c>
      <c r="BT225" s="363">
        <v>109.7349647257043</v>
      </c>
      <c r="BU225" s="363">
        <v>110.54667072976767</v>
      </c>
      <c r="BV225" s="363">
        <v>111.36438089703169</v>
      </c>
      <c r="BW225" s="363">
        <v>112.18813964009847</v>
      </c>
      <c r="BX225" s="363">
        <v>113.01799170008856</v>
      </c>
      <c r="BY225" s="435">
        <v>113.47354652942651</v>
      </c>
      <c r="BZ225" s="435">
        <v>113.92910135876447</v>
      </c>
      <c r="CA225" s="435">
        <v>114.38465618810241</v>
      </c>
      <c r="CB225" s="435">
        <v>114.84021101744037</v>
      </c>
      <c r="CC225" s="363">
        <v>115.29576584677832</v>
      </c>
      <c r="CD225" s="435">
        <v>115.66918616008786</v>
      </c>
      <c r="CE225" s="435">
        <v>116.04260647339738</v>
      </c>
      <c r="CF225" s="435">
        <v>116.41602678670692</v>
      </c>
      <c r="CG225" s="435">
        <v>116.78944710001645</v>
      </c>
      <c r="CH225" s="363">
        <v>117.16286741332598</v>
      </c>
      <c r="CI225" s="362">
        <v>96.08843842558062</v>
      </c>
      <c r="CJ225" s="362">
        <v>98.223276585814858</v>
      </c>
      <c r="CK225" s="362">
        <v>100.40554536356218</v>
      </c>
      <c r="CL225" s="363">
        <v>99.745422955245957</v>
      </c>
      <c r="CM225" s="363">
        <v>99.089640562138868</v>
      </c>
      <c r="CN225" s="363">
        <v>98.773215266574326</v>
      </c>
      <c r="CO225" s="363">
        <v>98.457800419398794</v>
      </c>
      <c r="CP225" s="363">
        <v>98.143392793923496</v>
      </c>
      <c r="CQ225" s="363">
        <v>97.829989173763508</v>
      </c>
      <c r="CR225" s="363">
        <v>97.517586352804926</v>
      </c>
      <c r="CS225" s="363">
        <v>98.238920802059084</v>
      </c>
      <c r="CT225" s="363">
        <v>98.965590939030093</v>
      </c>
      <c r="CU225" s="363">
        <v>99.697636231628366</v>
      </c>
      <c r="CV225" s="363">
        <v>100.43509643970719</v>
      </c>
      <c r="CW225" s="363">
        <v>101.17801161722213</v>
      </c>
      <c r="CX225" s="435">
        <v>101.58584165491516</v>
      </c>
      <c r="CY225" s="435">
        <v>101.99367169260817</v>
      </c>
      <c r="CZ225" s="435">
        <v>102.40150173030121</v>
      </c>
      <c r="DA225" s="435">
        <v>102.80933176799422</v>
      </c>
      <c r="DB225" s="363">
        <v>103.21716180568725</v>
      </c>
      <c r="DC225" s="435">
        <v>103.5514618956977</v>
      </c>
      <c r="DD225" s="435">
        <v>103.88576198570813</v>
      </c>
      <c r="DE225" s="435">
        <v>104.22006207571857</v>
      </c>
      <c r="DF225" s="435">
        <v>104.554362165729</v>
      </c>
      <c r="DG225" s="363">
        <v>104.88866225573945</v>
      </c>
      <c r="DH225" s="362">
        <v>0</v>
      </c>
      <c r="DI225" s="362">
        <v>0</v>
      </c>
      <c r="DJ225" s="362">
        <v>0</v>
      </c>
      <c r="DK225" s="363">
        <v>0</v>
      </c>
      <c r="DL225" s="363">
        <v>0</v>
      </c>
      <c r="DM225" s="363">
        <v>0</v>
      </c>
      <c r="DN225" s="363">
        <v>0</v>
      </c>
      <c r="DO225" s="363">
        <v>0</v>
      </c>
      <c r="DP225" s="363">
        <v>0</v>
      </c>
      <c r="DQ225" s="363">
        <v>0</v>
      </c>
      <c r="DR225" s="363">
        <v>0</v>
      </c>
      <c r="DS225" s="363">
        <v>0</v>
      </c>
      <c r="DT225" s="363">
        <v>0</v>
      </c>
      <c r="DU225" s="363">
        <v>0</v>
      </c>
      <c r="DV225" s="363">
        <v>0</v>
      </c>
      <c r="DW225" s="435">
        <v>0</v>
      </c>
      <c r="DX225" s="435">
        <v>0</v>
      </c>
      <c r="DY225" s="435">
        <v>0</v>
      </c>
      <c r="DZ225" s="435">
        <v>0</v>
      </c>
      <c r="EA225" s="363">
        <v>0</v>
      </c>
      <c r="EB225" s="435">
        <v>0</v>
      </c>
      <c r="EC225" s="435">
        <v>0</v>
      </c>
      <c r="ED225" s="435">
        <v>0</v>
      </c>
      <c r="EE225" s="435">
        <v>0</v>
      </c>
      <c r="EF225" s="363">
        <v>0</v>
      </c>
      <c r="EG225" s="364">
        <v>0</v>
      </c>
      <c r="EH225" s="364">
        <v>0</v>
      </c>
      <c r="EI225" s="364">
        <v>0</v>
      </c>
      <c r="EJ225" s="365">
        <v>0</v>
      </c>
      <c r="EK225" s="365">
        <v>0</v>
      </c>
      <c r="EL225" s="365">
        <v>0</v>
      </c>
      <c r="EM225" s="365">
        <v>0</v>
      </c>
      <c r="EN225" s="365">
        <v>0</v>
      </c>
      <c r="EO225" s="365">
        <v>0</v>
      </c>
      <c r="EP225" s="365">
        <v>0</v>
      </c>
      <c r="EQ225" s="365">
        <v>0</v>
      </c>
      <c r="ER225" s="365">
        <v>0</v>
      </c>
      <c r="ES225" s="365">
        <v>0</v>
      </c>
      <c r="ET225" s="365">
        <v>0</v>
      </c>
      <c r="EU225" s="365">
        <v>0</v>
      </c>
      <c r="EV225" s="436">
        <v>0</v>
      </c>
      <c r="EW225" s="436">
        <v>0</v>
      </c>
      <c r="EX225" s="436">
        <v>0</v>
      </c>
      <c r="EY225" s="436">
        <v>0</v>
      </c>
      <c r="EZ225" s="365">
        <v>0</v>
      </c>
      <c r="FA225" s="436">
        <v>0</v>
      </c>
      <c r="FB225" s="436">
        <v>0</v>
      </c>
      <c r="FC225" s="436">
        <v>0</v>
      </c>
      <c r="FD225" s="436">
        <v>0</v>
      </c>
      <c r="FE225" s="365">
        <v>0</v>
      </c>
      <c r="FF225" s="364">
        <v>0</v>
      </c>
      <c r="FG225" s="364">
        <v>0</v>
      </c>
      <c r="FH225" s="364">
        <v>0</v>
      </c>
      <c r="FI225" s="365">
        <v>0</v>
      </c>
      <c r="FJ225" s="365">
        <v>0</v>
      </c>
      <c r="FK225" s="365">
        <v>0</v>
      </c>
      <c r="FL225" s="365">
        <v>0</v>
      </c>
      <c r="FM225" s="365">
        <v>0</v>
      </c>
      <c r="FN225" s="365">
        <v>0</v>
      </c>
      <c r="FO225" s="365">
        <v>0</v>
      </c>
      <c r="FP225" s="365">
        <v>0</v>
      </c>
      <c r="FQ225" s="365">
        <v>0</v>
      </c>
      <c r="FR225" s="365">
        <v>0</v>
      </c>
      <c r="FS225" s="365">
        <v>0</v>
      </c>
      <c r="FT225" s="365">
        <v>0</v>
      </c>
      <c r="FU225" s="436">
        <v>0</v>
      </c>
      <c r="FV225" s="436">
        <v>0</v>
      </c>
      <c r="FW225" s="436">
        <v>0</v>
      </c>
      <c r="FX225" s="436">
        <v>0</v>
      </c>
      <c r="FY225" s="365">
        <v>0</v>
      </c>
      <c r="FZ225" s="436">
        <v>0</v>
      </c>
      <c r="GA225" s="436">
        <v>0</v>
      </c>
      <c r="GB225" s="436">
        <v>0</v>
      </c>
      <c r="GC225" s="436">
        <v>0</v>
      </c>
      <c r="GD225" s="365">
        <v>0</v>
      </c>
    </row>
    <row r="226" spans="1:186" ht="15" x14ac:dyDescent="0.25">
      <c r="A226" s="357">
        <v>118</v>
      </c>
      <c r="B226" s="357">
        <v>94</v>
      </c>
      <c r="C226" s="357" t="s">
        <v>1136</v>
      </c>
      <c r="D226" s="2">
        <v>99705</v>
      </c>
      <c r="E226" s="268" t="s">
        <v>218</v>
      </c>
      <c r="F226" s="358" t="s">
        <v>985</v>
      </c>
      <c r="G226" s="49">
        <v>208</v>
      </c>
      <c r="H226" s="49">
        <v>80</v>
      </c>
      <c r="I226" s="49">
        <v>76</v>
      </c>
      <c r="J226" s="49">
        <v>4</v>
      </c>
      <c r="K226" s="49">
        <v>0</v>
      </c>
      <c r="L226" s="49">
        <v>60</v>
      </c>
      <c r="M226" s="49">
        <v>60</v>
      </c>
      <c r="N226" s="49">
        <v>0</v>
      </c>
      <c r="O226" s="49">
        <v>0</v>
      </c>
      <c r="P226" s="49">
        <v>0</v>
      </c>
      <c r="Q226" s="49">
        <v>60</v>
      </c>
      <c r="R226" s="49">
        <v>0</v>
      </c>
      <c r="S226" s="49">
        <v>2129</v>
      </c>
      <c r="T226" s="49">
        <v>2129</v>
      </c>
      <c r="U226" s="49">
        <v>0</v>
      </c>
      <c r="V226" s="49">
        <v>0</v>
      </c>
      <c r="W226" s="49">
        <v>0</v>
      </c>
      <c r="X226" s="49">
        <v>2129</v>
      </c>
      <c r="Y226" s="434">
        <v>127740</v>
      </c>
      <c r="Z226" s="434">
        <v>0</v>
      </c>
      <c r="AA226" s="49">
        <v>0</v>
      </c>
      <c r="AB226" s="49">
        <v>80</v>
      </c>
      <c r="AC226" s="49">
        <v>0</v>
      </c>
      <c r="AD226" s="285">
        <v>0</v>
      </c>
      <c r="AE226" s="285">
        <v>0</v>
      </c>
      <c r="AF226" s="359">
        <v>80</v>
      </c>
      <c r="AG226" s="360">
        <v>0</v>
      </c>
      <c r="AH226" s="360">
        <v>76</v>
      </c>
      <c r="AI226" s="361">
        <v>76</v>
      </c>
      <c r="AJ226" s="360">
        <v>0</v>
      </c>
      <c r="AK226" s="360">
        <v>0</v>
      </c>
      <c r="AL226" s="360">
        <v>74.252136017668846</v>
      </c>
      <c r="AM226" s="360">
        <v>74.252136017668846</v>
      </c>
      <c r="AN226" s="360">
        <v>0</v>
      </c>
      <c r="AO226" s="360">
        <v>0</v>
      </c>
      <c r="AP226" s="360">
        <v>70.901333475208986</v>
      </c>
      <c r="AQ226" s="360">
        <v>70.901333475208986</v>
      </c>
      <c r="AR226" s="360">
        <v>0</v>
      </c>
      <c r="AS226" s="360">
        <v>0</v>
      </c>
      <c r="AT226" s="360">
        <v>0</v>
      </c>
      <c r="AU226" s="360">
        <v>68.917246289829933</v>
      </c>
      <c r="AV226" s="360">
        <v>71.534975679562763</v>
      </c>
      <c r="AW226" s="360">
        <v>74.252136017668846</v>
      </c>
      <c r="AX226" s="360">
        <v>77.072504055684519</v>
      </c>
      <c r="AY226" s="360">
        <v>80</v>
      </c>
      <c r="AZ226" s="360">
        <v>66.144724849510396</v>
      </c>
      <c r="BA226" s="360">
        <v>68.481743510085067</v>
      </c>
      <c r="BB226" s="360">
        <v>70.901333475208986</v>
      </c>
      <c r="BC226" s="360">
        <v>73.406412145778404</v>
      </c>
      <c r="BD226" s="360">
        <v>76</v>
      </c>
      <c r="BE226" s="360">
        <v>0</v>
      </c>
      <c r="BF226" s="360">
        <v>0</v>
      </c>
      <c r="BG226" s="360">
        <v>0</v>
      </c>
      <c r="BH226" s="360">
        <v>0</v>
      </c>
      <c r="BI226" s="360">
        <v>0</v>
      </c>
      <c r="BJ226" s="362">
        <v>81.777394404749458</v>
      </c>
      <c r="BK226" s="362">
        <v>83.594277945374358</v>
      </c>
      <c r="BL226" s="362">
        <v>85.451527968989097</v>
      </c>
      <c r="BM226" s="363">
        <v>84.889721664039115</v>
      </c>
      <c r="BN226" s="363">
        <v>84.331608989054359</v>
      </c>
      <c r="BO226" s="363">
        <v>84.06231086516965</v>
      </c>
      <c r="BP226" s="363">
        <v>83.793872697360683</v>
      </c>
      <c r="BQ226" s="363">
        <v>83.526291739509361</v>
      </c>
      <c r="BR226" s="363">
        <v>83.259565254266832</v>
      </c>
      <c r="BS226" s="363">
        <v>82.99369051302547</v>
      </c>
      <c r="BT226" s="363">
        <v>83.60759217196518</v>
      </c>
      <c r="BU226" s="363">
        <v>84.226034841727738</v>
      </c>
      <c r="BV226" s="363">
        <v>84.849052112024154</v>
      </c>
      <c r="BW226" s="363">
        <v>85.476677821027408</v>
      </c>
      <c r="BX226" s="363">
        <v>86.108946057210332</v>
      </c>
      <c r="BY226" s="435">
        <v>86.456035450991635</v>
      </c>
      <c r="BZ226" s="435">
        <v>86.803124844772924</v>
      </c>
      <c r="CA226" s="435">
        <v>87.150214238554227</v>
      </c>
      <c r="CB226" s="435">
        <v>87.497303632335516</v>
      </c>
      <c r="CC226" s="363">
        <v>87.844393026116819</v>
      </c>
      <c r="CD226" s="435">
        <v>88.128903741019315</v>
      </c>
      <c r="CE226" s="435">
        <v>88.413414455921824</v>
      </c>
      <c r="CF226" s="435">
        <v>88.69792517082432</v>
      </c>
      <c r="CG226" s="435">
        <v>88.982435885726829</v>
      </c>
      <c r="CH226" s="363">
        <v>89.266946600629325</v>
      </c>
      <c r="CI226" s="362">
        <v>77.688524684511989</v>
      </c>
      <c r="CJ226" s="362">
        <v>79.414564048105632</v>
      </c>
      <c r="CK226" s="362">
        <v>81.178951570539638</v>
      </c>
      <c r="CL226" s="363">
        <v>80.645235580837152</v>
      </c>
      <c r="CM226" s="363">
        <v>80.115028539601639</v>
      </c>
      <c r="CN226" s="363">
        <v>79.859195321911159</v>
      </c>
      <c r="CO226" s="363">
        <v>79.604179062492648</v>
      </c>
      <c r="CP226" s="363">
        <v>79.349977152533882</v>
      </c>
      <c r="CQ226" s="363">
        <v>79.09658699155348</v>
      </c>
      <c r="CR226" s="363">
        <v>78.844005987374203</v>
      </c>
      <c r="CS226" s="363">
        <v>79.427212563366922</v>
      </c>
      <c r="CT226" s="363">
        <v>80.014733099641347</v>
      </c>
      <c r="CU226" s="363">
        <v>80.606599506422938</v>
      </c>
      <c r="CV226" s="363">
        <v>81.202843929976027</v>
      </c>
      <c r="CW226" s="363">
        <v>81.803498754349803</v>
      </c>
      <c r="CX226" s="435">
        <v>82.133233678442039</v>
      </c>
      <c r="CY226" s="435">
        <v>82.462968602534275</v>
      </c>
      <c r="CZ226" s="435">
        <v>82.792703526626497</v>
      </c>
      <c r="DA226" s="435">
        <v>83.122438450718732</v>
      </c>
      <c r="DB226" s="363">
        <v>83.452173374810968</v>
      </c>
      <c r="DC226" s="435">
        <v>83.722458553968352</v>
      </c>
      <c r="DD226" s="435">
        <v>83.992743733125721</v>
      </c>
      <c r="DE226" s="435">
        <v>84.263028912283104</v>
      </c>
      <c r="DF226" s="435">
        <v>84.533314091440474</v>
      </c>
      <c r="DG226" s="363">
        <v>84.803599270597857</v>
      </c>
      <c r="DH226" s="362">
        <v>0</v>
      </c>
      <c r="DI226" s="362">
        <v>0</v>
      </c>
      <c r="DJ226" s="362">
        <v>0</v>
      </c>
      <c r="DK226" s="363">
        <v>0</v>
      </c>
      <c r="DL226" s="363">
        <v>0</v>
      </c>
      <c r="DM226" s="363">
        <v>0</v>
      </c>
      <c r="DN226" s="363">
        <v>0</v>
      </c>
      <c r="DO226" s="363">
        <v>0</v>
      </c>
      <c r="DP226" s="363">
        <v>0</v>
      </c>
      <c r="DQ226" s="363">
        <v>0</v>
      </c>
      <c r="DR226" s="363">
        <v>0</v>
      </c>
      <c r="DS226" s="363">
        <v>0</v>
      </c>
      <c r="DT226" s="363">
        <v>0</v>
      </c>
      <c r="DU226" s="363">
        <v>0</v>
      </c>
      <c r="DV226" s="363">
        <v>0</v>
      </c>
      <c r="DW226" s="435">
        <v>0</v>
      </c>
      <c r="DX226" s="435">
        <v>0</v>
      </c>
      <c r="DY226" s="435">
        <v>0</v>
      </c>
      <c r="DZ226" s="435">
        <v>0</v>
      </c>
      <c r="EA226" s="363">
        <v>0</v>
      </c>
      <c r="EB226" s="435">
        <v>0</v>
      </c>
      <c r="EC226" s="435">
        <v>0</v>
      </c>
      <c r="ED226" s="435">
        <v>0</v>
      </c>
      <c r="EE226" s="435">
        <v>0</v>
      </c>
      <c r="EF226" s="363">
        <v>0</v>
      </c>
      <c r="EG226" s="364">
        <v>0</v>
      </c>
      <c r="EH226" s="364">
        <v>0</v>
      </c>
      <c r="EI226" s="364">
        <v>0</v>
      </c>
      <c r="EJ226" s="365">
        <v>0</v>
      </c>
      <c r="EK226" s="365">
        <v>0</v>
      </c>
      <c r="EL226" s="365">
        <v>0</v>
      </c>
      <c r="EM226" s="365">
        <v>0</v>
      </c>
      <c r="EN226" s="365">
        <v>0</v>
      </c>
      <c r="EO226" s="365">
        <v>0</v>
      </c>
      <c r="EP226" s="365">
        <v>0</v>
      </c>
      <c r="EQ226" s="365">
        <v>0</v>
      </c>
      <c r="ER226" s="365">
        <v>0</v>
      </c>
      <c r="ES226" s="365">
        <v>0</v>
      </c>
      <c r="ET226" s="365">
        <v>0</v>
      </c>
      <c r="EU226" s="365">
        <v>0</v>
      </c>
      <c r="EV226" s="436">
        <v>0</v>
      </c>
      <c r="EW226" s="436">
        <v>0</v>
      </c>
      <c r="EX226" s="436">
        <v>0</v>
      </c>
      <c r="EY226" s="436">
        <v>0</v>
      </c>
      <c r="EZ226" s="365">
        <v>0</v>
      </c>
      <c r="FA226" s="436">
        <v>0</v>
      </c>
      <c r="FB226" s="436">
        <v>0</v>
      </c>
      <c r="FC226" s="436">
        <v>0</v>
      </c>
      <c r="FD226" s="436">
        <v>0</v>
      </c>
      <c r="FE226" s="365">
        <v>0</v>
      </c>
      <c r="FF226" s="364">
        <v>0</v>
      </c>
      <c r="FG226" s="364">
        <v>0</v>
      </c>
      <c r="FH226" s="364">
        <v>0</v>
      </c>
      <c r="FI226" s="365">
        <v>0</v>
      </c>
      <c r="FJ226" s="365">
        <v>0</v>
      </c>
      <c r="FK226" s="365">
        <v>0</v>
      </c>
      <c r="FL226" s="365">
        <v>0</v>
      </c>
      <c r="FM226" s="365">
        <v>0</v>
      </c>
      <c r="FN226" s="365">
        <v>0</v>
      </c>
      <c r="FO226" s="365">
        <v>0</v>
      </c>
      <c r="FP226" s="365">
        <v>0</v>
      </c>
      <c r="FQ226" s="365">
        <v>0</v>
      </c>
      <c r="FR226" s="365">
        <v>0</v>
      </c>
      <c r="FS226" s="365">
        <v>0</v>
      </c>
      <c r="FT226" s="365">
        <v>0</v>
      </c>
      <c r="FU226" s="436">
        <v>0</v>
      </c>
      <c r="FV226" s="436">
        <v>0</v>
      </c>
      <c r="FW226" s="436">
        <v>0</v>
      </c>
      <c r="FX226" s="436">
        <v>0</v>
      </c>
      <c r="FY226" s="365">
        <v>0</v>
      </c>
      <c r="FZ226" s="436">
        <v>0</v>
      </c>
      <c r="GA226" s="436">
        <v>0</v>
      </c>
      <c r="GB226" s="436">
        <v>0</v>
      </c>
      <c r="GC226" s="436">
        <v>0</v>
      </c>
      <c r="GD226" s="365">
        <v>0</v>
      </c>
    </row>
    <row r="227" spans="1:186" ht="15" x14ac:dyDescent="0.25">
      <c r="A227" s="357">
        <v>119</v>
      </c>
      <c r="B227" s="357">
        <v>94</v>
      </c>
      <c r="C227" s="357" t="s">
        <v>1137</v>
      </c>
      <c r="D227" s="2">
        <v>99705</v>
      </c>
      <c r="E227" s="268" t="s">
        <v>218</v>
      </c>
      <c r="F227" s="358" t="s">
        <v>985</v>
      </c>
      <c r="G227" s="49">
        <v>114</v>
      </c>
      <c r="H227" s="49">
        <v>49</v>
      </c>
      <c r="I227" s="49">
        <v>46</v>
      </c>
      <c r="J227" s="49">
        <v>3</v>
      </c>
      <c r="K227" s="49">
        <v>1</v>
      </c>
      <c r="L227" s="49">
        <v>42</v>
      </c>
      <c r="M227" s="49">
        <v>43</v>
      </c>
      <c r="N227" s="49">
        <v>1</v>
      </c>
      <c r="O227" s="49">
        <v>0</v>
      </c>
      <c r="P227" s="49">
        <v>0</v>
      </c>
      <c r="Q227" s="49">
        <v>44</v>
      </c>
      <c r="R227" s="49">
        <v>4233</v>
      </c>
      <c r="S227" s="49">
        <v>2755.3809523809523</v>
      </c>
      <c r="T227" s="49">
        <v>2789.7441860465115</v>
      </c>
      <c r="U227" s="49">
        <v>15520</v>
      </c>
      <c r="V227" s="49">
        <v>0</v>
      </c>
      <c r="W227" s="49">
        <v>0</v>
      </c>
      <c r="X227" s="49">
        <v>3079.068181818182</v>
      </c>
      <c r="Y227" s="434">
        <v>119959</v>
      </c>
      <c r="Z227" s="434">
        <v>15520</v>
      </c>
      <c r="AA227" s="49">
        <v>1.1395348837209303</v>
      </c>
      <c r="AB227" s="49">
        <v>47.860465116279073</v>
      </c>
      <c r="AC227" s="49">
        <v>0</v>
      </c>
      <c r="AD227" s="285">
        <v>1</v>
      </c>
      <c r="AE227" s="285">
        <v>0</v>
      </c>
      <c r="AF227" s="359">
        <v>50</v>
      </c>
      <c r="AG227" s="360">
        <v>1.0697674418604652</v>
      </c>
      <c r="AH227" s="360">
        <v>44.930232558139537</v>
      </c>
      <c r="AI227" s="361">
        <v>46</v>
      </c>
      <c r="AJ227" s="360">
        <v>0</v>
      </c>
      <c r="AK227" s="360">
        <v>1.0576612397865619</v>
      </c>
      <c r="AL227" s="360">
        <v>44.421772071035605</v>
      </c>
      <c r="AM227" s="360">
        <v>45.479433310822166</v>
      </c>
      <c r="AN227" s="360">
        <v>0</v>
      </c>
      <c r="AO227" s="360">
        <v>0.99799918600355375</v>
      </c>
      <c r="AP227" s="360">
        <v>41.915965812149253</v>
      </c>
      <c r="AQ227" s="360">
        <v>42.913964998152807</v>
      </c>
      <c r="AR227" s="360">
        <v>0</v>
      </c>
      <c r="AS227" s="360">
        <v>0.94010766733490925</v>
      </c>
      <c r="AT227" s="360">
        <v>0</v>
      </c>
      <c r="AU227" s="360">
        <v>42.211813352520835</v>
      </c>
      <c r="AV227" s="360">
        <v>43.815172603732194</v>
      </c>
      <c r="AW227" s="360">
        <v>45.479433310822166</v>
      </c>
      <c r="AX227" s="360">
        <v>47.206908734106769</v>
      </c>
      <c r="AY227" s="360">
        <v>49</v>
      </c>
      <c r="AZ227" s="360">
        <v>40.034965040493134</v>
      </c>
      <c r="BA227" s="360">
        <v>41.449476335051493</v>
      </c>
      <c r="BB227" s="360">
        <v>42.913964998152807</v>
      </c>
      <c r="BC227" s="360">
        <v>44.430196825076401</v>
      </c>
      <c r="BD227" s="360">
        <v>46</v>
      </c>
      <c r="BE227" s="360">
        <v>0.88380242618188454</v>
      </c>
      <c r="BF227" s="360">
        <v>0.91152039870909352</v>
      </c>
      <c r="BG227" s="360">
        <v>0.94010766733490925</v>
      </c>
      <c r="BH227" s="360">
        <v>0.96959149508177378</v>
      </c>
      <c r="BI227" s="360">
        <v>1</v>
      </c>
      <c r="BJ227" s="362">
        <v>50.088654072909044</v>
      </c>
      <c r="BK227" s="362">
        <v>51.201495241541792</v>
      </c>
      <c r="BL227" s="362">
        <v>52.339060881005821</v>
      </c>
      <c r="BM227" s="363">
        <v>51.99495451922396</v>
      </c>
      <c r="BN227" s="363">
        <v>51.653110505795794</v>
      </c>
      <c r="BO227" s="363">
        <v>51.488165404916408</v>
      </c>
      <c r="BP227" s="363">
        <v>51.323747027133415</v>
      </c>
      <c r="BQ227" s="363">
        <v>51.159853690449481</v>
      </c>
      <c r="BR227" s="363">
        <v>50.99648371823843</v>
      </c>
      <c r="BS227" s="363">
        <v>50.833635439228104</v>
      </c>
      <c r="BT227" s="363">
        <v>51.209650205328671</v>
      </c>
      <c r="BU227" s="363">
        <v>51.588446340558242</v>
      </c>
      <c r="BV227" s="363">
        <v>51.970044418614791</v>
      </c>
      <c r="BW227" s="363">
        <v>52.354465165379288</v>
      </c>
      <c r="BX227" s="363">
        <v>52.74172946004132</v>
      </c>
      <c r="BY227" s="435">
        <v>52.954321713732362</v>
      </c>
      <c r="BZ227" s="435">
        <v>53.166913967423412</v>
      </c>
      <c r="CA227" s="435">
        <v>53.379506221114454</v>
      </c>
      <c r="CB227" s="435">
        <v>53.592098474805503</v>
      </c>
      <c r="CC227" s="363">
        <v>53.804690728496546</v>
      </c>
      <c r="CD227" s="435">
        <v>53.978953541374331</v>
      </c>
      <c r="CE227" s="435">
        <v>54.153216354252109</v>
      </c>
      <c r="CF227" s="435">
        <v>54.327479167129894</v>
      </c>
      <c r="CG227" s="435">
        <v>54.501741980007672</v>
      </c>
      <c r="CH227" s="363">
        <v>54.676004792885458</v>
      </c>
      <c r="CI227" s="362">
        <v>47.022001782730939</v>
      </c>
      <c r="CJ227" s="362">
        <v>48.066709818590255</v>
      </c>
      <c r="CK227" s="362">
        <v>49.13462858216873</v>
      </c>
      <c r="CL227" s="363">
        <v>48.811589956822488</v>
      </c>
      <c r="CM227" s="363">
        <v>48.490675168706261</v>
      </c>
      <c r="CN227" s="363">
        <v>48.335828747472547</v>
      </c>
      <c r="CO227" s="363">
        <v>48.181476800982388</v>
      </c>
      <c r="CP227" s="363">
        <v>48.027617750217878</v>
      </c>
      <c r="CQ227" s="363">
        <v>47.874250021203423</v>
      </c>
      <c r="CR227" s="363">
        <v>47.72137204498965</v>
      </c>
      <c r="CS227" s="363">
        <v>48.074365498879978</v>
      </c>
      <c r="CT227" s="363">
        <v>48.429970033993449</v>
      </c>
      <c r="CU227" s="363">
        <v>48.788204964413886</v>
      </c>
      <c r="CV227" s="363">
        <v>49.149089747090756</v>
      </c>
      <c r="CW227" s="363">
        <v>49.512643982895938</v>
      </c>
      <c r="CX227" s="435">
        <v>49.712220384320183</v>
      </c>
      <c r="CY227" s="435">
        <v>49.911796785744428</v>
      </c>
      <c r="CZ227" s="435">
        <v>50.111373187168674</v>
      </c>
      <c r="DA227" s="435">
        <v>50.310949588592919</v>
      </c>
      <c r="DB227" s="363">
        <v>50.510525990017165</v>
      </c>
      <c r="DC227" s="435">
        <v>50.674119651086102</v>
      </c>
      <c r="DD227" s="435">
        <v>50.837713312155039</v>
      </c>
      <c r="DE227" s="435">
        <v>51.001306973223983</v>
      </c>
      <c r="DF227" s="435">
        <v>51.16490063429292</v>
      </c>
      <c r="DG227" s="363">
        <v>51.328494295361857</v>
      </c>
      <c r="DH227" s="362">
        <v>1.0222174300593683</v>
      </c>
      <c r="DI227" s="362">
        <v>1.0449284743171794</v>
      </c>
      <c r="DJ227" s="362">
        <v>1.0681440996123637</v>
      </c>
      <c r="DK227" s="363">
        <v>1.0611215208004889</v>
      </c>
      <c r="DL227" s="363">
        <v>1.0541451123631795</v>
      </c>
      <c r="DM227" s="363">
        <v>1.0507788858146205</v>
      </c>
      <c r="DN227" s="363">
        <v>1.0474234087170085</v>
      </c>
      <c r="DO227" s="363">
        <v>1.044078646743867</v>
      </c>
      <c r="DP227" s="363">
        <v>1.0407445656783352</v>
      </c>
      <c r="DQ227" s="363">
        <v>1.0374211314128183</v>
      </c>
      <c r="DR227" s="363">
        <v>1.0450949021495648</v>
      </c>
      <c r="DS227" s="363">
        <v>1.0528254355215967</v>
      </c>
      <c r="DT227" s="363">
        <v>1.0606131514003019</v>
      </c>
      <c r="DU227" s="363">
        <v>1.0684584727628426</v>
      </c>
      <c r="DV227" s="363">
        <v>1.0763618257151291</v>
      </c>
      <c r="DW227" s="435">
        <v>1.0807004431373952</v>
      </c>
      <c r="DX227" s="435">
        <v>1.0850390605596614</v>
      </c>
      <c r="DY227" s="435">
        <v>1.0893776779819278</v>
      </c>
      <c r="DZ227" s="435">
        <v>1.0937162954041939</v>
      </c>
      <c r="EA227" s="363">
        <v>1.0980549128264601</v>
      </c>
      <c r="EB227" s="435">
        <v>1.1016112967627414</v>
      </c>
      <c r="EC227" s="435">
        <v>1.1051676806990227</v>
      </c>
      <c r="ED227" s="435">
        <v>1.1087240646353038</v>
      </c>
      <c r="EE227" s="435">
        <v>1.1122804485715851</v>
      </c>
      <c r="EF227" s="363">
        <v>1.1158368325078665</v>
      </c>
      <c r="EG227" s="364">
        <v>0</v>
      </c>
      <c r="EH227" s="364">
        <v>0</v>
      </c>
      <c r="EI227" s="364">
        <v>0</v>
      </c>
      <c r="EJ227" s="365">
        <v>0</v>
      </c>
      <c r="EK227" s="365">
        <v>0</v>
      </c>
      <c r="EL227" s="365">
        <v>0</v>
      </c>
      <c r="EM227" s="365">
        <v>0</v>
      </c>
      <c r="EN227" s="365">
        <v>0</v>
      </c>
      <c r="EO227" s="365">
        <v>0</v>
      </c>
      <c r="EP227" s="365">
        <v>0</v>
      </c>
      <c r="EQ227" s="365">
        <v>0</v>
      </c>
      <c r="ER227" s="365">
        <v>0</v>
      </c>
      <c r="ES227" s="365">
        <v>0</v>
      </c>
      <c r="ET227" s="365">
        <v>0</v>
      </c>
      <c r="EU227" s="365">
        <v>0</v>
      </c>
      <c r="EV227" s="436">
        <v>0</v>
      </c>
      <c r="EW227" s="436">
        <v>0</v>
      </c>
      <c r="EX227" s="436">
        <v>0</v>
      </c>
      <c r="EY227" s="436">
        <v>0</v>
      </c>
      <c r="EZ227" s="365">
        <v>0</v>
      </c>
      <c r="FA227" s="436">
        <v>0</v>
      </c>
      <c r="FB227" s="436">
        <v>0</v>
      </c>
      <c r="FC227" s="436">
        <v>0</v>
      </c>
      <c r="FD227" s="436">
        <v>0</v>
      </c>
      <c r="FE227" s="365">
        <v>0</v>
      </c>
      <c r="FF227" s="364">
        <v>0</v>
      </c>
      <c r="FG227" s="364">
        <v>0</v>
      </c>
      <c r="FH227" s="364">
        <v>0</v>
      </c>
      <c r="FI227" s="365">
        <v>0</v>
      </c>
      <c r="FJ227" s="365">
        <v>0</v>
      </c>
      <c r="FK227" s="365">
        <v>0</v>
      </c>
      <c r="FL227" s="365">
        <v>0</v>
      </c>
      <c r="FM227" s="365">
        <v>0</v>
      </c>
      <c r="FN227" s="365">
        <v>0</v>
      </c>
      <c r="FO227" s="365">
        <v>0</v>
      </c>
      <c r="FP227" s="365">
        <v>0</v>
      </c>
      <c r="FQ227" s="365">
        <v>0</v>
      </c>
      <c r="FR227" s="365">
        <v>0</v>
      </c>
      <c r="FS227" s="365">
        <v>0</v>
      </c>
      <c r="FT227" s="365">
        <v>0</v>
      </c>
      <c r="FU227" s="436">
        <v>0</v>
      </c>
      <c r="FV227" s="436">
        <v>0</v>
      </c>
      <c r="FW227" s="436">
        <v>0</v>
      </c>
      <c r="FX227" s="436">
        <v>0</v>
      </c>
      <c r="FY227" s="365">
        <v>0</v>
      </c>
      <c r="FZ227" s="436">
        <v>0</v>
      </c>
      <c r="GA227" s="436">
        <v>0</v>
      </c>
      <c r="GB227" s="436">
        <v>0</v>
      </c>
      <c r="GC227" s="436">
        <v>0</v>
      </c>
      <c r="GD227" s="365">
        <v>0</v>
      </c>
    </row>
    <row r="228" spans="1:186" ht="15" x14ac:dyDescent="0.25">
      <c r="A228" s="357">
        <v>120</v>
      </c>
      <c r="B228" s="357">
        <v>94</v>
      </c>
      <c r="C228" s="357" t="s">
        <v>1138</v>
      </c>
      <c r="D228" s="2">
        <v>99705</v>
      </c>
      <c r="E228" s="268" t="s">
        <v>218</v>
      </c>
      <c r="F228" s="358" t="s">
        <v>985</v>
      </c>
      <c r="G228" s="49">
        <v>31</v>
      </c>
      <c r="H228" s="49">
        <v>24</v>
      </c>
      <c r="I228" s="49">
        <v>18</v>
      </c>
      <c r="J228" s="49">
        <v>6</v>
      </c>
      <c r="K228" s="49">
        <v>0</v>
      </c>
      <c r="L228" s="49">
        <v>24</v>
      </c>
      <c r="M228" s="49">
        <v>24</v>
      </c>
      <c r="N228" s="49">
        <v>2</v>
      </c>
      <c r="O228" s="49">
        <v>0</v>
      </c>
      <c r="P228" s="49">
        <v>0</v>
      </c>
      <c r="Q228" s="49">
        <v>26</v>
      </c>
      <c r="R228" s="49">
        <v>0</v>
      </c>
      <c r="S228" s="49">
        <v>2149.625</v>
      </c>
      <c r="T228" s="49">
        <v>2149.625</v>
      </c>
      <c r="U228" s="49">
        <v>19469</v>
      </c>
      <c r="V228" s="49">
        <v>0</v>
      </c>
      <c r="W228" s="49">
        <v>0</v>
      </c>
      <c r="X228" s="49">
        <v>3481.8846153846152</v>
      </c>
      <c r="Y228" s="434">
        <v>51591</v>
      </c>
      <c r="Z228" s="434">
        <v>38938</v>
      </c>
      <c r="AA228" s="49">
        <v>0</v>
      </c>
      <c r="AB228" s="49">
        <v>24</v>
      </c>
      <c r="AC228" s="49">
        <v>0</v>
      </c>
      <c r="AD228" s="285">
        <v>2</v>
      </c>
      <c r="AE228" s="285">
        <v>0</v>
      </c>
      <c r="AF228" s="359">
        <v>26</v>
      </c>
      <c r="AG228" s="360">
        <v>0</v>
      </c>
      <c r="AH228" s="360">
        <v>18</v>
      </c>
      <c r="AI228" s="361">
        <v>18</v>
      </c>
      <c r="AJ228" s="360">
        <v>0</v>
      </c>
      <c r="AK228" s="360">
        <v>0</v>
      </c>
      <c r="AL228" s="360">
        <v>22.275640805300654</v>
      </c>
      <c r="AM228" s="360">
        <v>22.275640805300654</v>
      </c>
      <c r="AN228" s="360">
        <v>0</v>
      </c>
      <c r="AO228" s="360">
        <v>0</v>
      </c>
      <c r="AP228" s="360">
        <v>16.792421086233706</v>
      </c>
      <c r="AQ228" s="360">
        <v>16.792421086233706</v>
      </c>
      <c r="AR228" s="360">
        <v>0</v>
      </c>
      <c r="AS228" s="360">
        <v>1.8802153346698185</v>
      </c>
      <c r="AT228" s="360">
        <v>0</v>
      </c>
      <c r="AU228" s="360">
        <v>20.675173886948979</v>
      </c>
      <c r="AV228" s="360">
        <v>21.46049270386883</v>
      </c>
      <c r="AW228" s="360">
        <v>22.275640805300654</v>
      </c>
      <c r="AX228" s="360">
        <v>23.121751216705356</v>
      </c>
      <c r="AY228" s="360">
        <v>24</v>
      </c>
      <c r="AZ228" s="360">
        <v>15.665855885410357</v>
      </c>
      <c r="BA228" s="360">
        <v>16.21936030502015</v>
      </c>
      <c r="BB228" s="360">
        <v>16.792421086233706</v>
      </c>
      <c r="BC228" s="360">
        <v>17.385729192421202</v>
      </c>
      <c r="BD228" s="360">
        <v>18</v>
      </c>
      <c r="BE228" s="360">
        <v>1.7676048523637691</v>
      </c>
      <c r="BF228" s="360">
        <v>1.823040797418187</v>
      </c>
      <c r="BG228" s="360">
        <v>1.8802153346698185</v>
      </c>
      <c r="BH228" s="360">
        <v>1.9391829901635476</v>
      </c>
      <c r="BI228" s="360">
        <v>2</v>
      </c>
      <c r="BJ228" s="362">
        <v>24.53321832142484</v>
      </c>
      <c r="BK228" s="362">
        <v>25.078283383612305</v>
      </c>
      <c r="BL228" s="362">
        <v>25.635458390696726</v>
      </c>
      <c r="BM228" s="363">
        <v>25.466916499211731</v>
      </c>
      <c r="BN228" s="363">
        <v>25.299482696716307</v>
      </c>
      <c r="BO228" s="363">
        <v>25.218693259550889</v>
      </c>
      <c r="BP228" s="363">
        <v>25.138161809208203</v>
      </c>
      <c r="BQ228" s="363">
        <v>25.057887521852805</v>
      </c>
      <c r="BR228" s="363">
        <v>24.977869576280046</v>
      </c>
      <c r="BS228" s="363">
        <v>24.898107153907642</v>
      </c>
      <c r="BT228" s="363">
        <v>25.082277651589553</v>
      </c>
      <c r="BU228" s="363">
        <v>25.267810452518319</v>
      </c>
      <c r="BV228" s="363">
        <v>25.45471563360724</v>
      </c>
      <c r="BW228" s="363">
        <v>25.64300334630822</v>
      </c>
      <c r="BX228" s="363">
        <v>25.832683817163094</v>
      </c>
      <c r="BY228" s="435">
        <v>25.936810635297483</v>
      </c>
      <c r="BZ228" s="435">
        <v>26.040937453431873</v>
      </c>
      <c r="CA228" s="435">
        <v>26.145064271566262</v>
      </c>
      <c r="CB228" s="435">
        <v>26.249191089700652</v>
      </c>
      <c r="CC228" s="363">
        <v>26.353317907835041</v>
      </c>
      <c r="CD228" s="435">
        <v>26.438671122305792</v>
      </c>
      <c r="CE228" s="435">
        <v>26.524024336776542</v>
      </c>
      <c r="CF228" s="435">
        <v>26.609377551247292</v>
      </c>
      <c r="CG228" s="435">
        <v>26.694730765718042</v>
      </c>
      <c r="CH228" s="363">
        <v>26.780083980188792</v>
      </c>
      <c r="CI228" s="362">
        <v>18.39991374106863</v>
      </c>
      <c r="CJ228" s="362">
        <v>18.80871253770923</v>
      </c>
      <c r="CK228" s="362">
        <v>19.226593793022545</v>
      </c>
      <c r="CL228" s="363">
        <v>19.100187374408797</v>
      </c>
      <c r="CM228" s="363">
        <v>18.974612022537229</v>
      </c>
      <c r="CN228" s="363">
        <v>18.914019944663167</v>
      </c>
      <c r="CO228" s="363">
        <v>18.853621356906149</v>
      </c>
      <c r="CP228" s="363">
        <v>18.793415641389604</v>
      </c>
      <c r="CQ228" s="363">
        <v>18.733402182210035</v>
      </c>
      <c r="CR228" s="363">
        <v>18.67358036543073</v>
      </c>
      <c r="CS228" s="363">
        <v>18.811708238692162</v>
      </c>
      <c r="CT228" s="363">
        <v>18.950857839388739</v>
      </c>
      <c r="CU228" s="363">
        <v>19.091036725205431</v>
      </c>
      <c r="CV228" s="363">
        <v>19.232252509731165</v>
      </c>
      <c r="CW228" s="363">
        <v>19.374512862872322</v>
      </c>
      <c r="CX228" s="435">
        <v>19.452607976473114</v>
      </c>
      <c r="CY228" s="435">
        <v>19.530703090073906</v>
      </c>
      <c r="CZ228" s="435">
        <v>19.608798203674695</v>
      </c>
      <c r="DA228" s="435">
        <v>19.686893317275487</v>
      </c>
      <c r="DB228" s="363">
        <v>19.764988430876279</v>
      </c>
      <c r="DC228" s="435">
        <v>19.829003341729344</v>
      </c>
      <c r="DD228" s="435">
        <v>19.893018252582404</v>
      </c>
      <c r="DE228" s="435">
        <v>19.957033163435469</v>
      </c>
      <c r="DF228" s="435">
        <v>20.02104807428853</v>
      </c>
      <c r="DG228" s="363">
        <v>20.085062985141594</v>
      </c>
      <c r="DH228" s="362">
        <v>2.0444348601187365</v>
      </c>
      <c r="DI228" s="362">
        <v>2.0898569486343588</v>
      </c>
      <c r="DJ228" s="362">
        <v>2.1362881992247273</v>
      </c>
      <c r="DK228" s="363">
        <v>2.1222430416009779</v>
      </c>
      <c r="DL228" s="363">
        <v>2.1082902247263591</v>
      </c>
      <c r="DM228" s="363">
        <v>2.1015577716292411</v>
      </c>
      <c r="DN228" s="363">
        <v>2.0948468174340169</v>
      </c>
      <c r="DO228" s="363">
        <v>2.0881572934877339</v>
      </c>
      <c r="DP228" s="363">
        <v>2.0814891313566704</v>
      </c>
      <c r="DQ228" s="363">
        <v>2.0748422628256367</v>
      </c>
      <c r="DR228" s="363">
        <v>2.0901898042991296</v>
      </c>
      <c r="DS228" s="363">
        <v>2.1056508710431934</v>
      </c>
      <c r="DT228" s="363">
        <v>2.1212263028006038</v>
      </c>
      <c r="DU228" s="363">
        <v>2.1369169455256851</v>
      </c>
      <c r="DV228" s="363">
        <v>2.1527236514302581</v>
      </c>
      <c r="DW228" s="435">
        <v>2.1614008862747904</v>
      </c>
      <c r="DX228" s="435">
        <v>2.1700781211193227</v>
      </c>
      <c r="DY228" s="435">
        <v>2.1787553559638555</v>
      </c>
      <c r="DZ228" s="435">
        <v>2.1874325908083878</v>
      </c>
      <c r="EA228" s="363">
        <v>2.1961098256529201</v>
      </c>
      <c r="EB228" s="435">
        <v>2.2032225935254828</v>
      </c>
      <c r="EC228" s="435">
        <v>2.2103353613980454</v>
      </c>
      <c r="ED228" s="435">
        <v>2.2174481292706076</v>
      </c>
      <c r="EE228" s="435">
        <v>2.2245608971431703</v>
      </c>
      <c r="EF228" s="363">
        <v>2.2316736650157329</v>
      </c>
      <c r="EG228" s="364">
        <v>0</v>
      </c>
      <c r="EH228" s="364">
        <v>0</v>
      </c>
      <c r="EI228" s="364">
        <v>0</v>
      </c>
      <c r="EJ228" s="365">
        <v>0</v>
      </c>
      <c r="EK228" s="365">
        <v>0</v>
      </c>
      <c r="EL228" s="365">
        <v>0</v>
      </c>
      <c r="EM228" s="365">
        <v>0</v>
      </c>
      <c r="EN228" s="365">
        <v>0</v>
      </c>
      <c r="EO228" s="365">
        <v>0</v>
      </c>
      <c r="EP228" s="365">
        <v>0</v>
      </c>
      <c r="EQ228" s="365">
        <v>0</v>
      </c>
      <c r="ER228" s="365">
        <v>0</v>
      </c>
      <c r="ES228" s="365">
        <v>0</v>
      </c>
      <c r="ET228" s="365">
        <v>0</v>
      </c>
      <c r="EU228" s="365">
        <v>0</v>
      </c>
      <c r="EV228" s="436">
        <v>0</v>
      </c>
      <c r="EW228" s="436">
        <v>0</v>
      </c>
      <c r="EX228" s="436">
        <v>0</v>
      </c>
      <c r="EY228" s="436">
        <v>0</v>
      </c>
      <c r="EZ228" s="365">
        <v>0</v>
      </c>
      <c r="FA228" s="436">
        <v>0</v>
      </c>
      <c r="FB228" s="436">
        <v>0</v>
      </c>
      <c r="FC228" s="436">
        <v>0</v>
      </c>
      <c r="FD228" s="436">
        <v>0</v>
      </c>
      <c r="FE228" s="365">
        <v>0</v>
      </c>
      <c r="FF228" s="364">
        <v>0</v>
      </c>
      <c r="FG228" s="364">
        <v>0</v>
      </c>
      <c r="FH228" s="364">
        <v>0</v>
      </c>
      <c r="FI228" s="365">
        <v>0</v>
      </c>
      <c r="FJ228" s="365">
        <v>0</v>
      </c>
      <c r="FK228" s="365">
        <v>0</v>
      </c>
      <c r="FL228" s="365">
        <v>0</v>
      </c>
      <c r="FM228" s="365">
        <v>0</v>
      </c>
      <c r="FN228" s="365">
        <v>0</v>
      </c>
      <c r="FO228" s="365">
        <v>0</v>
      </c>
      <c r="FP228" s="365">
        <v>0</v>
      </c>
      <c r="FQ228" s="365">
        <v>0</v>
      </c>
      <c r="FR228" s="365">
        <v>0</v>
      </c>
      <c r="FS228" s="365">
        <v>0</v>
      </c>
      <c r="FT228" s="365">
        <v>0</v>
      </c>
      <c r="FU228" s="436">
        <v>0</v>
      </c>
      <c r="FV228" s="436">
        <v>0</v>
      </c>
      <c r="FW228" s="436">
        <v>0</v>
      </c>
      <c r="FX228" s="436">
        <v>0</v>
      </c>
      <c r="FY228" s="365">
        <v>0</v>
      </c>
      <c r="FZ228" s="436">
        <v>0</v>
      </c>
      <c r="GA228" s="436">
        <v>0</v>
      </c>
      <c r="GB228" s="436">
        <v>0</v>
      </c>
      <c r="GC228" s="436">
        <v>0</v>
      </c>
      <c r="GD228" s="365">
        <v>0</v>
      </c>
    </row>
    <row r="229" spans="1:186" ht="15" x14ac:dyDescent="0.25">
      <c r="A229" s="357">
        <v>121</v>
      </c>
      <c r="B229" s="357">
        <v>94</v>
      </c>
      <c r="C229" s="357" t="s">
        <v>1139</v>
      </c>
      <c r="D229" s="2">
        <v>99705</v>
      </c>
      <c r="E229" s="268" t="s">
        <v>218</v>
      </c>
      <c r="F229" s="358" t="s">
        <v>985</v>
      </c>
      <c r="G229" s="49">
        <v>92</v>
      </c>
      <c r="H229" s="49">
        <v>53</v>
      </c>
      <c r="I229" s="49">
        <v>40</v>
      </c>
      <c r="J229" s="49">
        <v>13</v>
      </c>
      <c r="K229" s="49">
        <v>0</v>
      </c>
      <c r="L229" s="49">
        <v>8</v>
      </c>
      <c r="M229" s="49">
        <v>8</v>
      </c>
      <c r="N229" s="49">
        <v>1</v>
      </c>
      <c r="O229" s="49">
        <v>0</v>
      </c>
      <c r="P229" s="49">
        <v>0</v>
      </c>
      <c r="Q229" s="49">
        <v>9</v>
      </c>
      <c r="R229" s="49">
        <v>0</v>
      </c>
      <c r="S229" s="49">
        <v>2168.625</v>
      </c>
      <c r="T229" s="49">
        <v>2168.625</v>
      </c>
      <c r="U229" s="49">
        <v>6760</v>
      </c>
      <c r="V229" s="49">
        <v>0</v>
      </c>
      <c r="W229" s="49">
        <v>0</v>
      </c>
      <c r="X229" s="49">
        <v>2678.7777777777778</v>
      </c>
      <c r="Y229" s="434">
        <v>17349</v>
      </c>
      <c r="Z229" s="434">
        <v>6760</v>
      </c>
      <c r="AA229" s="49">
        <v>0</v>
      </c>
      <c r="AB229" s="49">
        <v>53</v>
      </c>
      <c r="AC229" s="49">
        <v>0</v>
      </c>
      <c r="AD229" s="285">
        <v>1</v>
      </c>
      <c r="AE229" s="285">
        <v>0</v>
      </c>
      <c r="AF229" s="359">
        <v>54</v>
      </c>
      <c r="AG229" s="360">
        <v>0</v>
      </c>
      <c r="AH229" s="360">
        <v>40</v>
      </c>
      <c r="AI229" s="361">
        <v>40</v>
      </c>
      <c r="AJ229" s="360">
        <v>0</v>
      </c>
      <c r="AK229" s="360">
        <v>0</v>
      </c>
      <c r="AL229" s="360">
        <v>49.192040111705609</v>
      </c>
      <c r="AM229" s="360">
        <v>49.192040111705609</v>
      </c>
      <c r="AN229" s="360">
        <v>0</v>
      </c>
      <c r="AO229" s="360">
        <v>0</v>
      </c>
      <c r="AP229" s="360">
        <v>37.316491302741575</v>
      </c>
      <c r="AQ229" s="360">
        <v>37.316491302741575</v>
      </c>
      <c r="AR229" s="360">
        <v>0</v>
      </c>
      <c r="AS229" s="360">
        <v>0.94010766733490925</v>
      </c>
      <c r="AT229" s="360">
        <v>0</v>
      </c>
      <c r="AU229" s="360">
        <v>45.657675667012334</v>
      </c>
      <c r="AV229" s="360">
        <v>47.391921387710333</v>
      </c>
      <c r="AW229" s="360">
        <v>49.192040111705609</v>
      </c>
      <c r="AX229" s="360">
        <v>51.060533936890998</v>
      </c>
      <c r="AY229" s="360">
        <v>53</v>
      </c>
      <c r="AZ229" s="360">
        <v>34.813013078689679</v>
      </c>
      <c r="BA229" s="360">
        <v>36.043022900044775</v>
      </c>
      <c r="BB229" s="360">
        <v>37.316491302741575</v>
      </c>
      <c r="BC229" s="360">
        <v>38.634953760936</v>
      </c>
      <c r="BD229" s="360">
        <v>40</v>
      </c>
      <c r="BE229" s="360">
        <v>0.88380242618188454</v>
      </c>
      <c r="BF229" s="360">
        <v>0.91152039870909352</v>
      </c>
      <c r="BG229" s="360">
        <v>0.94010766733490925</v>
      </c>
      <c r="BH229" s="360">
        <v>0.96959149508177378</v>
      </c>
      <c r="BI229" s="360">
        <v>1</v>
      </c>
      <c r="BJ229" s="362">
        <v>53.863449256578917</v>
      </c>
      <c r="BK229" s="362">
        <v>54.740965392755697</v>
      </c>
      <c r="BL229" s="362">
        <v>55.632777579034695</v>
      </c>
      <c r="BM229" s="363">
        <v>55.267016475065624</v>
      </c>
      <c r="BN229" s="363">
        <v>54.903660089879217</v>
      </c>
      <c r="BO229" s="363">
        <v>54.728334932042756</v>
      </c>
      <c r="BP229" s="363">
        <v>54.553569644184364</v>
      </c>
      <c r="BQ229" s="363">
        <v>54.379362438457974</v>
      </c>
      <c r="BR229" s="363">
        <v>54.20571153272671</v>
      </c>
      <c r="BS229" s="363">
        <v>54.032615150544629</v>
      </c>
      <c r="BT229" s="363">
        <v>54.432292666663322</v>
      </c>
      <c r="BU229" s="363">
        <v>54.834926584511713</v>
      </c>
      <c r="BV229" s="363">
        <v>55.240538772498276</v>
      </c>
      <c r="BW229" s="363">
        <v>55.649151260791456</v>
      </c>
      <c r="BX229" s="363">
        <v>56.060786242516038</v>
      </c>
      <c r="BY229" s="435">
        <v>56.286757006330639</v>
      </c>
      <c r="BZ229" s="435">
        <v>56.512727770145233</v>
      </c>
      <c r="CA229" s="435">
        <v>56.738698533959834</v>
      </c>
      <c r="CB229" s="435">
        <v>56.964669297774428</v>
      </c>
      <c r="CC229" s="363">
        <v>57.190640061589029</v>
      </c>
      <c r="CD229" s="435">
        <v>57.375869298528677</v>
      </c>
      <c r="CE229" s="435">
        <v>57.561098535468325</v>
      </c>
      <c r="CF229" s="435">
        <v>57.74632777240798</v>
      </c>
      <c r="CG229" s="435">
        <v>57.931557009347628</v>
      </c>
      <c r="CH229" s="363">
        <v>58.116786246287276</v>
      </c>
      <c r="CI229" s="362">
        <v>40.651659816285971</v>
      </c>
      <c r="CJ229" s="362">
        <v>41.313936145475992</v>
      </c>
      <c r="CK229" s="362">
        <v>41.987001946441282</v>
      </c>
      <c r="CL229" s="363">
        <v>41.710955830238206</v>
      </c>
      <c r="CM229" s="363">
        <v>41.436724596135264</v>
      </c>
      <c r="CN229" s="363">
        <v>41.304403722296421</v>
      </c>
      <c r="CO229" s="363">
        <v>41.172505391837255</v>
      </c>
      <c r="CP229" s="363">
        <v>41.041028255439983</v>
      </c>
      <c r="CQ229" s="363">
        <v>40.909970968095635</v>
      </c>
      <c r="CR229" s="363">
        <v>40.77933218909029</v>
      </c>
      <c r="CS229" s="363">
        <v>41.080975597481761</v>
      </c>
      <c r="CT229" s="363">
        <v>41.384850252461668</v>
      </c>
      <c r="CU229" s="363">
        <v>41.690972658489272</v>
      </c>
      <c r="CV229" s="363">
        <v>41.999359442106758</v>
      </c>
      <c r="CW229" s="363">
        <v>42.310027352842297</v>
      </c>
      <c r="CX229" s="435">
        <v>42.480571325532559</v>
      </c>
      <c r="CY229" s="435">
        <v>42.65111529822282</v>
      </c>
      <c r="CZ229" s="435">
        <v>42.821659270913088</v>
      </c>
      <c r="DA229" s="435">
        <v>42.992203243603349</v>
      </c>
      <c r="DB229" s="363">
        <v>43.16274721629361</v>
      </c>
      <c r="DC229" s="435">
        <v>43.3025428668141</v>
      </c>
      <c r="DD229" s="435">
        <v>43.442338517334591</v>
      </c>
      <c r="DE229" s="435">
        <v>43.582134167855081</v>
      </c>
      <c r="DF229" s="435">
        <v>43.721929818375571</v>
      </c>
      <c r="DG229" s="363">
        <v>43.861725468896061</v>
      </c>
      <c r="DH229" s="362">
        <v>1.0162914954071494</v>
      </c>
      <c r="DI229" s="362">
        <v>1.0328484036368999</v>
      </c>
      <c r="DJ229" s="362">
        <v>1.049675048661032</v>
      </c>
      <c r="DK229" s="363">
        <v>1.0427738957559551</v>
      </c>
      <c r="DL229" s="363">
        <v>1.0359181149033816</v>
      </c>
      <c r="DM229" s="363">
        <v>1.0326100930574105</v>
      </c>
      <c r="DN229" s="363">
        <v>1.0293126347959314</v>
      </c>
      <c r="DO229" s="363">
        <v>1.0260257063859997</v>
      </c>
      <c r="DP229" s="363">
        <v>1.0227492742023909</v>
      </c>
      <c r="DQ229" s="363">
        <v>1.0194833047272571</v>
      </c>
      <c r="DR229" s="363">
        <v>1.0270243899370439</v>
      </c>
      <c r="DS229" s="363">
        <v>1.0346212563115418</v>
      </c>
      <c r="DT229" s="363">
        <v>1.0422743164622317</v>
      </c>
      <c r="DU229" s="363">
        <v>1.049983986052669</v>
      </c>
      <c r="DV229" s="363">
        <v>1.0577506838210573</v>
      </c>
      <c r="DW229" s="435">
        <v>1.0620142831383139</v>
      </c>
      <c r="DX229" s="435">
        <v>1.0662778824555705</v>
      </c>
      <c r="DY229" s="435">
        <v>1.0705414817728269</v>
      </c>
      <c r="DZ229" s="435">
        <v>1.0748050810900835</v>
      </c>
      <c r="EA229" s="363">
        <v>1.0790686804073402</v>
      </c>
      <c r="EB229" s="435">
        <v>1.0825635716703523</v>
      </c>
      <c r="EC229" s="435">
        <v>1.0860584629333647</v>
      </c>
      <c r="ED229" s="435">
        <v>1.0895533541963769</v>
      </c>
      <c r="EE229" s="435">
        <v>1.0930482454593893</v>
      </c>
      <c r="EF229" s="363">
        <v>1.0965431367224014</v>
      </c>
      <c r="EG229" s="364">
        <v>0</v>
      </c>
      <c r="EH229" s="364">
        <v>0</v>
      </c>
      <c r="EI229" s="364">
        <v>0</v>
      </c>
      <c r="EJ229" s="365">
        <v>0</v>
      </c>
      <c r="EK229" s="365">
        <v>0</v>
      </c>
      <c r="EL229" s="365">
        <v>0</v>
      </c>
      <c r="EM229" s="365">
        <v>0</v>
      </c>
      <c r="EN229" s="365">
        <v>0</v>
      </c>
      <c r="EO229" s="365">
        <v>0</v>
      </c>
      <c r="EP229" s="365">
        <v>0</v>
      </c>
      <c r="EQ229" s="365">
        <v>0</v>
      </c>
      <c r="ER229" s="365">
        <v>0</v>
      </c>
      <c r="ES229" s="365">
        <v>0</v>
      </c>
      <c r="ET229" s="365">
        <v>0</v>
      </c>
      <c r="EU229" s="365">
        <v>0</v>
      </c>
      <c r="EV229" s="436">
        <v>0</v>
      </c>
      <c r="EW229" s="436">
        <v>0</v>
      </c>
      <c r="EX229" s="436">
        <v>0</v>
      </c>
      <c r="EY229" s="436">
        <v>0</v>
      </c>
      <c r="EZ229" s="365">
        <v>0</v>
      </c>
      <c r="FA229" s="436">
        <v>0</v>
      </c>
      <c r="FB229" s="436">
        <v>0</v>
      </c>
      <c r="FC229" s="436">
        <v>0</v>
      </c>
      <c r="FD229" s="436">
        <v>0</v>
      </c>
      <c r="FE229" s="365">
        <v>0</v>
      </c>
      <c r="FF229" s="364">
        <v>0</v>
      </c>
      <c r="FG229" s="364">
        <v>0</v>
      </c>
      <c r="FH229" s="364">
        <v>0</v>
      </c>
      <c r="FI229" s="365">
        <v>0</v>
      </c>
      <c r="FJ229" s="365">
        <v>0</v>
      </c>
      <c r="FK229" s="365">
        <v>0</v>
      </c>
      <c r="FL229" s="365">
        <v>0</v>
      </c>
      <c r="FM229" s="365">
        <v>0</v>
      </c>
      <c r="FN229" s="365">
        <v>0</v>
      </c>
      <c r="FO229" s="365">
        <v>0</v>
      </c>
      <c r="FP229" s="365">
        <v>0</v>
      </c>
      <c r="FQ229" s="365">
        <v>0</v>
      </c>
      <c r="FR229" s="365">
        <v>0</v>
      </c>
      <c r="FS229" s="365">
        <v>0</v>
      </c>
      <c r="FT229" s="365">
        <v>0</v>
      </c>
      <c r="FU229" s="436">
        <v>0</v>
      </c>
      <c r="FV229" s="436">
        <v>0</v>
      </c>
      <c r="FW229" s="436">
        <v>0</v>
      </c>
      <c r="FX229" s="436">
        <v>0</v>
      </c>
      <c r="FY229" s="365">
        <v>0</v>
      </c>
      <c r="FZ229" s="436">
        <v>0</v>
      </c>
      <c r="GA229" s="436">
        <v>0</v>
      </c>
      <c r="GB229" s="436">
        <v>0</v>
      </c>
      <c r="GC229" s="436">
        <v>0</v>
      </c>
      <c r="GD229" s="365">
        <v>0</v>
      </c>
    </row>
    <row r="230" spans="1:186" ht="15" x14ac:dyDescent="0.25">
      <c r="A230" s="357">
        <v>122</v>
      </c>
      <c r="B230" s="357">
        <v>94</v>
      </c>
      <c r="C230" s="357" t="s">
        <v>1140</v>
      </c>
      <c r="D230" s="2">
        <v>99705</v>
      </c>
      <c r="E230" s="268" t="s">
        <v>19</v>
      </c>
      <c r="F230" s="358" t="s">
        <v>915</v>
      </c>
      <c r="G230" s="49">
        <v>81</v>
      </c>
      <c r="H230" s="49">
        <v>29</v>
      </c>
      <c r="I230" s="49">
        <v>26</v>
      </c>
      <c r="J230" s="49">
        <v>3</v>
      </c>
      <c r="K230" s="49">
        <v>0</v>
      </c>
      <c r="L230" s="49">
        <v>93</v>
      </c>
      <c r="M230" s="49">
        <v>93</v>
      </c>
      <c r="N230" s="49">
        <v>0</v>
      </c>
      <c r="O230" s="49">
        <v>0</v>
      </c>
      <c r="P230" s="49">
        <v>0</v>
      </c>
      <c r="Q230" s="49">
        <v>93</v>
      </c>
      <c r="R230" s="49">
        <v>0</v>
      </c>
      <c r="S230" s="49">
        <v>1737.0967741935483</v>
      </c>
      <c r="T230" s="49">
        <v>1737.0967741935483</v>
      </c>
      <c r="U230" s="49">
        <v>0</v>
      </c>
      <c r="V230" s="49">
        <v>0</v>
      </c>
      <c r="W230" s="49">
        <v>0</v>
      </c>
      <c r="X230" s="49">
        <v>1737.0967741935483</v>
      </c>
      <c r="Y230" s="434">
        <v>161550</v>
      </c>
      <c r="Z230" s="434">
        <v>0</v>
      </c>
      <c r="AA230" s="49">
        <v>0</v>
      </c>
      <c r="AB230" s="49">
        <v>29</v>
      </c>
      <c r="AC230" s="49">
        <v>0</v>
      </c>
      <c r="AD230" s="285">
        <v>0</v>
      </c>
      <c r="AE230" s="285">
        <v>0</v>
      </c>
      <c r="AF230" s="359">
        <v>29</v>
      </c>
      <c r="AG230" s="360">
        <v>0</v>
      </c>
      <c r="AH230" s="360">
        <v>26</v>
      </c>
      <c r="AI230" s="361">
        <v>26</v>
      </c>
      <c r="AJ230" s="360">
        <v>0</v>
      </c>
      <c r="AK230" s="360">
        <v>0</v>
      </c>
      <c r="AL230" s="360">
        <v>26.916399306404955</v>
      </c>
      <c r="AM230" s="360">
        <v>26.916399306404955</v>
      </c>
      <c r="AN230" s="360">
        <v>0</v>
      </c>
      <c r="AO230" s="360">
        <v>0</v>
      </c>
      <c r="AP230" s="360">
        <v>24.255719346782023</v>
      </c>
      <c r="AQ230" s="360">
        <v>24.255719346782023</v>
      </c>
      <c r="AR230" s="360">
        <v>0</v>
      </c>
      <c r="AS230" s="360">
        <v>0</v>
      </c>
      <c r="AT230" s="360">
        <v>0</v>
      </c>
      <c r="AU230" s="360">
        <v>24.982501780063352</v>
      </c>
      <c r="AV230" s="360">
        <v>25.931428683841503</v>
      </c>
      <c r="AW230" s="360">
        <v>26.916399306404955</v>
      </c>
      <c r="AX230" s="360">
        <v>27.938782720185639</v>
      </c>
      <c r="AY230" s="360">
        <v>29</v>
      </c>
      <c r="AZ230" s="360">
        <v>22.628458501148295</v>
      </c>
      <c r="BA230" s="360">
        <v>23.427964885029102</v>
      </c>
      <c r="BB230" s="360">
        <v>24.255719346782023</v>
      </c>
      <c r="BC230" s="360">
        <v>25.112719944608401</v>
      </c>
      <c r="BD230" s="360">
        <v>26</v>
      </c>
      <c r="BE230" s="360">
        <v>0</v>
      </c>
      <c r="BF230" s="360">
        <v>0</v>
      </c>
      <c r="BG230" s="360">
        <v>0</v>
      </c>
      <c r="BH230" s="360">
        <v>0</v>
      </c>
      <c r="BI230" s="360">
        <v>0</v>
      </c>
      <c r="BJ230" s="362">
        <v>29.472453366807333</v>
      </c>
      <c r="BK230" s="362">
        <v>29.952603705470096</v>
      </c>
      <c r="BL230" s="362">
        <v>30.440576411169928</v>
      </c>
      <c r="BM230" s="363">
        <v>30.240442976922701</v>
      </c>
      <c r="BN230" s="363">
        <v>30.041625332198063</v>
      </c>
      <c r="BO230" s="363">
        <v>29.945692698664903</v>
      </c>
      <c r="BP230" s="363">
        <v>29.850066409082011</v>
      </c>
      <c r="BQ230" s="363">
        <v>29.75474548519399</v>
      </c>
      <c r="BR230" s="363">
        <v>29.659728951869333</v>
      </c>
      <c r="BS230" s="363">
        <v>29.565015837090456</v>
      </c>
      <c r="BT230" s="363">
        <v>29.783707308174272</v>
      </c>
      <c r="BU230" s="363">
        <v>30.00401643303471</v>
      </c>
      <c r="BV230" s="363">
        <v>30.225955177404721</v>
      </c>
      <c r="BW230" s="363">
        <v>30.449535595527401</v>
      </c>
      <c r="BX230" s="363">
        <v>30.674769830810664</v>
      </c>
      <c r="BY230" s="435">
        <v>30.798414211011103</v>
      </c>
      <c r="BZ230" s="435">
        <v>30.922058591211545</v>
      </c>
      <c r="CA230" s="435">
        <v>31.045702971411984</v>
      </c>
      <c r="CB230" s="435">
        <v>31.169347351612426</v>
      </c>
      <c r="CC230" s="363">
        <v>31.292991731812865</v>
      </c>
      <c r="CD230" s="435">
        <v>31.394343578440221</v>
      </c>
      <c r="CE230" s="435">
        <v>31.495695425067577</v>
      </c>
      <c r="CF230" s="435">
        <v>31.597047271694933</v>
      </c>
      <c r="CG230" s="435">
        <v>31.698399118322289</v>
      </c>
      <c r="CH230" s="363">
        <v>31.799750964949645</v>
      </c>
      <c r="CI230" s="362">
        <v>26.423578880585882</v>
      </c>
      <c r="CJ230" s="362">
        <v>26.854058494559396</v>
      </c>
      <c r="CK230" s="362">
        <v>27.291551265186833</v>
      </c>
      <c r="CL230" s="363">
        <v>27.112121289654834</v>
      </c>
      <c r="CM230" s="363">
        <v>26.933870987487918</v>
      </c>
      <c r="CN230" s="363">
        <v>26.847862419492674</v>
      </c>
      <c r="CO230" s="363">
        <v>26.762128504694218</v>
      </c>
      <c r="CP230" s="363">
        <v>26.67666836603599</v>
      </c>
      <c r="CQ230" s="363">
        <v>26.591481129262164</v>
      </c>
      <c r="CR230" s="363">
        <v>26.506565922908685</v>
      </c>
      <c r="CS230" s="363">
        <v>26.702634138363141</v>
      </c>
      <c r="CT230" s="363">
        <v>26.900152664100084</v>
      </c>
      <c r="CU230" s="363">
        <v>27.099132228018025</v>
      </c>
      <c r="CV230" s="363">
        <v>27.299583637369395</v>
      </c>
      <c r="CW230" s="363">
        <v>27.501517779347491</v>
      </c>
      <c r="CX230" s="435">
        <v>27.612371361596161</v>
      </c>
      <c r="CY230" s="435">
        <v>27.723224943844833</v>
      </c>
      <c r="CZ230" s="435">
        <v>27.834078526093503</v>
      </c>
      <c r="DA230" s="435">
        <v>27.944932108342176</v>
      </c>
      <c r="DB230" s="363">
        <v>28.055785690590845</v>
      </c>
      <c r="DC230" s="435">
        <v>28.146652863429164</v>
      </c>
      <c r="DD230" s="435">
        <v>28.237520036267483</v>
      </c>
      <c r="DE230" s="435">
        <v>28.328387209105802</v>
      </c>
      <c r="DF230" s="435">
        <v>28.419254381944121</v>
      </c>
      <c r="DG230" s="363">
        <v>28.51012155478244</v>
      </c>
      <c r="DH230" s="362">
        <v>0</v>
      </c>
      <c r="DI230" s="362">
        <v>0</v>
      </c>
      <c r="DJ230" s="362">
        <v>0</v>
      </c>
      <c r="DK230" s="363">
        <v>0</v>
      </c>
      <c r="DL230" s="363">
        <v>0</v>
      </c>
      <c r="DM230" s="363">
        <v>0</v>
      </c>
      <c r="DN230" s="363">
        <v>0</v>
      </c>
      <c r="DO230" s="363">
        <v>0</v>
      </c>
      <c r="DP230" s="363">
        <v>0</v>
      </c>
      <c r="DQ230" s="363">
        <v>0</v>
      </c>
      <c r="DR230" s="363">
        <v>0</v>
      </c>
      <c r="DS230" s="363">
        <v>0</v>
      </c>
      <c r="DT230" s="363">
        <v>0</v>
      </c>
      <c r="DU230" s="363">
        <v>0</v>
      </c>
      <c r="DV230" s="363">
        <v>0</v>
      </c>
      <c r="DW230" s="435">
        <v>0</v>
      </c>
      <c r="DX230" s="435">
        <v>0</v>
      </c>
      <c r="DY230" s="435">
        <v>0</v>
      </c>
      <c r="DZ230" s="435">
        <v>0</v>
      </c>
      <c r="EA230" s="363">
        <v>0</v>
      </c>
      <c r="EB230" s="435">
        <v>0</v>
      </c>
      <c r="EC230" s="435">
        <v>0</v>
      </c>
      <c r="ED230" s="435">
        <v>0</v>
      </c>
      <c r="EE230" s="435">
        <v>0</v>
      </c>
      <c r="EF230" s="363">
        <v>0</v>
      </c>
      <c r="EG230" s="364">
        <v>0</v>
      </c>
      <c r="EH230" s="364">
        <v>0</v>
      </c>
      <c r="EI230" s="364">
        <v>0</v>
      </c>
      <c r="EJ230" s="365">
        <v>0</v>
      </c>
      <c r="EK230" s="365">
        <v>0</v>
      </c>
      <c r="EL230" s="365">
        <v>0</v>
      </c>
      <c r="EM230" s="365">
        <v>0</v>
      </c>
      <c r="EN230" s="365">
        <v>0</v>
      </c>
      <c r="EO230" s="365">
        <v>0</v>
      </c>
      <c r="EP230" s="365">
        <v>0</v>
      </c>
      <c r="EQ230" s="365">
        <v>0</v>
      </c>
      <c r="ER230" s="365">
        <v>0</v>
      </c>
      <c r="ES230" s="365">
        <v>0</v>
      </c>
      <c r="ET230" s="365">
        <v>0</v>
      </c>
      <c r="EU230" s="365">
        <v>0</v>
      </c>
      <c r="EV230" s="436">
        <v>0</v>
      </c>
      <c r="EW230" s="436">
        <v>0</v>
      </c>
      <c r="EX230" s="436">
        <v>0</v>
      </c>
      <c r="EY230" s="436">
        <v>0</v>
      </c>
      <c r="EZ230" s="365">
        <v>0</v>
      </c>
      <c r="FA230" s="436">
        <v>0</v>
      </c>
      <c r="FB230" s="436">
        <v>0</v>
      </c>
      <c r="FC230" s="436">
        <v>0</v>
      </c>
      <c r="FD230" s="436">
        <v>0</v>
      </c>
      <c r="FE230" s="365">
        <v>0</v>
      </c>
      <c r="FF230" s="364">
        <v>0</v>
      </c>
      <c r="FG230" s="364">
        <v>0</v>
      </c>
      <c r="FH230" s="364">
        <v>0</v>
      </c>
      <c r="FI230" s="365">
        <v>0</v>
      </c>
      <c r="FJ230" s="365">
        <v>0</v>
      </c>
      <c r="FK230" s="365">
        <v>0</v>
      </c>
      <c r="FL230" s="365">
        <v>0</v>
      </c>
      <c r="FM230" s="365">
        <v>0</v>
      </c>
      <c r="FN230" s="365">
        <v>0</v>
      </c>
      <c r="FO230" s="365">
        <v>0</v>
      </c>
      <c r="FP230" s="365">
        <v>0</v>
      </c>
      <c r="FQ230" s="365">
        <v>0</v>
      </c>
      <c r="FR230" s="365">
        <v>0</v>
      </c>
      <c r="FS230" s="365">
        <v>0</v>
      </c>
      <c r="FT230" s="365">
        <v>0</v>
      </c>
      <c r="FU230" s="436">
        <v>0</v>
      </c>
      <c r="FV230" s="436">
        <v>0</v>
      </c>
      <c r="FW230" s="436">
        <v>0</v>
      </c>
      <c r="FX230" s="436">
        <v>0</v>
      </c>
      <c r="FY230" s="365">
        <v>0</v>
      </c>
      <c r="FZ230" s="436">
        <v>0</v>
      </c>
      <c r="GA230" s="436">
        <v>0</v>
      </c>
      <c r="GB230" s="436">
        <v>0</v>
      </c>
      <c r="GC230" s="436">
        <v>0</v>
      </c>
      <c r="GD230" s="365">
        <v>0</v>
      </c>
    </row>
    <row r="231" spans="1:186" ht="15" x14ac:dyDescent="0.25">
      <c r="A231" s="357">
        <v>123</v>
      </c>
      <c r="B231" s="357">
        <v>94</v>
      </c>
      <c r="C231" s="357" t="s">
        <v>1141</v>
      </c>
      <c r="D231" s="2">
        <v>99712</v>
      </c>
      <c r="E231" s="268" t="s">
        <v>19</v>
      </c>
      <c r="F231" s="358" t="s">
        <v>915</v>
      </c>
      <c r="G231" s="49">
        <v>154</v>
      </c>
      <c r="H231" s="49">
        <v>64</v>
      </c>
      <c r="I231" s="49">
        <v>53</v>
      </c>
      <c r="J231" s="49">
        <v>11</v>
      </c>
      <c r="K231" s="49">
        <v>0</v>
      </c>
      <c r="L231" s="49">
        <v>45</v>
      </c>
      <c r="M231" s="49">
        <v>45</v>
      </c>
      <c r="N231" s="49">
        <v>1</v>
      </c>
      <c r="O231" s="49">
        <v>0</v>
      </c>
      <c r="P231" s="49">
        <v>0</v>
      </c>
      <c r="Q231" s="49">
        <v>46</v>
      </c>
      <c r="R231" s="49">
        <v>0</v>
      </c>
      <c r="S231" s="49">
        <v>1763.7111111111112</v>
      </c>
      <c r="T231" s="49">
        <v>1763.7111111111112</v>
      </c>
      <c r="U231" s="49">
        <v>2364</v>
      </c>
      <c r="V231" s="49">
        <v>0</v>
      </c>
      <c r="W231" s="49">
        <v>0</v>
      </c>
      <c r="X231" s="49">
        <v>1776.7608695652175</v>
      </c>
      <c r="Y231" s="434">
        <v>79367</v>
      </c>
      <c r="Z231" s="434">
        <v>2364</v>
      </c>
      <c r="AA231" s="49">
        <v>0</v>
      </c>
      <c r="AB231" s="49">
        <v>64</v>
      </c>
      <c r="AC231" s="49">
        <v>0</v>
      </c>
      <c r="AD231" s="285">
        <v>1</v>
      </c>
      <c r="AE231" s="285">
        <v>0</v>
      </c>
      <c r="AF231" s="359">
        <v>65</v>
      </c>
      <c r="AG231" s="360">
        <v>0</v>
      </c>
      <c r="AH231" s="360">
        <v>53</v>
      </c>
      <c r="AI231" s="361">
        <v>53</v>
      </c>
      <c r="AJ231" s="360">
        <v>0</v>
      </c>
      <c r="AK231" s="360">
        <v>0</v>
      </c>
      <c r="AL231" s="360">
        <v>58.183311689327248</v>
      </c>
      <c r="AM231" s="360">
        <v>58.183311689327248</v>
      </c>
      <c r="AN231" s="360">
        <v>0</v>
      </c>
      <c r="AO231" s="360">
        <v>0</v>
      </c>
      <c r="AP231" s="360">
        <v>48.36006785055919</v>
      </c>
      <c r="AQ231" s="360">
        <v>48.36006785055919</v>
      </c>
      <c r="AR231" s="360">
        <v>0</v>
      </c>
      <c r="AS231" s="360">
        <v>0.92984135081383867</v>
      </c>
      <c r="AT231" s="360">
        <v>0</v>
      </c>
      <c r="AU231" s="360">
        <v>52.895277486521948</v>
      </c>
      <c r="AV231" s="360">
        <v>55.476323029665203</v>
      </c>
      <c r="AW231" s="360">
        <v>58.183311689327248</v>
      </c>
      <c r="AX231" s="360">
        <v>61.022388908636998</v>
      </c>
      <c r="AY231" s="360">
        <v>64</v>
      </c>
      <c r="AZ231" s="360">
        <v>44.126342688880918</v>
      </c>
      <c r="BA231" s="360">
        <v>46.194728340269599</v>
      </c>
      <c r="BB231" s="360">
        <v>48.36006785055919</v>
      </c>
      <c r="BC231" s="360">
        <v>50.626905851332026</v>
      </c>
      <c r="BD231" s="360">
        <v>53</v>
      </c>
      <c r="BE231" s="360">
        <v>0.86460493768330426</v>
      </c>
      <c r="BF231" s="360">
        <v>0.89663003695825327</v>
      </c>
      <c r="BG231" s="360">
        <v>0.92984135081383867</v>
      </c>
      <c r="BH231" s="360">
        <v>0.96428281681975381</v>
      </c>
      <c r="BI231" s="360">
        <v>1</v>
      </c>
      <c r="BJ231" s="362">
        <v>64.810097554167811</v>
      </c>
      <c r="BK231" s="362">
        <v>65.630449140324188</v>
      </c>
      <c r="BL231" s="362">
        <v>66.461184551691559</v>
      </c>
      <c r="BM231" s="363">
        <v>66.024231422788645</v>
      </c>
      <c r="BN231" s="363">
        <v>65.590151068997187</v>
      </c>
      <c r="BO231" s="363">
        <v>65.38070048647019</v>
      </c>
      <c r="BP231" s="363">
        <v>65.17191874744799</v>
      </c>
      <c r="BQ231" s="363">
        <v>64.963803716096777</v>
      </c>
      <c r="BR231" s="363">
        <v>64.756353263403156</v>
      </c>
      <c r="BS231" s="363">
        <v>64.549565267152389</v>
      </c>
      <c r="BT231" s="363">
        <v>65.02703632496879</v>
      </c>
      <c r="BU231" s="363">
        <v>65.508039220840317</v>
      </c>
      <c r="BV231" s="363">
        <v>65.992600079659439</v>
      </c>
      <c r="BW231" s="363">
        <v>66.480745219563673</v>
      </c>
      <c r="BX231" s="363">
        <v>66.972501153364817</v>
      </c>
      <c r="BY231" s="435">
        <v>67.24245504189453</v>
      </c>
      <c r="BZ231" s="435">
        <v>67.512408930424229</v>
      </c>
      <c r="CA231" s="435">
        <v>67.782362818953942</v>
      </c>
      <c r="CB231" s="435">
        <v>68.052316707483641</v>
      </c>
      <c r="CC231" s="363">
        <v>68.322270596013354</v>
      </c>
      <c r="CD231" s="435">
        <v>68.543552995281047</v>
      </c>
      <c r="CE231" s="435">
        <v>68.764835394548754</v>
      </c>
      <c r="CF231" s="435">
        <v>68.986117793816447</v>
      </c>
      <c r="CG231" s="435">
        <v>69.207400193084155</v>
      </c>
      <c r="CH231" s="363">
        <v>69.428682592351848</v>
      </c>
      <c r="CI231" s="362">
        <v>53.670862037045218</v>
      </c>
      <c r="CJ231" s="362">
        <v>54.35021569433097</v>
      </c>
      <c r="CK231" s="362">
        <v>55.03816845686957</v>
      </c>
      <c r="CL231" s="363">
        <v>54.676316646996845</v>
      </c>
      <c r="CM231" s="363">
        <v>54.316843854013293</v>
      </c>
      <c r="CN231" s="363">
        <v>54.143392590358125</v>
      </c>
      <c r="CO231" s="363">
        <v>53.970495212730363</v>
      </c>
      <c r="CP231" s="363">
        <v>53.798149952392642</v>
      </c>
      <c r="CQ231" s="363">
        <v>53.626355046255739</v>
      </c>
      <c r="CR231" s="363">
        <v>53.455108736860566</v>
      </c>
      <c r="CS231" s="363">
        <v>53.850514456614775</v>
      </c>
      <c r="CT231" s="363">
        <v>54.248844979758381</v>
      </c>
      <c r="CU231" s="363">
        <v>54.650121940967978</v>
      </c>
      <c r="CV231" s="363">
        <v>55.054367134951164</v>
      </c>
      <c r="CW231" s="363">
        <v>55.46160251763024</v>
      </c>
      <c r="CX231" s="435">
        <v>55.6851580815689</v>
      </c>
      <c r="CY231" s="435">
        <v>55.908713645507568</v>
      </c>
      <c r="CZ231" s="435">
        <v>56.132269209446228</v>
      </c>
      <c r="DA231" s="435">
        <v>56.355824773384896</v>
      </c>
      <c r="DB231" s="363">
        <v>56.579380337323556</v>
      </c>
      <c r="DC231" s="435">
        <v>56.762629824217122</v>
      </c>
      <c r="DD231" s="435">
        <v>56.945879311110687</v>
      </c>
      <c r="DE231" s="435">
        <v>57.129128798004245</v>
      </c>
      <c r="DF231" s="435">
        <v>57.312378284897811</v>
      </c>
      <c r="DG231" s="363">
        <v>57.495627771791376</v>
      </c>
      <c r="DH231" s="362">
        <v>1.012657774283872</v>
      </c>
      <c r="DI231" s="362">
        <v>1.0254757678175654</v>
      </c>
      <c r="DJ231" s="362">
        <v>1.0384560086201806</v>
      </c>
      <c r="DK231" s="363">
        <v>1.0316286159810726</v>
      </c>
      <c r="DL231" s="363">
        <v>1.024846110453081</v>
      </c>
      <c r="DM231" s="363">
        <v>1.0215734451010967</v>
      </c>
      <c r="DN231" s="363">
        <v>1.0183112304288748</v>
      </c>
      <c r="DO231" s="363">
        <v>1.0150594330640121</v>
      </c>
      <c r="DP231" s="363">
        <v>1.0118180197406743</v>
      </c>
      <c r="DQ231" s="363">
        <v>1.0085869572992561</v>
      </c>
      <c r="DR231" s="363">
        <v>1.0160474425776373</v>
      </c>
      <c r="DS231" s="363">
        <v>1.02356311282563</v>
      </c>
      <c r="DT231" s="363">
        <v>1.0311343762446787</v>
      </c>
      <c r="DU231" s="363">
        <v>1.0387616440556824</v>
      </c>
      <c r="DV231" s="363">
        <v>1.0464453305213253</v>
      </c>
      <c r="DW231" s="435">
        <v>1.050663360029602</v>
      </c>
      <c r="DX231" s="435">
        <v>1.0548813895378786</v>
      </c>
      <c r="DY231" s="435">
        <v>1.0590994190461553</v>
      </c>
      <c r="DZ231" s="435">
        <v>1.0633174485544319</v>
      </c>
      <c r="EA231" s="363">
        <v>1.0675354780627087</v>
      </c>
      <c r="EB231" s="435">
        <v>1.0709930155512664</v>
      </c>
      <c r="EC231" s="435">
        <v>1.0744505530398243</v>
      </c>
      <c r="ED231" s="435">
        <v>1.077908090528382</v>
      </c>
      <c r="EE231" s="435">
        <v>1.0813656280169399</v>
      </c>
      <c r="EF231" s="363">
        <v>1.0848231655054976</v>
      </c>
      <c r="EG231" s="364">
        <v>0</v>
      </c>
      <c r="EH231" s="364">
        <v>0</v>
      </c>
      <c r="EI231" s="364">
        <v>0</v>
      </c>
      <c r="EJ231" s="365">
        <v>0</v>
      </c>
      <c r="EK231" s="365">
        <v>0</v>
      </c>
      <c r="EL231" s="365">
        <v>0</v>
      </c>
      <c r="EM231" s="365">
        <v>0</v>
      </c>
      <c r="EN231" s="365">
        <v>0</v>
      </c>
      <c r="EO231" s="365">
        <v>0</v>
      </c>
      <c r="EP231" s="365">
        <v>0</v>
      </c>
      <c r="EQ231" s="365">
        <v>0</v>
      </c>
      <c r="ER231" s="365">
        <v>0</v>
      </c>
      <c r="ES231" s="365">
        <v>0</v>
      </c>
      <c r="ET231" s="365">
        <v>0</v>
      </c>
      <c r="EU231" s="365">
        <v>0</v>
      </c>
      <c r="EV231" s="436">
        <v>0</v>
      </c>
      <c r="EW231" s="436">
        <v>0</v>
      </c>
      <c r="EX231" s="436">
        <v>0</v>
      </c>
      <c r="EY231" s="436">
        <v>0</v>
      </c>
      <c r="EZ231" s="365">
        <v>0</v>
      </c>
      <c r="FA231" s="436">
        <v>0</v>
      </c>
      <c r="FB231" s="436">
        <v>0</v>
      </c>
      <c r="FC231" s="436">
        <v>0</v>
      </c>
      <c r="FD231" s="436">
        <v>0</v>
      </c>
      <c r="FE231" s="365">
        <v>0</v>
      </c>
      <c r="FF231" s="364">
        <v>0</v>
      </c>
      <c r="FG231" s="364">
        <v>0</v>
      </c>
      <c r="FH231" s="364">
        <v>0</v>
      </c>
      <c r="FI231" s="365">
        <v>0</v>
      </c>
      <c r="FJ231" s="365">
        <v>0</v>
      </c>
      <c r="FK231" s="365">
        <v>0</v>
      </c>
      <c r="FL231" s="365">
        <v>0</v>
      </c>
      <c r="FM231" s="365">
        <v>0</v>
      </c>
      <c r="FN231" s="365">
        <v>0</v>
      </c>
      <c r="FO231" s="365">
        <v>0</v>
      </c>
      <c r="FP231" s="365">
        <v>0</v>
      </c>
      <c r="FQ231" s="365">
        <v>0</v>
      </c>
      <c r="FR231" s="365">
        <v>0</v>
      </c>
      <c r="FS231" s="365">
        <v>0</v>
      </c>
      <c r="FT231" s="365">
        <v>0</v>
      </c>
      <c r="FU231" s="436">
        <v>0</v>
      </c>
      <c r="FV231" s="436">
        <v>0</v>
      </c>
      <c r="FW231" s="436">
        <v>0</v>
      </c>
      <c r="FX231" s="436">
        <v>0</v>
      </c>
      <c r="FY231" s="365">
        <v>0</v>
      </c>
      <c r="FZ231" s="436">
        <v>0</v>
      </c>
      <c r="GA231" s="436">
        <v>0</v>
      </c>
      <c r="GB231" s="436">
        <v>0</v>
      </c>
      <c r="GC231" s="436">
        <v>0</v>
      </c>
      <c r="GD231" s="365">
        <v>0</v>
      </c>
    </row>
    <row r="232" spans="1:186" ht="15" x14ac:dyDescent="0.25">
      <c r="A232" s="357">
        <v>125</v>
      </c>
      <c r="B232" s="357">
        <v>94</v>
      </c>
      <c r="C232" s="357" t="s">
        <v>1142</v>
      </c>
      <c r="D232" s="2">
        <v>99712</v>
      </c>
      <c r="E232" s="268" t="s">
        <v>19</v>
      </c>
      <c r="F232" s="358" t="s">
        <v>915</v>
      </c>
      <c r="G232" s="49">
        <v>36</v>
      </c>
      <c r="H232" s="49">
        <v>12</v>
      </c>
      <c r="I232" s="49">
        <v>11</v>
      </c>
      <c r="J232" s="49">
        <v>1</v>
      </c>
      <c r="K232" s="49">
        <v>0</v>
      </c>
      <c r="L232" s="49">
        <v>0</v>
      </c>
      <c r="M232" s="49">
        <v>0</v>
      </c>
      <c r="N232" s="49">
        <v>0</v>
      </c>
      <c r="O232" s="49">
        <v>0</v>
      </c>
      <c r="P232" s="49">
        <v>0</v>
      </c>
      <c r="Q232" s="49">
        <v>0</v>
      </c>
      <c r="R232" s="49">
        <v>0</v>
      </c>
      <c r="S232" s="49">
        <v>834.49503068156923</v>
      </c>
      <c r="T232" s="49">
        <v>834.49503068156923</v>
      </c>
      <c r="U232" s="49">
        <v>1408.3846153846155</v>
      </c>
      <c r="V232" s="49">
        <v>0</v>
      </c>
      <c r="W232" s="49">
        <v>0</v>
      </c>
      <c r="X232" s="49">
        <v>1365.173957061457</v>
      </c>
      <c r="Y232" s="434">
        <v>0</v>
      </c>
      <c r="Z232" s="434">
        <v>0</v>
      </c>
      <c r="AA232" s="49">
        <v>0.27494802494802495</v>
      </c>
      <c r="AB232" s="49">
        <v>11.70945945945946</v>
      </c>
      <c r="AC232" s="49">
        <v>1.5592515592515593E-2</v>
      </c>
      <c r="AD232" s="285">
        <v>0</v>
      </c>
      <c r="AE232" s="285">
        <v>0</v>
      </c>
      <c r="AF232" s="359">
        <v>12</v>
      </c>
      <c r="AG232" s="360">
        <v>0.2520356895356895</v>
      </c>
      <c r="AH232" s="360">
        <v>10.733671171171173</v>
      </c>
      <c r="AI232" s="361">
        <v>10.985706860706863</v>
      </c>
      <c r="AJ232" s="360">
        <v>1.4293139293139294E-2</v>
      </c>
      <c r="AK232" s="360">
        <v>0.2499591661549353</v>
      </c>
      <c r="AL232" s="360">
        <v>10.645236397551111</v>
      </c>
      <c r="AM232" s="360">
        <v>10.895195563706046</v>
      </c>
      <c r="AN232" s="360">
        <v>1.4175378042812967E-2</v>
      </c>
      <c r="AO232" s="360">
        <v>0.22997100088129085</v>
      </c>
      <c r="AP232" s="360">
        <v>9.7939823796873409</v>
      </c>
      <c r="AQ232" s="360">
        <v>10.023953380568631</v>
      </c>
      <c r="AR232" s="360">
        <v>1.3041833698371884E-2</v>
      </c>
      <c r="AS232" s="360">
        <v>0</v>
      </c>
      <c r="AT232" s="360">
        <v>0</v>
      </c>
      <c r="AU232" s="360">
        <v>9.9049774906138168</v>
      </c>
      <c r="AV232" s="360">
        <v>10.388294701939483</v>
      </c>
      <c r="AW232" s="360">
        <v>10.895195563706045</v>
      </c>
      <c r="AX232" s="360">
        <v>11.426830849267086</v>
      </c>
      <c r="AY232" s="360">
        <v>11.984407484407484</v>
      </c>
      <c r="AZ232" s="360">
        <v>9.1463974644366264</v>
      </c>
      <c r="BA232" s="360">
        <v>9.5751272463431985</v>
      </c>
      <c r="BB232" s="360">
        <v>10.023953380568631</v>
      </c>
      <c r="BC232" s="360">
        <v>10.493817866930918</v>
      </c>
      <c r="BD232" s="360">
        <v>10.985706860706863</v>
      </c>
      <c r="BE232" s="360">
        <v>0</v>
      </c>
      <c r="BF232" s="360">
        <v>0</v>
      </c>
      <c r="BG232" s="360">
        <v>0</v>
      </c>
      <c r="BH232" s="360">
        <v>0</v>
      </c>
      <c r="BI232" s="360">
        <v>0</v>
      </c>
      <c r="BJ232" s="362">
        <v>12.13610340927106</v>
      </c>
      <c r="BK232" s="362">
        <v>12.289719466911343</v>
      </c>
      <c r="BL232" s="362">
        <v>12.445279961935615</v>
      </c>
      <c r="BM232" s="363">
        <v>12.3634577064925</v>
      </c>
      <c r="BN232" s="363">
        <v>12.282173396479802</v>
      </c>
      <c r="BO232" s="363">
        <v>12.24295244134152</v>
      </c>
      <c r="BP232" s="363">
        <v>12.203856731408001</v>
      </c>
      <c r="BQ232" s="363">
        <v>12.164885866730764</v>
      </c>
      <c r="BR232" s="363">
        <v>12.126039448638497</v>
      </c>
      <c r="BS232" s="363">
        <v>12.087317079732975</v>
      </c>
      <c r="BT232" s="363">
        <v>12.17672657534052</v>
      </c>
      <c r="BU232" s="363">
        <v>12.2667974301109</v>
      </c>
      <c r="BV232" s="363">
        <v>12.357534536096571</v>
      </c>
      <c r="BW232" s="363">
        <v>12.448942821536342</v>
      </c>
      <c r="BX232" s="363">
        <v>12.541027251123035</v>
      </c>
      <c r="BY232" s="435">
        <v>12.591577835531478</v>
      </c>
      <c r="BZ232" s="435">
        <v>12.642128419939921</v>
      </c>
      <c r="CA232" s="435">
        <v>12.692679004348362</v>
      </c>
      <c r="CB232" s="435">
        <v>12.743229588756805</v>
      </c>
      <c r="CC232" s="363">
        <v>12.793780173165247</v>
      </c>
      <c r="CD232" s="435">
        <v>12.835216711320738</v>
      </c>
      <c r="CE232" s="435">
        <v>12.876653249476231</v>
      </c>
      <c r="CF232" s="435">
        <v>12.918089787631722</v>
      </c>
      <c r="CG232" s="435">
        <v>12.959526325787214</v>
      </c>
      <c r="CH232" s="363">
        <v>13.000962863942705</v>
      </c>
      <c r="CI232" s="362">
        <v>11.124761458498474</v>
      </c>
      <c r="CJ232" s="362">
        <v>11.265576178002066</v>
      </c>
      <c r="CK232" s="362">
        <v>11.408173298440984</v>
      </c>
      <c r="CL232" s="363">
        <v>11.333169564284795</v>
      </c>
      <c r="CM232" s="363">
        <v>11.258658946773156</v>
      </c>
      <c r="CN232" s="363">
        <v>11.222706404563064</v>
      </c>
      <c r="CO232" s="363">
        <v>11.186868670457338</v>
      </c>
      <c r="CP232" s="363">
        <v>11.151145377836537</v>
      </c>
      <c r="CQ232" s="363">
        <v>11.11553616125196</v>
      </c>
      <c r="CR232" s="363">
        <v>11.080040656421897</v>
      </c>
      <c r="CS232" s="363">
        <v>11.161999360728814</v>
      </c>
      <c r="CT232" s="363">
        <v>11.244564310934996</v>
      </c>
      <c r="CU232" s="363">
        <v>11.32773999142186</v>
      </c>
      <c r="CV232" s="363">
        <v>11.411530919741651</v>
      </c>
      <c r="CW232" s="363">
        <v>11.495941646862786</v>
      </c>
      <c r="CX232" s="435">
        <v>11.542279682570525</v>
      </c>
      <c r="CY232" s="435">
        <v>11.588617718278263</v>
      </c>
      <c r="CZ232" s="435">
        <v>11.634955753986002</v>
      </c>
      <c r="DA232" s="435">
        <v>11.68129378969374</v>
      </c>
      <c r="DB232" s="363">
        <v>11.727631825401479</v>
      </c>
      <c r="DC232" s="435">
        <v>11.76561531871068</v>
      </c>
      <c r="DD232" s="435">
        <v>11.80359881201988</v>
      </c>
      <c r="DE232" s="435">
        <v>11.841582305329082</v>
      </c>
      <c r="DF232" s="435">
        <v>11.879565798638282</v>
      </c>
      <c r="DG232" s="363">
        <v>11.917549291947482</v>
      </c>
      <c r="DH232" s="362">
        <v>0</v>
      </c>
      <c r="DI232" s="362">
        <v>0</v>
      </c>
      <c r="DJ232" s="362">
        <v>0</v>
      </c>
      <c r="DK232" s="363">
        <v>0</v>
      </c>
      <c r="DL232" s="363">
        <v>0</v>
      </c>
      <c r="DM232" s="363">
        <v>0</v>
      </c>
      <c r="DN232" s="363">
        <v>0</v>
      </c>
      <c r="DO232" s="363">
        <v>0</v>
      </c>
      <c r="DP232" s="363">
        <v>0</v>
      </c>
      <c r="DQ232" s="363">
        <v>0</v>
      </c>
      <c r="DR232" s="363">
        <v>0</v>
      </c>
      <c r="DS232" s="363">
        <v>0</v>
      </c>
      <c r="DT232" s="363">
        <v>0</v>
      </c>
      <c r="DU232" s="363">
        <v>0</v>
      </c>
      <c r="DV232" s="363">
        <v>0</v>
      </c>
      <c r="DW232" s="435">
        <v>0</v>
      </c>
      <c r="DX232" s="435">
        <v>0</v>
      </c>
      <c r="DY232" s="435">
        <v>0</v>
      </c>
      <c r="DZ232" s="435">
        <v>0</v>
      </c>
      <c r="EA232" s="363">
        <v>0</v>
      </c>
      <c r="EB232" s="435">
        <v>0</v>
      </c>
      <c r="EC232" s="435">
        <v>0</v>
      </c>
      <c r="ED232" s="435">
        <v>0</v>
      </c>
      <c r="EE232" s="435">
        <v>0</v>
      </c>
      <c r="EF232" s="363">
        <v>0</v>
      </c>
      <c r="EG232" s="364">
        <v>1.5789882135403412E-2</v>
      </c>
      <c r="EH232" s="364">
        <v>1.5989746899442291E-2</v>
      </c>
      <c r="EI232" s="364">
        <v>1.6192141506551672E-2</v>
      </c>
      <c r="EJ232" s="365">
        <v>1.6085685280370153E-2</v>
      </c>
      <c r="EK232" s="365">
        <v>1.5979928957168623E-2</v>
      </c>
      <c r="EL232" s="365">
        <v>1.5928899871638723E-2</v>
      </c>
      <c r="EM232" s="365">
        <v>1.5878033738495969E-2</v>
      </c>
      <c r="EN232" s="365">
        <v>1.5827330037380648E-2</v>
      </c>
      <c r="EO232" s="365">
        <v>1.5776788249594716E-2</v>
      </c>
      <c r="EP232" s="365">
        <v>1.5726407858096508E-2</v>
      </c>
      <c r="EQ232" s="365">
        <v>1.5842735591127401E-2</v>
      </c>
      <c r="ER232" s="365">
        <v>1.5959923796657432E-2</v>
      </c>
      <c r="ES232" s="365">
        <v>1.6077978839573993E-2</v>
      </c>
      <c r="ET232" s="365">
        <v>1.6196907131845358E-2</v>
      </c>
      <c r="EU232" s="365">
        <v>1.6316715132868899E-2</v>
      </c>
      <c r="EV232" s="436">
        <v>1.6382484823746393E-2</v>
      </c>
      <c r="EW232" s="436">
        <v>1.6448254514623888E-2</v>
      </c>
      <c r="EX232" s="436">
        <v>1.6514024205501382E-2</v>
      </c>
      <c r="EY232" s="436">
        <v>1.6579793896378876E-2</v>
      </c>
      <c r="EZ232" s="365">
        <v>1.6645563587256371E-2</v>
      </c>
      <c r="FA232" s="436">
        <v>1.6699475294458414E-2</v>
      </c>
      <c r="FB232" s="436">
        <v>1.6753387001660461E-2</v>
      </c>
      <c r="FC232" s="436">
        <v>1.6807298708862505E-2</v>
      </c>
      <c r="FD232" s="436">
        <v>1.6861210416064552E-2</v>
      </c>
      <c r="FE232" s="365">
        <v>1.6915122123266596E-2</v>
      </c>
      <c r="FF232" s="364">
        <v>0</v>
      </c>
      <c r="FG232" s="364">
        <v>0</v>
      </c>
      <c r="FH232" s="364">
        <v>0</v>
      </c>
      <c r="FI232" s="365">
        <v>0</v>
      </c>
      <c r="FJ232" s="365">
        <v>0</v>
      </c>
      <c r="FK232" s="365">
        <v>0</v>
      </c>
      <c r="FL232" s="365">
        <v>0</v>
      </c>
      <c r="FM232" s="365">
        <v>0</v>
      </c>
      <c r="FN232" s="365">
        <v>0</v>
      </c>
      <c r="FO232" s="365">
        <v>0</v>
      </c>
      <c r="FP232" s="365">
        <v>0</v>
      </c>
      <c r="FQ232" s="365">
        <v>0</v>
      </c>
      <c r="FR232" s="365">
        <v>0</v>
      </c>
      <c r="FS232" s="365">
        <v>0</v>
      </c>
      <c r="FT232" s="365">
        <v>0</v>
      </c>
      <c r="FU232" s="436">
        <v>0</v>
      </c>
      <c r="FV232" s="436">
        <v>0</v>
      </c>
      <c r="FW232" s="436">
        <v>0</v>
      </c>
      <c r="FX232" s="436">
        <v>0</v>
      </c>
      <c r="FY232" s="365">
        <v>0</v>
      </c>
      <c r="FZ232" s="436">
        <v>0</v>
      </c>
      <c r="GA232" s="436">
        <v>0</v>
      </c>
      <c r="GB232" s="436">
        <v>0</v>
      </c>
      <c r="GC232" s="436">
        <v>0</v>
      </c>
      <c r="GD232" s="365">
        <v>0</v>
      </c>
    </row>
    <row r="233" spans="1:186" ht="15" x14ac:dyDescent="0.25">
      <c r="A233" s="357">
        <v>99</v>
      </c>
      <c r="B233" s="357">
        <v>95</v>
      </c>
      <c r="C233" s="357" t="s">
        <v>1143</v>
      </c>
      <c r="D233" s="2">
        <v>99709</v>
      </c>
      <c r="E233" s="268" t="s">
        <v>1527</v>
      </c>
      <c r="F233" s="358" t="s">
        <v>985</v>
      </c>
      <c r="G233" s="49">
        <v>8</v>
      </c>
      <c r="H233" s="49">
        <v>4</v>
      </c>
      <c r="I233" s="49">
        <v>3</v>
      </c>
      <c r="J233" s="49">
        <v>1</v>
      </c>
      <c r="K233" s="49">
        <v>0</v>
      </c>
      <c r="L233" s="49">
        <v>27</v>
      </c>
      <c r="M233" s="49">
        <v>27</v>
      </c>
      <c r="N233" s="49">
        <v>0</v>
      </c>
      <c r="O233" s="49">
        <v>0</v>
      </c>
      <c r="P233" s="49">
        <v>0</v>
      </c>
      <c r="Q233" s="49">
        <v>27</v>
      </c>
      <c r="R233" s="49">
        <v>0</v>
      </c>
      <c r="S233" s="49">
        <v>1988.0740740740741</v>
      </c>
      <c r="T233" s="49">
        <v>1988.0740740740741</v>
      </c>
      <c r="U233" s="49">
        <v>0</v>
      </c>
      <c r="V233" s="49">
        <v>0</v>
      </c>
      <c r="W233" s="49">
        <v>0</v>
      </c>
      <c r="X233" s="49">
        <v>1988.0740740740741</v>
      </c>
      <c r="Y233" s="434">
        <v>53678</v>
      </c>
      <c r="Z233" s="434">
        <v>0</v>
      </c>
      <c r="AA233" s="49">
        <v>0</v>
      </c>
      <c r="AB233" s="49">
        <v>4</v>
      </c>
      <c r="AC233" s="49">
        <v>0</v>
      </c>
      <c r="AD233" s="285">
        <v>0</v>
      </c>
      <c r="AE233" s="285">
        <v>0</v>
      </c>
      <c r="AF233" s="359">
        <v>4</v>
      </c>
      <c r="AG233" s="360">
        <v>0</v>
      </c>
      <c r="AH233" s="360">
        <v>3</v>
      </c>
      <c r="AI233" s="361">
        <v>3</v>
      </c>
      <c r="AJ233" s="360">
        <v>0</v>
      </c>
      <c r="AK233" s="360">
        <v>0</v>
      </c>
      <c r="AL233" s="360">
        <v>3.8086335800309574</v>
      </c>
      <c r="AM233" s="360">
        <v>3.8086335800309574</v>
      </c>
      <c r="AN233" s="360">
        <v>0</v>
      </c>
      <c r="AO233" s="360">
        <v>0</v>
      </c>
      <c r="AP233" s="360">
        <v>2.861863886693929</v>
      </c>
      <c r="AQ233" s="360">
        <v>2.861863886693929</v>
      </c>
      <c r="AR233" s="360">
        <v>0</v>
      </c>
      <c r="AS233" s="360">
        <v>0</v>
      </c>
      <c r="AT233" s="360">
        <v>0</v>
      </c>
      <c r="AU233" s="360">
        <v>3.626422436734857</v>
      </c>
      <c r="AV233" s="360">
        <v>3.7164114772083656</v>
      </c>
      <c r="AW233" s="360">
        <v>3.8086335800309574</v>
      </c>
      <c r="AX233" s="360">
        <v>3.9031441582554733</v>
      </c>
      <c r="AY233" s="360">
        <v>4</v>
      </c>
      <c r="AZ233" s="360">
        <v>2.7300883019876268</v>
      </c>
      <c r="BA233" s="360">
        <v>2.7951996563651655</v>
      </c>
      <c r="BB233" s="360">
        <v>2.861863886693929</v>
      </c>
      <c r="BC233" s="360">
        <v>2.9301180283534292</v>
      </c>
      <c r="BD233" s="360">
        <v>3</v>
      </c>
      <c r="BE233" s="360">
        <v>0</v>
      </c>
      <c r="BF233" s="360">
        <v>0</v>
      </c>
      <c r="BG233" s="360">
        <v>0</v>
      </c>
      <c r="BH233" s="360">
        <v>0</v>
      </c>
      <c r="BI233" s="360">
        <v>0</v>
      </c>
      <c r="BJ233" s="362">
        <v>4.0416153350629171</v>
      </c>
      <c r="BK233" s="362">
        <v>4.0836636291539339</v>
      </c>
      <c r="BL233" s="362">
        <v>4.126149386706806</v>
      </c>
      <c r="BM233" s="363">
        <v>4.099021764817369</v>
      </c>
      <c r="BN233" s="363">
        <v>4.0720724951397411</v>
      </c>
      <c r="BO233" s="363">
        <v>4.059069049617837</v>
      </c>
      <c r="BP233" s="363">
        <v>4.0461071283064287</v>
      </c>
      <c r="BQ233" s="363">
        <v>4.0331865986052708</v>
      </c>
      <c r="BR233" s="363">
        <v>4.0203073283375543</v>
      </c>
      <c r="BS233" s="363">
        <v>4.0074691857485538</v>
      </c>
      <c r="BT233" s="363">
        <v>4.0371123064011378</v>
      </c>
      <c r="BU233" s="363">
        <v>4.0669746962636122</v>
      </c>
      <c r="BV233" s="363">
        <v>4.0970579772632707</v>
      </c>
      <c r="BW233" s="363">
        <v>4.1273637833247498</v>
      </c>
      <c r="BX233" s="363">
        <v>4.1578937604587702</v>
      </c>
      <c r="BY233" s="435">
        <v>4.1746534688375698</v>
      </c>
      <c r="BZ233" s="435">
        <v>4.1914131772163703</v>
      </c>
      <c r="CA233" s="435">
        <v>4.2081728855951699</v>
      </c>
      <c r="CB233" s="435">
        <v>4.2249325939739704</v>
      </c>
      <c r="CC233" s="363">
        <v>4.2416923023527699</v>
      </c>
      <c r="CD233" s="435">
        <v>4.2554303096149981</v>
      </c>
      <c r="CE233" s="435">
        <v>4.2691683168772263</v>
      </c>
      <c r="CF233" s="435">
        <v>4.2829063241394554</v>
      </c>
      <c r="CG233" s="435">
        <v>4.2966443314016836</v>
      </c>
      <c r="CH233" s="363">
        <v>4.3103823386639117</v>
      </c>
      <c r="CI233" s="362">
        <v>3.0312115012971876</v>
      </c>
      <c r="CJ233" s="362">
        <v>3.0627477218654504</v>
      </c>
      <c r="CK233" s="362">
        <v>3.0946120400301043</v>
      </c>
      <c r="CL233" s="363">
        <v>3.0742663236130263</v>
      </c>
      <c r="CM233" s="363">
        <v>3.0540543713548058</v>
      </c>
      <c r="CN233" s="363">
        <v>3.0443017872133775</v>
      </c>
      <c r="CO233" s="363">
        <v>3.0345803462298213</v>
      </c>
      <c r="CP233" s="363">
        <v>3.0248899489539527</v>
      </c>
      <c r="CQ233" s="363">
        <v>3.0152304962531655</v>
      </c>
      <c r="CR233" s="363">
        <v>3.0056018893114151</v>
      </c>
      <c r="CS233" s="363">
        <v>3.0278342298008529</v>
      </c>
      <c r="CT233" s="363">
        <v>3.0502310221977091</v>
      </c>
      <c r="CU233" s="363">
        <v>3.0727934829474526</v>
      </c>
      <c r="CV233" s="363">
        <v>3.0955228374935619</v>
      </c>
      <c r="CW233" s="363">
        <v>3.118420320344077</v>
      </c>
      <c r="CX233" s="435">
        <v>3.1309901016281771</v>
      </c>
      <c r="CY233" s="435">
        <v>3.1435598829122773</v>
      </c>
      <c r="CZ233" s="435">
        <v>3.1561296641963774</v>
      </c>
      <c r="DA233" s="435">
        <v>3.1686994454804776</v>
      </c>
      <c r="DB233" s="363">
        <v>3.1812692267645777</v>
      </c>
      <c r="DC233" s="435">
        <v>3.1915727322112488</v>
      </c>
      <c r="DD233" s="435">
        <v>3.20187623765792</v>
      </c>
      <c r="DE233" s="435">
        <v>3.2121797431045911</v>
      </c>
      <c r="DF233" s="435">
        <v>3.2224832485512622</v>
      </c>
      <c r="DG233" s="363">
        <v>3.2327867539979334</v>
      </c>
      <c r="DH233" s="362">
        <v>0</v>
      </c>
      <c r="DI233" s="362">
        <v>0</v>
      </c>
      <c r="DJ233" s="362">
        <v>0</v>
      </c>
      <c r="DK233" s="363">
        <v>0</v>
      </c>
      <c r="DL233" s="363">
        <v>0</v>
      </c>
      <c r="DM233" s="363">
        <v>0</v>
      </c>
      <c r="DN233" s="363">
        <v>0</v>
      </c>
      <c r="DO233" s="363">
        <v>0</v>
      </c>
      <c r="DP233" s="363">
        <v>0</v>
      </c>
      <c r="DQ233" s="363">
        <v>0</v>
      </c>
      <c r="DR233" s="363">
        <v>0</v>
      </c>
      <c r="DS233" s="363">
        <v>0</v>
      </c>
      <c r="DT233" s="363">
        <v>0</v>
      </c>
      <c r="DU233" s="363">
        <v>0</v>
      </c>
      <c r="DV233" s="363">
        <v>0</v>
      </c>
      <c r="DW233" s="435">
        <v>0</v>
      </c>
      <c r="DX233" s="435">
        <v>0</v>
      </c>
      <c r="DY233" s="435">
        <v>0</v>
      </c>
      <c r="DZ233" s="435">
        <v>0</v>
      </c>
      <c r="EA233" s="363">
        <v>0</v>
      </c>
      <c r="EB233" s="435">
        <v>0</v>
      </c>
      <c r="EC233" s="435">
        <v>0</v>
      </c>
      <c r="ED233" s="435">
        <v>0</v>
      </c>
      <c r="EE233" s="435">
        <v>0</v>
      </c>
      <c r="EF233" s="363">
        <v>0</v>
      </c>
      <c r="EG233" s="364">
        <v>0</v>
      </c>
      <c r="EH233" s="364">
        <v>0</v>
      </c>
      <c r="EI233" s="364">
        <v>0</v>
      </c>
      <c r="EJ233" s="365">
        <v>0</v>
      </c>
      <c r="EK233" s="365">
        <v>0</v>
      </c>
      <c r="EL233" s="365">
        <v>0</v>
      </c>
      <c r="EM233" s="365">
        <v>0</v>
      </c>
      <c r="EN233" s="365">
        <v>0</v>
      </c>
      <c r="EO233" s="365">
        <v>0</v>
      </c>
      <c r="EP233" s="365">
        <v>0</v>
      </c>
      <c r="EQ233" s="365">
        <v>0</v>
      </c>
      <c r="ER233" s="365">
        <v>0</v>
      </c>
      <c r="ES233" s="365">
        <v>0</v>
      </c>
      <c r="ET233" s="365">
        <v>0</v>
      </c>
      <c r="EU233" s="365">
        <v>0</v>
      </c>
      <c r="EV233" s="436">
        <v>0</v>
      </c>
      <c r="EW233" s="436">
        <v>0</v>
      </c>
      <c r="EX233" s="436">
        <v>0</v>
      </c>
      <c r="EY233" s="436">
        <v>0</v>
      </c>
      <c r="EZ233" s="365">
        <v>0</v>
      </c>
      <c r="FA233" s="436">
        <v>0</v>
      </c>
      <c r="FB233" s="436">
        <v>0</v>
      </c>
      <c r="FC233" s="436">
        <v>0</v>
      </c>
      <c r="FD233" s="436">
        <v>0</v>
      </c>
      <c r="FE233" s="365">
        <v>0</v>
      </c>
      <c r="FF233" s="364">
        <v>0</v>
      </c>
      <c r="FG233" s="364">
        <v>0</v>
      </c>
      <c r="FH233" s="364">
        <v>0</v>
      </c>
      <c r="FI233" s="365">
        <v>0</v>
      </c>
      <c r="FJ233" s="365">
        <v>0</v>
      </c>
      <c r="FK233" s="365">
        <v>0</v>
      </c>
      <c r="FL233" s="365">
        <v>0</v>
      </c>
      <c r="FM233" s="365">
        <v>0</v>
      </c>
      <c r="FN233" s="365">
        <v>0</v>
      </c>
      <c r="FO233" s="365">
        <v>0</v>
      </c>
      <c r="FP233" s="365">
        <v>0</v>
      </c>
      <c r="FQ233" s="365">
        <v>0</v>
      </c>
      <c r="FR233" s="365">
        <v>0</v>
      </c>
      <c r="FS233" s="365">
        <v>0</v>
      </c>
      <c r="FT233" s="365">
        <v>0</v>
      </c>
      <c r="FU233" s="436">
        <v>0</v>
      </c>
      <c r="FV233" s="436">
        <v>0</v>
      </c>
      <c r="FW233" s="436">
        <v>0</v>
      </c>
      <c r="FX233" s="436">
        <v>0</v>
      </c>
      <c r="FY233" s="365">
        <v>0</v>
      </c>
      <c r="FZ233" s="436">
        <v>0</v>
      </c>
      <c r="GA233" s="436">
        <v>0</v>
      </c>
      <c r="GB233" s="436">
        <v>0</v>
      </c>
      <c r="GC233" s="436">
        <v>0</v>
      </c>
      <c r="GD233" s="365">
        <v>0</v>
      </c>
    </row>
    <row r="234" spans="1:186" ht="15" x14ac:dyDescent="0.25">
      <c r="A234" s="357">
        <v>100</v>
      </c>
      <c r="B234" s="357">
        <v>95</v>
      </c>
      <c r="C234" s="357" t="s">
        <v>1144</v>
      </c>
      <c r="D234" s="2">
        <v>99709</v>
      </c>
      <c r="E234" s="268" t="s">
        <v>1527</v>
      </c>
      <c r="F234" s="358" t="s">
        <v>985</v>
      </c>
      <c r="G234" s="49">
        <v>81</v>
      </c>
      <c r="H234" s="49">
        <v>34</v>
      </c>
      <c r="I234" s="49">
        <v>31</v>
      </c>
      <c r="J234" s="49">
        <v>3</v>
      </c>
      <c r="K234" s="49">
        <v>0</v>
      </c>
      <c r="L234" s="49">
        <v>57</v>
      </c>
      <c r="M234" s="49">
        <v>57</v>
      </c>
      <c r="N234" s="49">
        <v>0</v>
      </c>
      <c r="O234" s="49">
        <v>0</v>
      </c>
      <c r="P234" s="49">
        <v>0</v>
      </c>
      <c r="Q234" s="49">
        <v>57</v>
      </c>
      <c r="R234" s="49">
        <v>0</v>
      </c>
      <c r="S234" s="49">
        <v>2789.1754385964914</v>
      </c>
      <c r="T234" s="49">
        <v>2789.1754385964914</v>
      </c>
      <c r="U234" s="49">
        <v>0</v>
      </c>
      <c r="V234" s="49">
        <v>0</v>
      </c>
      <c r="W234" s="49">
        <v>0</v>
      </c>
      <c r="X234" s="49">
        <v>2789.1754385964914</v>
      </c>
      <c r="Y234" s="434">
        <v>158983</v>
      </c>
      <c r="Z234" s="434">
        <v>0</v>
      </c>
      <c r="AA234" s="49">
        <v>0</v>
      </c>
      <c r="AB234" s="49">
        <v>34</v>
      </c>
      <c r="AC234" s="49">
        <v>0</v>
      </c>
      <c r="AD234" s="285">
        <v>0</v>
      </c>
      <c r="AE234" s="285">
        <v>0</v>
      </c>
      <c r="AF234" s="359">
        <v>34</v>
      </c>
      <c r="AG234" s="360">
        <v>0</v>
      </c>
      <c r="AH234" s="360">
        <v>31</v>
      </c>
      <c r="AI234" s="361">
        <v>31</v>
      </c>
      <c r="AJ234" s="360">
        <v>0</v>
      </c>
      <c r="AK234" s="360">
        <v>0</v>
      </c>
      <c r="AL234" s="360">
        <v>32.373385430263134</v>
      </c>
      <c r="AM234" s="360">
        <v>32.373385430263134</v>
      </c>
      <c r="AN234" s="360">
        <v>0</v>
      </c>
      <c r="AO234" s="360">
        <v>0</v>
      </c>
      <c r="AP234" s="360">
        <v>29.572593495837264</v>
      </c>
      <c r="AQ234" s="360">
        <v>29.572593495837264</v>
      </c>
      <c r="AR234" s="360">
        <v>0</v>
      </c>
      <c r="AS234" s="360">
        <v>0</v>
      </c>
      <c r="AT234" s="360">
        <v>0</v>
      </c>
      <c r="AU234" s="360">
        <v>30.824590712246284</v>
      </c>
      <c r="AV234" s="360">
        <v>31.589497556271105</v>
      </c>
      <c r="AW234" s="360">
        <v>32.373385430263134</v>
      </c>
      <c r="AX234" s="360">
        <v>33.176725345171526</v>
      </c>
      <c r="AY234" s="360">
        <v>34</v>
      </c>
      <c r="AZ234" s="360">
        <v>28.210912453872144</v>
      </c>
      <c r="BA234" s="360">
        <v>28.883729782440046</v>
      </c>
      <c r="BB234" s="360">
        <v>29.572593495837264</v>
      </c>
      <c r="BC234" s="360">
        <v>30.277886292985432</v>
      </c>
      <c r="BD234" s="360">
        <v>31</v>
      </c>
      <c r="BE234" s="360">
        <v>0</v>
      </c>
      <c r="BF234" s="360">
        <v>0</v>
      </c>
      <c r="BG234" s="360">
        <v>0</v>
      </c>
      <c r="BH234" s="360">
        <v>0</v>
      </c>
      <c r="BI234" s="360">
        <v>0</v>
      </c>
      <c r="BJ234" s="362">
        <v>34.353730348034794</v>
      </c>
      <c r="BK234" s="362">
        <v>34.711140847808437</v>
      </c>
      <c r="BL234" s="362">
        <v>35.072269787007848</v>
      </c>
      <c r="BM234" s="363">
        <v>34.841685000947635</v>
      </c>
      <c r="BN234" s="363">
        <v>34.612616208687797</v>
      </c>
      <c r="BO234" s="363">
        <v>34.502086921751612</v>
      </c>
      <c r="BP234" s="363">
        <v>34.391910590604638</v>
      </c>
      <c r="BQ234" s="363">
        <v>34.282086088144794</v>
      </c>
      <c r="BR234" s="363">
        <v>34.17261229086921</v>
      </c>
      <c r="BS234" s="363">
        <v>34.063488078862704</v>
      </c>
      <c r="BT234" s="363">
        <v>34.315454604409666</v>
      </c>
      <c r="BU234" s="363">
        <v>34.569284918240697</v>
      </c>
      <c r="BV234" s="363">
        <v>34.824992806737797</v>
      </c>
      <c r="BW234" s="363">
        <v>35.082592158260368</v>
      </c>
      <c r="BX234" s="363">
        <v>35.342096963899543</v>
      </c>
      <c r="BY234" s="435">
        <v>35.484554485119347</v>
      </c>
      <c r="BZ234" s="435">
        <v>35.627012006339143</v>
      </c>
      <c r="CA234" s="435">
        <v>35.769469527558947</v>
      </c>
      <c r="CB234" s="435">
        <v>35.911927048778743</v>
      </c>
      <c r="CC234" s="363">
        <v>36.054384569998547</v>
      </c>
      <c r="CD234" s="435">
        <v>36.171157631727489</v>
      </c>
      <c r="CE234" s="435">
        <v>36.287930693456424</v>
      </c>
      <c r="CF234" s="435">
        <v>36.404703755185366</v>
      </c>
      <c r="CG234" s="435">
        <v>36.521476816914301</v>
      </c>
      <c r="CH234" s="363">
        <v>36.638249878643244</v>
      </c>
      <c r="CI234" s="362">
        <v>31.322518846737609</v>
      </c>
      <c r="CJ234" s="362">
        <v>31.648393125942988</v>
      </c>
      <c r="CK234" s="362">
        <v>31.977657746977748</v>
      </c>
      <c r="CL234" s="363">
        <v>31.767418677334611</v>
      </c>
      <c r="CM234" s="363">
        <v>31.558561837332999</v>
      </c>
      <c r="CN234" s="363">
        <v>31.457785134538238</v>
      </c>
      <c r="CO234" s="363">
        <v>31.357330244374825</v>
      </c>
      <c r="CP234" s="363">
        <v>31.257196139190849</v>
      </c>
      <c r="CQ234" s="363">
        <v>31.157381794616047</v>
      </c>
      <c r="CR234" s="363">
        <v>31.057886189551297</v>
      </c>
      <c r="CS234" s="363">
        <v>31.287620374608817</v>
      </c>
      <c r="CT234" s="363">
        <v>31.519053896042998</v>
      </c>
      <c r="CU234" s="363">
        <v>31.752199323790347</v>
      </c>
      <c r="CV234" s="363">
        <v>31.98706932076681</v>
      </c>
      <c r="CW234" s="363">
        <v>32.223676643555464</v>
      </c>
      <c r="CX234" s="435">
        <v>32.353564383491168</v>
      </c>
      <c r="CY234" s="435">
        <v>32.483452123426865</v>
      </c>
      <c r="CZ234" s="435">
        <v>32.613339863362569</v>
      </c>
      <c r="DA234" s="435">
        <v>32.743227603298266</v>
      </c>
      <c r="DB234" s="363">
        <v>32.87311534323397</v>
      </c>
      <c r="DC234" s="435">
        <v>32.97958489951624</v>
      </c>
      <c r="DD234" s="435">
        <v>33.086054455798511</v>
      </c>
      <c r="DE234" s="435">
        <v>33.192524012080774</v>
      </c>
      <c r="DF234" s="435">
        <v>33.298993568363045</v>
      </c>
      <c r="DG234" s="363">
        <v>33.405463124645316</v>
      </c>
      <c r="DH234" s="362">
        <v>0</v>
      </c>
      <c r="DI234" s="362">
        <v>0</v>
      </c>
      <c r="DJ234" s="362">
        <v>0</v>
      </c>
      <c r="DK234" s="363">
        <v>0</v>
      </c>
      <c r="DL234" s="363">
        <v>0</v>
      </c>
      <c r="DM234" s="363">
        <v>0</v>
      </c>
      <c r="DN234" s="363">
        <v>0</v>
      </c>
      <c r="DO234" s="363">
        <v>0</v>
      </c>
      <c r="DP234" s="363">
        <v>0</v>
      </c>
      <c r="DQ234" s="363">
        <v>0</v>
      </c>
      <c r="DR234" s="363">
        <v>0</v>
      </c>
      <c r="DS234" s="363">
        <v>0</v>
      </c>
      <c r="DT234" s="363">
        <v>0</v>
      </c>
      <c r="DU234" s="363">
        <v>0</v>
      </c>
      <c r="DV234" s="363">
        <v>0</v>
      </c>
      <c r="DW234" s="435">
        <v>0</v>
      </c>
      <c r="DX234" s="435">
        <v>0</v>
      </c>
      <c r="DY234" s="435">
        <v>0</v>
      </c>
      <c r="DZ234" s="435">
        <v>0</v>
      </c>
      <c r="EA234" s="363">
        <v>0</v>
      </c>
      <c r="EB234" s="435">
        <v>0</v>
      </c>
      <c r="EC234" s="435">
        <v>0</v>
      </c>
      <c r="ED234" s="435">
        <v>0</v>
      </c>
      <c r="EE234" s="435">
        <v>0</v>
      </c>
      <c r="EF234" s="363">
        <v>0</v>
      </c>
      <c r="EG234" s="364">
        <v>0</v>
      </c>
      <c r="EH234" s="364">
        <v>0</v>
      </c>
      <c r="EI234" s="364">
        <v>0</v>
      </c>
      <c r="EJ234" s="365">
        <v>0</v>
      </c>
      <c r="EK234" s="365">
        <v>0</v>
      </c>
      <c r="EL234" s="365">
        <v>0</v>
      </c>
      <c r="EM234" s="365">
        <v>0</v>
      </c>
      <c r="EN234" s="365">
        <v>0</v>
      </c>
      <c r="EO234" s="365">
        <v>0</v>
      </c>
      <c r="EP234" s="365">
        <v>0</v>
      </c>
      <c r="EQ234" s="365">
        <v>0</v>
      </c>
      <c r="ER234" s="365">
        <v>0</v>
      </c>
      <c r="ES234" s="365">
        <v>0</v>
      </c>
      <c r="ET234" s="365">
        <v>0</v>
      </c>
      <c r="EU234" s="365">
        <v>0</v>
      </c>
      <c r="EV234" s="436">
        <v>0</v>
      </c>
      <c r="EW234" s="436">
        <v>0</v>
      </c>
      <c r="EX234" s="436">
        <v>0</v>
      </c>
      <c r="EY234" s="436">
        <v>0</v>
      </c>
      <c r="EZ234" s="365">
        <v>0</v>
      </c>
      <c r="FA234" s="436">
        <v>0</v>
      </c>
      <c r="FB234" s="436">
        <v>0</v>
      </c>
      <c r="FC234" s="436">
        <v>0</v>
      </c>
      <c r="FD234" s="436">
        <v>0</v>
      </c>
      <c r="FE234" s="365">
        <v>0</v>
      </c>
      <c r="FF234" s="364">
        <v>0</v>
      </c>
      <c r="FG234" s="364">
        <v>0</v>
      </c>
      <c r="FH234" s="364">
        <v>0</v>
      </c>
      <c r="FI234" s="365">
        <v>0</v>
      </c>
      <c r="FJ234" s="365">
        <v>0</v>
      </c>
      <c r="FK234" s="365">
        <v>0</v>
      </c>
      <c r="FL234" s="365">
        <v>0</v>
      </c>
      <c r="FM234" s="365">
        <v>0</v>
      </c>
      <c r="FN234" s="365">
        <v>0</v>
      </c>
      <c r="FO234" s="365">
        <v>0</v>
      </c>
      <c r="FP234" s="365">
        <v>0</v>
      </c>
      <c r="FQ234" s="365">
        <v>0</v>
      </c>
      <c r="FR234" s="365">
        <v>0</v>
      </c>
      <c r="FS234" s="365">
        <v>0</v>
      </c>
      <c r="FT234" s="365">
        <v>0</v>
      </c>
      <c r="FU234" s="436">
        <v>0</v>
      </c>
      <c r="FV234" s="436">
        <v>0</v>
      </c>
      <c r="FW234" s="436">
        <v>0</v>
      </c>
      <c r="FX234" s="436">
        <v>0</v>
      </c>
      <c r="FY234" s="365">
        <v>0</v>
      </c>
      <c r="FZ234" s="436">
        <v>0</v>
      </c>
      <c r="GA234" s="436">
        <v>0</v>
      </c>
      <c r="GB234" s="436">
        <v>0</v>
      </c>
      <c r="GC234" s="436">
        <v>0</v>
      </c>
      <c r="GD234" s="365">
        <v>0</v>
      </c>
    </row>
    <row r="235" spans="1:186" ht="15" x14ac:dyDescent="0.25">
      <c r="A235" s="357">
        <v>101</v>
      </c>
      <c r="B235" s="357">
        <v>95</v>
      </c>
      <c r="C235" s="357" t="s">
        <v>1145</v>
      </c>
      <c r="D235" s="2">
        <v>99709</v>
      </c>
      <c r="E235" s="268" t="s">
        <v>1527</v>
      </c>
      <c r="F235" s="358" t="s">
        <v>985</v>
      </c>
      <c r="G235" s="49">
        <v>305</v>
      </c>
      <c r="H235" s="49">
        <v>100</v>
      </c>
      <c r="I235" s="49">
        <v>90</v>
      </c>
      <c r="J235" s="49">
        <v>10</v>
      </c>
      <c r="K235" s="49">
        <v>0</v>
      </c>
      <c r="L235" s="49">
        <v>34</v>
      </c>
      <c r="M235" s="49">
        <v>34</v>
      </c>
      <c r="N235" s="49">
        <v>1</v>
      </c>
      <c r="O235" s="49">
        <v>0</v>
      </c>
      <c r="P235" s="49">
        <v>0</v>
      </c>
      <c r="Q235" s="49">
        <v>35</v>
      </c>
      <c r="R235" s="49">
        <v>0</v>
      </c>
      <c r="S235" s="49">
        <v>1872.6764705882354</v>
      </c>
      <c r="T235" s="49">
        <v>1872.6764705882354</v>
      </c>
      <c r="U235" s="49">
        <v>968</v>
      </c>
      <c r="V235" s="49">
        <v>0</v>
      </c>
      <c r="W235" s="49">
        <v>0</v>
      </c>
      <c r="X235" s="49">
        <v>1846.8285714285714</v>
      </c>
      <c r="Y235" s="434">
        <v>63671</v>
      </c>
      <c r="Z235" s="434">
        <v>968</v>
      </c>
      <c r="AA235" s="49">
        <v>0</v>
      </c>
      <c r="AB235" s="49">
        <v>100</v>
      </c>
      <c r="AC235" s="49">
        <v>0</v>
      </c>
      <c r="AD235" s="285">
        <v>1</v>
      </c>
      <c r="AE235" s="285">
        <v>0</v>
      </c>
      <c r="AF235" s="359">
        <v>101</v>
      </c>
      <c r="AG235" s="360">
        <v>0</v>
      </c>
      <c r="AH235" s="360">
        <v>90</v>
      </c>
      <c r="AI235" s="361">
        <v>90</v>
      </c>
      <c r="AJ235" s="360">
        <v>0</v>
      </c>
      <c r="AK235" s="360">
        <v>0</v>
      </c>
      <c r="AL235" s="360">
        <v>95.215839500773939</v>
      </c>
      <c r="AM235" s="360">
        <v>95.215839500773939</v>
      </c>
      <c r="AN235" s="360">
        <v>0</v>
      </c>
      <c r="AO235" s="360">
        <v>0</v>
      </c>
      <c r="AP235" s="360">
        <v>85.855916600817864</v>
      </c>
      <c r="AQ235" s="360">
        <v>85.855916600817864</v>
      </c>
      <c r="AR235" s="360">
        <v>0</v>
      </c>
      <c r="AS235" s="360">
        <v>0.95966573850124082</v>
      </c>
      <c r="AT235" s="360">
        <v>0</v>
      </c>
      <c r="AU235" s="360">
        <v>90.660560918371417</v>
      </c>
      <c r="AV235" s="360">
        <v>92.910286930209139</v>
      </c>
      <c r="AW235" s="360">
        <v>95.215839500773939</v>
      </c>
      <c r="AX235" s="360">
        <v>97.578603956386843</v>
      </c>
      <c r="AY235" s="360">
        <v>100</v>
      </c>
      <c r="AZ235" s="360">
        <v>81.902649059628814</v>
      </c>
      <c r="BA235" s="360">
        <v>83.855989690954971</v>
      </c>
      <c r="BB235" s="360">
        <v>85.855916600817864</v>
      </c>
      <c r="BC235" s="360">
        <v>87.903540850602866</v>
      </c>
      <c r="BD235" s="360">
        <v>90</v>
      </c>
      <c r="BE235" s="360">
        <v>0.92095832965313207</v>
      </c>
      <c r="BF235" s="360">
        <v>0.94011284192667122</v>
      </c>
      <c r="BG235" s="360">
        <v>0.95966573850124082</v>
      </c>
      <c r="BH235" s="360">
        <v>0.97962530515561963</v>
      </c>
      <c r="BI235" s="360">
        <v>1</v>
      </c>
      <c r="BJ235" s="362">
        <v>101.04038337657293</v>
      </c>
      <c r="BK235" s="362">
        <v>102.09159072884835</v>
      </c>
      <c r="BL235" s="362">
        <v>103.15373466767015</v>
      </c>
      <c r="BM235" s="363">
        <v>102.47554412043422</v>
      </c>
      <c r="BN235" s="363">
        <v>101.80181237849354</v>
      </c>
      <c r="BO235" s="363">
        <v>101.47672624044593</v>
      </c>
      <c r="BP235" s="363">
        <v>101.15267820766071</v>
      </c>
      <c r="BQ235" s="363">
        <v>100.82966496513177</v>
      </c>
      <c r="BR235" s="363">
        <v>100.50768320843886</v>
      </c>
      <c r="BS235" s="363">
        <v>100.18672964371385</v>
      </c>
      <c r="BT235" s="363">
        <v>100.92780766002844</v>
      </c>
      <c r="BU235" s="363">
        <v>101.67436740659031</v>
      </c>
      <c r="BV235" s="363">
        <v>102.42644943158176</v>
      </c>
      <c r="BW235" s="363">
        <v>103.18409458311874</v>
      </c>
      <c r="BX235" s="363">
        <v>103.94734401146924</v>
      </c>
      <c r="BY235" s="435">
        <v>104.36633672093924</v>
      </c>
      <c r="BZ235" s="435">
        <v>104.78532943040925</v>
      </c>
      <c r="CA235" s="435">
        <v>105.20432213987925</v>
      </c>
      <c r="CB235" s="435">
        <v>105.62331484934926</v>
      </c>
      <c r="CC235" s="363">
        <v>106.04230755881926</v>
      </c>
      <c r="CD235" s="435">
        <v>106.38575774037497</v>
      </c>
      <c r="CE235" s="435">
        <v>106.72920792193068</v>
      </c>
      <c r="CF235" s="435">
        <v>107.07265810348638</v>
      </c>
      <c r="CG235" s="435">
        <v>107.41610828504209</v>
      </c>
      <c r="CH235" s="363">
        <v>107.7595584665978</v>
      </c>
      <c r="CI235" s="362">
        <v>90.936345038915633</v>
      </c>
      <c r="CJ235" s="362">
        <v>91.882431655963515</v>
      </c>
      <c r="CK235" s="362">
        <v>92.838361200903137</v>
      </c>
      <c r="CL235" s="363">
        <v>92.227989708390808</v>
      </c>
      <c r="CM235" s="363">
        <v>91.621631140644183</v>
      </c>
      <c r="CN235" s="363">
        <v>91.329053616401339</v>
      </c>
      <c r="CO235" s="363">
        <v>91.037410386894649</v>
      </c>
      <c r="CP235" s="363">
        <v>90.74669846861859</v>
      </c>
      <c r="CQ235" s="363">
        <v>90.456914887594976</v>
      </c>
      <c r="CR235" s="363">
        <v>90.16805667934247</v>
      </c>
      <c r="CS235" s="363">
        <v>90.835026894025603</v>
      </c>
      <c r="CT235" s="363">
        <v>91.506930665931279</v>
      </c>
      <c r="CU235" s="363">
        <v>92.18380448842359</v>
      </c>
      <c r="CV235" s="363">
        <v>92.865685124806859</v>
      </c>
      <c r="CW235" s="363">
        <v>93.552609610322321</v>
      </c>
      <c r="CX235" s="435">
        <v>93.929703048845326</v>
      </c>
      <c r="CY235" s="435">
        <v>94.306796487368331</v>
      </c>
      <c r="CZ235" s="435">
        <v>94.683889925891322</v>
      </c>
      <c r="DA235" s="435">
        <v>95.060983364414327</v>
      </c>
      <c r="DB235" s="363">
        <v>95.438076802937331</v>
      </c>
      <c r="DC235" s="435">
        <v>95.747181966337465</v>
      </c>
      <c r="DD235" s="435">
        <v>96.056287129737598</v>
      </c>
      <c r="DE235" s="435">
        <v>96.365392293137745</v>
      </c>
      <c r="DF235" s="435">
        <v>96.674497456537878</v>
      </c>
      <c r="DG235" s="363">
        <v>96.983602619938011</v>
      </c>
      <c r="DH235" s="362">
        <v>1.0104038337657293</v>
      </c>
      <c r="DI235" s="362">
        <v>1.0209159072884835</v>
      </c>
      <c r="DJ235" s="362">
        <v>1.0315373466767015</v>
      </c>
      <c r="DK235" s="363">
        <v>1.0247554412043423</v>
      </c>
      <c r="DL235" s="363">
        <v>1.0180181237849353</v>
      </c>
      <c r="DM235" s="363">
        <v>1.0147672624044592</v>
      </c>
      <c r="DN235" s="363">
        <v>1.0115267820766072</v>
      </c>
      <c r="DO235" s="363">
        <v>1.0082966496513177</v>
      </c>
      <c r="DP235" s="363">
        <v>1.0050768320843886</v>
      </c>
      <c r="DQ235" s="363">
        <v>1.0018672964371385</v>
      </c>
      <c r="DR235" s="363">
        <v>1.0092780766002845</v>
      </c>
      <c r="DS235" s="363">
        <v>1.016743674065903</v>
      </c>
      <c r="DT235" s="363">
        <v>1.0242644943158177</v>
      </c>
      <c r="DU235" s="363">
        <v>1.0318409458311875</v>
      </c>
      <c r="DV235" s="363">
        <v>1.0394734401146926</v>
      </c>
      <c r="DW235" s="435">
        <v>1.0436633672093925</v>
      </c>
      <c r="DX235" s="435">
        <v>1.0478532943040926</v>
      </c>
      <c r="DY235" s="435">
        <v>1.0520432213987925</v>
      </c>
      <c r="DZ235" s="435">
        <v>1.0562331484934926</v>
      </c>
      <c r="EA235" s="363">
        <v>1.0604230755881925</v>
      </c>
      <c r="EB235" s="435">
        <v>1.0638575774037495</v>
      </c>
      <c r="EC235" s="435">
        <v>1.0672920792193066</v>
      </c>
      <c r="ED235" s="435">
        <v>1.0707265810348638</v>
      </c>
      <c r="EE235" s="435">
        <v>1.0741610828504209</v>
      </c>
      <c r="EF235" s="363">
        <v>1.0775955846659779</v>
      </c>
      <c r="EG235" s="364">
        <v>0</v>
      </c>
      <c r="EH235" s="364">
        <v>0</v>
      </c>
      <c r="EI235" s="364">
        <v>0</v>
      </c>
      <c r="EJ235" s="365">
        <v>0</v>
      </c>
      <c r="EK235" s="365">
        <v>0</v>
      </c>
      <c r="EL235" s="365">
        <v>0</v>
      </c>
      <c r="EM235" s="365">
        <v>0</v>
      </c>
      <c r="EN235" s="365">
        <v>0</v>
      </c>
      <c r="EO235" s="365">
        <v>0</v>
      </c>
      <c r="EP235" s="365">
        <v>0</v>
      </c>
      <c r="EQ235" s="365">
        <v>0</v>
      </c>
      <c r="ER235" s="365">
        <v>0</v>
      </c>
      <c r="ES235" s="365">
        <v>0</v>
      </c>
      <c r="ET235" s="365">
        <v>0</v>
      </c>
      <c r="EU235" s="365">
        <v>0</v>
      </c>
      <c r="EV235" s="436">
        <v>0</v>
      </c>
      <c r="EW235" s="436">
        <v>0</v>
      </c>
      <c r="EX235" s="436">
        <v>0</v>
      </c>
      <c r="EY235" s="436">
        <v>0</v>
      </c>
      <c r="EZ235" s="365">
        <v>0</v>
      </c>
      <c r="FA235" s="436">
        <v>0</v>
      </c>
      <c r="FB235" s="436">
        <v>0</v>
      </c>
      <c r="FC235" s="436">
        <v>0</v>
      </c>
      <c r="FD235" s="436">
        <v>0</v>
      </c>
      <c r="FE235" s="365">
        <v>0</v>
      </c>
      <c r="FF235" s="364">
        <v>0</v>
      </c>
      <c r="FG235" s="364">
        <v>0</v>
      </c>
      <c r="FH235" s="364">
        <v>0</v>
      </c>
      <c r="FI235" s="365">
        <v>0</v>
      </c>
      <c r="FJ235" s="365">
        <v>0</v>
      </c>
      <c r="FK235" s="365">
        <v>0</v>
      </c>
      <c r="FL235" s="365">
        <v>0</v>
      </c>
      <c r="FM235" s="365">
        <v>0</v>
      </c>
      <c r="FN235" s="365">
        <v>0</v>
      </c>
      <c r="FO235" s="365">
        <v>0</v>
      </c>
      <c r="FP235" s="365">
        <v>0</v>
      </c>
      <c r="FQ235" s="365">
        <v>0</v>
      </c>
      <c r="FR235" s="365">
        <v>0</v>
      </c>
      <c r="FS235" s="365">
        <v>0</v>
      </c>
      <c r="FT235" s="365">
        <v>0</v>
      </c>
      <c r="FU235" s="436">
        <v>0</v>
      </c>
      <c r="FV235" s="436">
        <v>0</v>
      </c>
      <c r="FW235" s="436">
        <v>0</v>
      </c>
      <c r="FX235" s="436">
        <v>0</v>
      </c>
      <c r="FY235" s="365">
        <v>0</v>
      </c>
      <c r="FZ235" s="436">
        <v>0</v>
      </c>
      <c r="GA235" s="436">
        <v>0</v>
      </c>
      <c r="GB235" s="436">
        <v>0</v>
      </c>
      <c r="GC235" s="436">
        <v>0</v>
      </c>
      <c r="GD235" s="365">
        <v>0</v>
      </c>
    </row>
    <row r="236" spans="1:186" ht="15" x14ac:dyDescent="0.25">
      <c r="A236" s="357">
        <v>102</v>
      </c>
      <c r="B236" s="357">
        <v>95</v>
      </c>
      <c r="C236" s="357" t="s">
        <v>1146</v>
      </c>
      <c r="D236" s="2">
        <v>99709</v>
      </c>
      <c r="E236" s="268" t="s">
        <v>1527</v>
      </c>
      <c r="F236" s="358" t="s">
        <v>985</v>
      </c>
      <c r="G236" s="49">
        <v>70</v>
      </c>
      <c r="H236" s="49">
        <v>46</v>
      </c>
      <c r="I236" s="49">
        <v>35</v>
      </c>
      <c r="J236" s="49">
        <v>11</v>
      </c>
      <c r="K236" s="49">
        <v>1</v>
      </c>
      <c r="L236" s="49">
        <v>47</v>
      </c>
      <c r="M236" s="49">
        <v>48</v>
      </c>
      <c r="N236" s="49">
        <v>10</v>
      </c>
      <c r="O236" s="49">
        <v>0</v>
      </c>
      <c r="P236" s="49">
        <v>0</v>
      </c>
      <c r="Q236" s="49">
        <v>58</v>
      </c>
      <c r="R236" s="49">
        <v>7504</v>
      </c>
      <c r="S236" s="49">
        <v>2140.7021276595747</v>
      </c>
      <c r="T236" s="49">
        <v>2252.4375000000005</v>
      </c>
      <c r="U236" s="49">
        <v>5436.4</v>
      </c>
      <c r="V236" s="49">
        <v>0</v>
      </c>
      <c r="W236" s="49">
        <v>0</v>
      </c>
      <c r="X236" s="49">
        <v>2801.3965517241381</v>
      </c>
      <c r="Y236" s="434">
        <v>108117.00000000003</v>
      </c>
      <c r="Z236" s="434">
        <v>54364</v>
      </c>
      <c r="AA236" s="49">
        <v>0.95833333333333337</v>
      </c>
      <c r="AB236" s="49">
        <v>45.041666666666664</v>
      </c>
      <c r="AC236" s="49">
        <v>0</v>
      </c>
      <c r="AD236" s="285">
        <v>10</v>
      </c>
      <c r="AE236" s="285">
        <v>0</v>
      </c>
      <c r="AF236" s="359">
        <v>56</v>
      </c>
      <c r="AG236" s="360">
        <v>0.72916666666666674</v>
      </c>
      <c r="AH236" s="360">
        <v>34.270833333333329</v>
      </c>
      <c r="AI236" s="361">
        <v>34.999999999999993</v>
      </c>
      <c r="AJ236" s="360">
        <v>0</v>
      </c>
      <c r="AK236" s="360">
        <v>0.91248512854908359</v>
      </c>
      <c r="AL236" s="360">
        <v>42.886801041806926</v>
      </c>
      <c r="AM236" s="360">
        <v>43.799286170356012</v>
      </c>
      <c r="AN236" s="360">
        <v>0</v>
      </c>
      <c r="AO236" s="360">
        <v>0.69559191690477451</v>
      </c>
      <c r="AP236" s="360">
        <v>32.692820094524393</v>
      </c>
      <c r="AQ236" s="360">
        <v>33.388412011429168</v>
      </c>
      <c r="AR236" s="360">
        <v>0</v>
      </c>
      <c r="AS236" s="360">
        <v>9.5966573850124082</v>
      </c>
      <c r="AT236" s="360">
        <v>0</v>
      </c>
      <c r="AU236" s="360">
        <v>41.703858022450852</v>
      </c>
      <c r="AV236" s="360">
        <v>42.738731987896202</v>
      </c>
      <c r="AW236" s="360">
        <v>43.799286170356012</v>
      </c>
      <c r="AX236" s="360">
        <v>44.886157819937942</v>
      </c>
      <c r="AY236" s="360">
        <v>46</v>
      </c>
      <c r="AZ236" s="360">
        <v>31.851030189855642</v>
      </c>
      <c r="BA236" s="360">
        <v>32.610662657593593</v>
      </c>
      <c r="BB236" s="360">
        <v>33.388412011429168</v>
      </c>
      <c r="BC236" s="360">
        <v>34.184710330789997</v>
      </c>
      <c r="BD236" s="360">
        <v>34.999999999999993</v>
      </c>
      <c r="BE236" s="360">
        <v>9.2095832965313207</v>
      </c>
      <c r="BF236" s="360">
        <v>9.4011284192667119</v>
      </c>
      <c r="BG236" s="360">
        <v>9.5966573850124082</v>
      </c>
      <c r="BH236" s="360">
        <v>9.7962530515561959</v>
      </c>
      <c r="BI236" s="360">
        <v>10</v>
      </c>
      <c r="BJ236" s="362">
        <v>46.478576353223545</v>
      </c>
      <c r="BK236" s="362">
        <v>46.962131735270241</v>
      </c>
      <c r="BL236" s="362">
        <v>47.450717947128268</v>
      </c>
      <c r="BM236" s="363">
        <v>47.138750295399745</v>
      </c>
      <c r="BN236" s="363">
        <v>46.828833694107026</v>
      </c>
      <c r="BO236" s="363">
        <v>46.679294070605124</v>
      </c>
      <c r="BP236" s="363">
        <v>46.530231975523932</v>
      </c>
      <c r="BQ236" s="363">
        <v>46.381645883960616</v>
      </c>
      <c r="BR236" s="363">
        <v>46.233534275881873</v>
      </c>
      <c r="BS236" s="363">
        <v>46.085895636108368</v>
      </c>
      <c r="BT236" s="363">
        <v>46.426791523613083</v>
      </c>
      <c r="BU236" s="363">
        <v>46.770209007031539</v>
      </c>
      <c r="BV236" s="363">
        <v>47.11616673852761</v>
      </c>
      <c r="BW236" s="363">
        <v>47.464683508234621</v>
      </c>
      <c r="BX236" s="363">
        <v>47.815778245275851</v>
      </c>
      <c r="BY236" s="435">
        <v>48.008514891632053</v>
      </c>
      <c r="BZ236" s="435">
        <v>48.201251537988256</v>
      </c>
      <c r="CA236" s="435">
        <v>48.393988184344451</v>
      </c>
      <c r="CB236" s="435">
        <v>48.586724830700653</v>
      </c>
      <c r="CC236" s="363">
        <v>48.779461477056856</v>
      </c>
      <c r="CD236" s="435">
        <v>48.937448560572484</v>
      </c>
      <c r="CE236" s="435">
        <v>49.095435644088106</v>
      </c>
      <c r="CF236" s="435">
        <v>49.253422727603734</v>
      </c>
      <c r="CG236" s="435">
        <v>49.411409811119356</v>
      </c>
      <c r="CH236" s="363">
        <v>49.569396894634984</v>
      </c>
      <c r="CI236" s="362">
        <v>35.364134181800516</v>
      </c>
      <c r="CJ236" s="362">
        <v>35.732056755096913</v>
      </c>
      <c r="CK236" s="362">
        <v>36.103807133684548</v>
      </c>
      <c r="CL236" s="363">
        <v>35.866440442151976</v>
      </c>
      <c r="CM236" s="363">
        <v>35.630634332472731</v>
      </c>
      <c r="CN236" s="363">
        <v>35.516854184156074</v>
      </c>
      <c r="CO236" s="363">
        <v>35.403437372681246</v>
      </c>
      <c r="CP236" s="363">
        <v>35.290382737796115</v>
      </c>
      <c r="CQ236" s="363">
        <v>35.177689122953595</v>
      </c>
      <c r="CR236" s="363">
        <v>35.065355375299845</v>
      </c>
      <c r="CS236" s="363">
        <v>35.324732681009948</v>
      </c>
      <c r="CT236" s="363">
        <v>35.586028592306604</v>
      </c>
      <c r="CU236" s="363">
        <v>35.849257301053612</v>
      </c>
      <c r="CV236" s="363">
        <v>36.114433104091553</v>
      </c>
      <c r="CW236" s="363">
        <v>36.381570404014234</v>
      </c>
      <c r="CX236" s="435">
        <v>36.528217852328737</v>
      </c>
      <c r="CY236" s="435">
        <v>36.674865300643233</v>
      </c>
      <c r="CZ236" s="435">
        <v>36.821512748957737</v>
      </c>
      <c r="DA236" s="435">
        <v>36.968160197272233</v>
      </c>
      <c r="DB236" s="363">
        <v>37.114807645586737</v>
      </c>
      <c r="DC236" s="435">
        <v>37.235015209131234</v>
      </c>
      <c r="DD236" s="435">
        <v>37.355222772675731</v>
      </c>
      <c r="DE236" s="435">
        <v>37.475430336220228</v>
      </c>
      <c r="DF236" s="435">
        <v>37.595637899764725</v>
      </c>
      <c r="DG236" s="363">
        <v>37.715845463309222</v>
      </c>
      <c r="DH236" s="362">
        <v>10.104038337657293</v>
      </c>
      <c r="DI236" s="362">
        <v>10.209159072884834</v>
      </c>
      <c r="DJ236" s="362">
        <v>10.315373466767015</v>
      </c>
      <c r="DK236" s="363">
        <v>10.247554412043423</v>
      </c>
      <c r="DL236" s="363">
        <v>10.180181237849354</v>
      </c>
      <c r="DM236" s="363">
        <v>10.147672624044594</v>
      </c>
      <c r="DN236" s="363">
        <v>10.115267820766071</v>
      </c>
      <c r="DO236" s="363">
        <v>10.082966496513178</v>
      </c>
      <c r="DP236" s="363">
        <v>10.050768320843886</v>
      </c>
      <c r="DQ236" s="363">
        <v>10.018672964371385</v>
      </c>
      <c r="DR236" s="363">
        <v>10.092780766002845</v>
      </c>
      <c r="DS236" s="363">
        <v>10.167436740659031</v>
      </c>
      <c r="DT236" s="363">
        <v>10.242644943158176</v>
      </c>
      <c r="DU236" s="363">
        <v>10.318409458311875</v>
      </c>
      <c r="DV236" s="363">
        <v>10.394734401146925</v>
      </c>
      <c r="DW236" s="435">
        <v>10.436633672093926</v>
      </c>
      <c r="DX236" s="435">
        <v>10.478532943040927</v>
      </c>
      <c r="DY236" s="435">
        <v>10.520432213987926</v>
      </c>
      <c r="DZ236" s="435">
        <v>10.562331484934926</v>
      </c>
      <c r="EA236" s="363">
        <v>10.604230755881927</v>
      </c>
      <c r="EB236" s="435">
        <v>10.638575774037497</v>
      </c>
      <c r="EC236" s="435">
        <v>10.672920792193068</v>
      </c>
      <c r="ED236" s="435">
        <v>10.707265810348638</v>
      </c>
      <c r="EE236" s="435">
        <v>10.741610828504209</v>
      </c>
      <c r="EF236" s="363">
        <v>10.775955846659778</v>
      </c>
      <c r="EG236" s="364">
        <v>0</v>
      </c>
      <c r="EH236" s="364">
        <v>0</v>
      </c>
      <c r="EI236" s="364">
        <v>0</v>
      </c>
      <c r="EJ236" s="365">
        <v>0</v>
      </c>
      <c r="EK236" s="365">
        <v>0</v>
      </c>
      <c r="EL236" s="365">
        <v>0</v>
      </c>
      <c r="EM236" s="365">
        <v>0</v>
      </c>
      <c r="EN236" s="365">
        <v>0</v>
      </c>
      <c r="EO236" s="365">
        <v>0</v>
      </c>
      <c r="EP236" s="365">
        <v>0</v>
      </c>
      <c r="EQ236" s="365">
        <v>0</v>
      </c>
      <c r="ER236" s="365">
        <v>0</v>
      </c>
      <c r="ES236" s="365">
        <v>0</v>
      </c>
      <c r="ET236" s="365">
        <v>0</v>
      </c>
      <c r="EU236" s="365">
        <v>0</v>
      </c>
      <c r="EV236" s="436">
        <v>0</v>
      </c>
      <c r="EW236" s="436">
        <v>0</v>
      </c>
      <c r="EX236" s="436">
        <v>0</v>
      </c>
      <c r="EY236" s="436">
        <v>0</v>
      </c>
      <c r="EZ236" s="365">
        <v>0</v>
      </c>
      <c r="FA236" s="436">
        <v>0</v>
      </c>
      <c r="FB236" s="436">
        <v>0</v>
      </c>
      <c r="FC236" s="436">
        <v>0</v>
      </c>
      <c r="FD236" s="436">
        <v>0</v>
      </c>
      <c r="FE236" s="365">
        <v>0</v>
      </c>
      <c r="FF236" s="364">
        <v>0</v>
      </c>
      <c r="FG236" s="364">
        <v>0</v>
      </c>
      <c r="FH236" s="364">
        <v>0</v>
      </c>
      <c r="FI236" s="365">
        <v>0</v>
      </c>
      <c r="FJ236" s="365">
        <v>0</v>
      </c>
      <c r="FK236" s="365">
        <v>0</v>
      </c>
      <c r="FL236" s="365">
        <v>0</v>
      </c>
      <c r="FM236" s="365">
        <v>0</v>
      </c>
      <c r="FN236" s="365">
        <v>0</v>
      </c>
      <c r="FO236" s="365">
        <v>0</v>
      </c>
      <c r="FP236" s="365">
        <v>0</v>
      </c>
      <c r="FQ236" s="365">
        <v>0</v>
      </c>
      <c r="FR236" s="365">
        <v>0</v>
      </c>
      <c r="FS236" s="365">
        <v>0</v>
      </c>
      <c r="FT236" s="365">
        <v>0</v>
      </c>
      <c r="FU236" s="436">
        <v>0</v>
      </c>
      <c r="FV236" s="436">
        <v>0</v>
      </c>
      <c r="FW236" s="436">
        <v>0</v>
      </c>
      <c r="FX236" s="436">
        <v>0</v>
      </c>
      <c r="FY236" s="365">
        <v>0</v>
      </c>
      <c r="FZ236" s="436">
        <v>0</v>
      </c>
      <c r="GA236" s="436">
        <v>0</v>
      </c>
      <c r="GB236" s="436">
        <v>0</v>
      </c>
      <c r="GC236" s="436">
        <v>0</v>
      </c>
      <c r="GD236" s="365">
        <v>0</v>
      </c>
    </row>
    <row r="237" spans="1:186" ht="15" x14ac:dyDescent="0.25">
      <c r="A237" s="357">
        <v>103</v>
      </c>
      <c r="B237" s="357">
        <v>95</v>
      </c>
      <c r="C237" s="357" t="s">
        <v>1147</v>
      </c>
      <c r="D237" s="2">
        <v>99709</v>
      </c>
      <c r="E237" s="268" t="s">
        <v>1527</v>
      </c>
      <c r="F237" s="358" t="s">
        <v>985</v>
      </c>
      <c r="G237" s="49">
        <v>451</v>
      </c>
      <c r="H237" s="49">
        <v>244</v>
      </c>
      <c r="I237" s="49">
        <v>213</v>
      </c>
      <c r="J237" s="49">
        <v>31</v>
      </c>
      <c r="K237" s="49">
        <v>8</v>
      </c>
      <c r="L237" s="49">
        <v>73</v>
      </c>
      <c r="M237" s="49">
        <v>81</v>
      </c>
      <c r="N237" s="49">
        <v>3</v>
      </c>
      <c r="O237" s="49">
        <v>0</v>
      </c>
      <c r="P237" s="49">
        <v>0</v>
      </c>
      <c r="Q237" s="49">
        <v>84</v>
      </c>
      <c r="R237" s="49">
        <v>3671.125</v>
      </c>
      <c r="S237" s="49">
        <v>1580.3424657534247</v>
      </c>
      <c r="T237" s="49">
        <v>1786.8395061728395</v>
      </c>
      <c r="U237" s="49">
        <v>5404.333333333333</v>
      </c>
      <c r="V237" s="49">
        <v>0</v>
      </c>
      <c r="W237" s="49">
        <v>0</v>
      </c>
      <c r="X237" s="49">
        <v>1916.0357142857142</v>
      </c>
      <c r="Y237" s="434">
        <v>144734</v>
      </c>
      <c r="Z237" s="434">
        <v>16213</v>
      </c>
      <c r="AA237" s="49">
        <v>24.098765432098766</v>
      </c>
      <c r="AB237" s="49">
        <v>219.90123456790124</v>
      </c>
      <c r="AC237" s="49">
        <v>0</v>
      </c>
      <c r="AD237" s="285">
        <v>3</v>
      </c>
      <c r="AE237" s="285">
        <v>0</v>
      </c>
      <c r="AF237" s="359">
        <v>247</v>
      </c>
      <c r="AG237" s="360">
        <v>21.037037037037038</v>
      </c>
      <c r="AH237" s="360">
        <v>191.96296296296296</v>
      </c>
      <c r="AI237" s="361">
        <v>213</v>
      </c>
      <c r="AJ237" s="360">
        <v>0</v>
      </c>
      <c r="AK237" s="360">
        <v>22.94584181549515</v>
      </c>
      <c r="AL237" s="360">
        <v>209.38080656639326</v>
      </c>
      <c r="AM237" s="360">
        <v>232.32664838188842</v>
      </c>
      <c r="AN237" s="360">
        <v>0</v>
      </c>
      <c r="AO237" s="360">
        <v>20.068378859779649</v>
      </c>
      <c r="AP237" s="360">
        <v>183.12395709548932</v>
      </c>
      <c r="AQ237" s="360">
        <v>203.19233595526896</v>
      </c>
      <c r="AR237" s="360">
        <v>0</v>
      </c>
      <c r="AS237" s="360">
        <v>2.8789972155037225</v>
      </c>
      <c r="AT237" s="360">
        <v>0</v>
      </c>
      <c r="AU237" s="360">
        <v>221.21176864082625</v>
      </c>
      <c r="AV237" s="360">
        <v>226.7011001097103</v>
      </c>
      <c r="AW237" s="360">
        <v>232.32664838188839</v>
      </c>
      <c r="AX237" s="360">
        <v>238.09179365358389</v>
      </c>
      <c r="AY237" s="360">
        <v>244</v>
      </c>
      <c r="AZ237" s="360">
        <v>193.83626944112152</v>
      </c>
      <c r="BA237" s="360">
        <v>198.45917560192677</v>
      </c>
      <c r="BB237" s="360">
        <v>203.19233595526896</v>
      </c>
      <c r="BC237" s="360">
        <v>208.03838001309347</v>
      </c>
      <c r="BD237" s="360">
        <v>213</v>
      </c>
      <c r="BE237" s="360">
        <v>2.7628749889593962</v>
      </c>
      <c r="BF237" s="360">
        <v>2.8203385257800138</v>
      </c>
      <c r="BG237" s="360">
        <v>2.8789972155037225</v>
      </c>
      <c r="BH237" s="360">
        <v>2.9388759154668591</v>
      </c>
      <c r="BI237" s="360">
        <v>3</v>
      </c>
      <c r="BJ237" s="362">
        <v>246.27977110782217</v>
      </c>
      <c r="BK237" s="362">
        <v>248.58084285623477</v>
      </c>
      <c r="BL237" s="362">
        <v>250.90341426402873</v>
      </c>
      <c r="BM237" s="363">
        <v>249.2538343979067</v>
      </c>
      <c r="BN237" s="363">
        <v>247.61509979565918</v>
      </c>
      <c r="BO237" s="363">
        <v>246.82438463416909</v>
      </c>
      <c r="BP237" s="363">
        <v>246.03619448212766</v>
      </c>
      <c r="BQ237" s="363">
        <v>245.25052127636241</v>
      </c>
      <c r="BR237" s="363">
        <v>244.46735697944916</v>
      </c>
      <c r="BS237" s="363">
        <v>243.68669357962992</v>
      </c>
      <c r="BT237" s="363">
        <v>245.48923621299537</v>
      </c>
      <c r="BU237" s="363">
        <v>247.30511219623466</v>
      </c>
      <c r="BV237" s="363">
        <v>249.13442015570791</v>
      </c>
      <c r="BW237" s="363">
        <v>250.97725944731133</v>
      </c>
      <c r="BX237" s="363">
        <v>252.83373016187315</v>
      </c>
      <c r="BY237" s="435">
        <v>253.85285663069607</v>
      </c>
      <c r="BZ237" s="435">
        <v>254.87198309951901</v>
      </c>
      <c r="CA237" s="435">
        <v>255.89110956834193</v>
      </c>
      <c r="CB237" s="435">
        <v>256.91023603716485</v>
      </c>
      <c r="CC237" s="363">
        <v>257.9293625059878</v>
      </c>
      <c r="CD237" s="435">
        <v>258.76474499077665</v>
      </c>
      <c r="CE237" s="435">
        <v>259.6001274755655</v>
      </c>
      <c r="CF237" s="435">
        <v>260.4355099603543</v>
      </c>
      <c r="CG237" s="435">
        <v>261.27089244514315</v>
      </c>
      <c r="CH237" s="363">
        <v>262.106274929932</v>
      </c>
      <c r="CI237" s="362">
        <v>214.99012805723819</v>
      </c>
      <c r="CJ237" s="362">
        <v>216.99885052613936</v>
      </c>
      <c r="CK237" s="362">
        <v>219.02634114032014</v>
      </c>
      <c r="CL237" s="363">
        <v>217.58633904407426</v>
      </c>
      <c r="CM237" s="363">
        <v>216.15580432981722</v>
      </c>
      <c r="CN237" s="363">
        <v>215.46554888146727</v>
      </c>
      <c r="CO237" s="363">
        <v>214.77749764218521</v>
      </c>
      <c r="CP237" s="363">
        <v>214.09164357321797</v>
      </c>
      <c r="CQ237" s="363">
        <v>213.40797965828961</v>
      </c>
      <c r="CR237" s="363">
        <v>212.72649890352938</v>
      </c>
      <c r="CS237" s="363">
        <v>214.30002997281971</v>
      </c>
      <c r="CT237" s="363">
        <v>215.88520040081139</v>
      </c>
      <c r="CU237" s="363">
        <v>217.48209628346632</v>
      </c>
      <c r="CV237" s="363">
        <v>219.09080435359553</v>
      </c>
      <c r="CW237" s="363">
        <v>220.71141198556958</v>
      </c>
      <c r="CX237" s="435">
        <v>221.60105927187811</v>
      </c>
      <c r="CY237" s="435">
        <v>222.49070655818664</v>
      </c>
      <c r="CZ237" s="435">
        <v>223.3803538444952</v>
      </c>
      <c r="DA237" s="435">
        <v>224.27000113080373</v>
      </c>
      <c r="DB237" s="363">
        <v>225.15964841711227</v>
      </c>
      <c r="DC237" s="435">
        <v>225.88889624194843</v>
      </c>
      <c r="DD237" s="435">
        <v>226.61814406678459</v>
      </c>
      <c r="DE237" s="435">
        <v>227.34739189162073</v>
      </c>
      <c r="DF237" s="435">
        <v>228.0766397164569</v>
      </c>
      <c r="DG237" s="363">
        <v>228.80588754129306</v>
      </c>
      <c r="DH237" s="362">
        <v>3.0280299726371576</v>
      </c>
      <c r="DI237" s="362">
        <v>3.0563218383963289</v>
      </c>
      <c r="DJ237" s="362">
        <v>3.0848780442298613</v>
      </c>
      <c r="DK237" s="363">
        <v>3.0645963245644263</v>
      </c>
      <c r="DL237" s="363">
        <v>3.044447948307285</v>
      </c>
      <c r="DM237" s="363">
        <v>3.0347260405840459</v>
      </c>
      <c r="DN237" s="363">
        <v>3.0250351780589466</v>
      </c>
      <c r="DO237" s="363">
        <v>3.0153752615946194</v>
      </c>
      <c r="DP237" s="363">
        <v>3.0057461923702764</v>
      </c>
      <c r="DQ237" s="363">
        <v>2.9961478718806958</v>
      </c>
      <c r="DR237" s="363">
        <v>3.0183102813073202</v>
      </c>
      <c r="DS237" s="363">
        <v>3.0406366253635411</v>
      </c>
      <c r="DT237" s="363">
        <v>3.06312811666854</v>
      </c>
      <c r="DU237" s="363">
        <v>3.0857859768112048</v>
      </c>
      <c r="DV237" s="363">
        <v>3.108611436416473</v>
      </c>
      <c r="DW237" s="435">
        <v>3.1211416798856075</v>
      </c>
      <c r="DX237" s="435">
        <v>3.1336719233547417</v>
      </c>
      <c r="DY237" s="435">
        <v>3.1462021668238762</v>
      </c>
      <c r="DZ237" s="435">
        <v>3.1587324102930103</v>
      </c>
      <c r="EA237" s="363">
        <v>3.1712626537621449</v>
      </c>
      <c r="EB237" s="435">
        <v>3.1815337498865977</v>
      </c>
      <c r="EC237" s="435">
        <v>3.1918048460110509</v>
      </c>
      <c r="ED237" s="435">
        <v>3.2020759421355036</v>
      </c>
      <c r="EE237" s="435">
        <v>3.2123470382599568</v>
      </c>
      <c r="EF237" s="363">
        <v>3.2226181343844096</v>
      </c>
      <c r="EG237" s="364">
        <v>0</v>
      </c>
      <c r="EH237" s="364">
        <v>0</v>
      </c>
      <c r="EI237" s="364">
        <v>0</v>
      </c>
      <c r="EJ237" s="365">
        <v>0</v>
      </c>
      <c r="EK237" s="365">
        <v>0</v>
      </c>
      <c r="EL237" s="365">
        <v>0</v>
      </c>
      <c r="EM237" s="365">
        <v>0</v>
      </c>
      <c r="EN237" s="365">
        <v>0</v>
      </c>
      <c r="EO237" s="365">
        <v>0</v>
      </c>
      <c r="EP237" s="365">
        <v>0</v>
      </c>
      <c r="EQ237" s="365">
        <v>0</v>
      </c>
      <c r="ER237" s="365">
        <v>0</v>
      </c>
      <c r="ES237" s="365">
        <v>0</v>
      </c>
      <c r="ET237" s="365">
        <v>0</v>
      </c>
      <c r="EU237" s="365">
        <v>0</v>
      </c>
      <c r="EV237" s="436">
        <v>0</v>
      </c>
      <c r="EW237" s="436">
        <v>0</v>
      </c>
      <c r="EX237" s="436">
        <v>0</v>
      </c>
      <c r="EY237" s="436">
        <v>0</v>
      </c>
      <c r="EZ237" s="365">
        <v>0</v>
      </c>
      <c r="FA237" s="436">
        <v>0</v>
      </c>
      <c r="FB237" s="436">
        <v>0</v>
      </c>
      <c r="FC237" s="436">
        <v>0</v>
      </c>
      <c r="FD237" s="436">
        <v>0</v>
      </c>
      <c r="FE237" s="365">
        <v>0</v>
      </c>
      <c r="FF237" s="364">
        <v>0</v>
      </c>
      <c r="FG237" s="364">
        <v>0</v>
      </c>
      <c r="FH237" s="364">
        <v>0</v>
      </c>
      <c r="FI237" s="365">
        <v>0</v>
      </c>
      <c r="FJ237" s="365">
        <v>0</v>
      </c>
      <c r="FK237" s="365">
        <v>0</v>
      </c>
      <c r="FL237" s="365">
        <v>0</v>
      </c>
      <c r="FM237" s="365">
        <v>0</v>
      </c>
      <c r="FN237" s="365">
        <v>0</v>
      </c>
      <c r="FO237" s="365">
        <v>0</v>
      </c>
      <c r="FP237" s="365">
        <v>0</v>
      </c>
      <c r="FQ237" s="365">
        <v>0</v>
      </c>
      <c r="FR237" s="365">
        <v>0</v>
      </c>
      <c r="FS237" s="365">
        <v>0</v>
      </c>
      <c r="FT237" s="365">
        <v>0</v>
      </c>
      <c r="FU237" s="436">
        <v>0</v>
      </c>
      <c r="FV237" s="436">
        <v>0</v>
      </c>
      <c r="FW237" s="436">
        <v>0</v>
      </c>
      <c r="FX237" s="436">
        <v>0</v>
      </c>
      <c r="FY237" s="365">
        <v>0</v>
      </c>
      <c r="FZ237" s="436">
        <v>0</v>
      </c>
      <c r="GA237" s="436">
        <v>0</v>
      </c>
      <c r="GB237" s="436">
        <v>0</v>
      </c>
      <c r="GC237" s="436">
        <v>0</v>
      </c>
      <c r="GD237" s="365">
        <v>0</v>
      </c>
    </row>
    <row r="238" spans="1:186" ht="15" x14ac:dyDescent="0.25">
      <c r="A238" s="357">
        <v>105</v>
      </c>
      <c r="B238" s="357">
        <v>95</v>
      </c>
      <c r="C238" s="357" t="s">
        <v>1148</v>
      </c>
      <c r="D238" s="2">
        <v>99709</v>
      </c>
      <c r="E238" s="268" t="s">
        <v>1527</v>
      </c>
      <c r="F238" s="358" t="s">
        <v>985</v>
      </c>
      <c r="G238" s="49">
        <v>216</v>
      </c>
      <c r="H238" s="49">
        <v>2</v>
      </c>
      <c r="I238" s="49">
        <v>2</v>
      </c>
      <c r="J238" s="49">
        <v>0</v>
      </c>
      <c r="K238" s="49">
        <v>0</v>
      </c>
      <c r="L238" s="49">
        <v>0</v>
      </c>
      <c r="M238" s="49">
        <v>0</v>
      </c>
      <c r="N238" s="49">
        <v>2</v>
      </c>
      <c r="O238" s="49">
        <v>0</v>
      </c>
      <c r="P238" s="49">
        <v>0</v>
      </c>
      <c r="Q238" s="49">
        <v>2</v>
      </c>
      <c r="R238" s="49">
        <v>0</v>
      </c>
      <c r="S238" s="49">
        <v>0</v>
      </c>
      <c r="T238" s="49">
        <v>0</v>
      </c>
      <c r="U238" s="49">
        <v>13725</v>
      </c>
      <c r="V238" s="49">
        <v>0</v>
      </c>
      <c r="W238" s="49">
        <v>0</v>
      </c>
      <c r="X238" s="49">
        <v>13725</v>
      </c>
      <c r="Y238" s="434">
        <v>0</v>
      </c>
      <c r="Z238" s="434">
        <v>27450</v>
      </c>
      <c r="AA238" s="49">
        <v>4.5824670824670823E-2</v>
      </c>
      <c r="AB238" s="49">
        <v>1.9515765765765767</v>
      </c>
      <c r="AC238" s="49">
        <v>2.5987525987525989E-3</v>
      </c>
      <c r="AD238" s="285">
        <v>2</v>
      </c>
      <c r="AE238" s="285">
        <v>0</v>
      </c>
      <c r="AF238" s="359">
        <v>4</v>
      </c>
      <c r="AG238" s="360">
        <v>4.5824670824670823E-2</v>
      </c>
      <c r="AH238" s="360">
        <v>1.9515765765765767</v>
      </c>
      <c r="AI238" s="361">
        <v>1.9974012474012475</v>
      </c>
      <c r="AJ238" s="360">
        <v>2.5987525987525989E-3</v>
      </c>
      <c r="AK238" s="360">
        <v>4.3632345024176553E-2</v>
      </c>
      <c r="AL238" s="360">
        <v>1.8582100208878518</v>
      </c>
      <c r="AM238" s="360">
        <v>1.9018423659120283</v>
      </c>
      <c r="AN238" s="360">
        <v>2.4744241034504663E-3</v>
      </c>
      <c r="AO238" s="360">
        <v>4.3714656850920776E-2</v>
      </c>
      <c r="AP238" s="360">
        <v>1.8617155088740913</v>
      </c>
      <c r="AQ238" s="360">
        <v>1.9054301657250121</v>
      </c>
      <c r="AR238" s="360">
        <v>2.4790920709406869E-3</v>
      </c>
      <c r="AS238" s="360">
        <v>1.9193314770024816</v>
      </c>
      <c r="AT238" s="360">
        <v>0</v>
      </c>
      <c r="AU238" s="360">
        <v>1.8108551746845185</v>
      </c>
      <c r="AV238" s="360">
        <v>1.8557912301080755</v>
      </c>
      <c r="AW238" s="360">
        <v>1.9018423659120283</v>
      </c>
      <c r="AX238" s="360">
        <v>1.9490362526215936</v>
      </c>
      <c r="AY238" s="360">
        <v>1.9974012474012475</v>
      </c>
      <c r="AZ238" s="360">
        <v>1.8176939266352132</v>
      </c>
      <c r="BA238" s="360">
        <v>1.8610450934531066</v>
      </c>
      <c r="BB238" s="360">
        <v>1.9054301657250121</v>
      </c>
      <c r="BC238" s="360">
        <v>1.9508738016220077</v>
      </c>
      <c r="BD238" s="360">
        <v>1.9974012474012475</v>
      </c>
      <c r="BE238" s="360">
        <v>1.8419166593062641</v>
      </c>
      <c r="BF238" s="360">
        <v>1.8802256838533424</v>
      </c>
      <c r="BG238" s="360">
        <v>1.9193314770024816</v>
      </c>
      <c r="BH238" s="360">
        <v>1.9592506103112393</v>
      </c>
      <c r="BI238" s="360">
        <v>2</v>
      </c>
      <c r="BJ238" s="362">
        <v>2.0226748492063251</v>
      </c>
      <c r="BK238" s="362">
        <v>2.0482682440169553</v>
      </c>
      <c r="BL238" s="362">
        <v>2.0741854782514997</v>
      </c>
      <c r="BM238" s="363">
        <v>2.0605486187708797</v>
      </c>
      <c r="BN238" s="363">
        <v>2.0470014156582379</v>
      </c>
      <c r="BO238" s="363">
        <v>2.0404646775663835</v>
      </c>
      <c r="BP238" s="363">
        <v>2.0339488133950621</v>
      </c>
      <c r="BQ238" s="363">
        <v>2.0274537564870889</v>
      </c>
      <c r="BR238" s="363">
        <v>2.0209794403981376</v>
      </c>
      <c r="BS238" s="363">
        <v>2.014525798896059</v>
      </c>
      <c r="BT238" s="363">
        <v>2.0294271814261569</v>
      </c>
      <c r="BU238" s="363">
        <v>2.0444387890034736</v>
      </c>
      <c r="BV238" s="363">
        <v>2.0595614369591386</v>
      </c>
      <c r="BW238" s="363">
        <v>2.074795946655259</v>
      </c>
      <c r="BX238" s="363">
        <v>2.0901431455295287</v>
      </c>
      <c r="BY238" s="435">
        <v>2.0985681298141579</v>
      </c>
      <c r="BZ238" s="435">
        <v>2.106993114098787</v>
      </c>
      <c r="CA238" s="435">
        <v>2.1154180983834165</v>
      </c>
      <c r="CB238" s="435">
        <v>2.1238430826680457</v>
      </c>
      <c r="CC238" s="363">
        <v>2.1322680669526748</v>
      </c>
      <c r="CD238" s="435">
        <v>2.1391740639229324</v>
      </c>
      <c r="CE238" s="435">
        <v>2.14608006089319</v>
      </c>
      <c r="CF238" s="435">
        <v>2.1529860578634477</v>
      </c>
      <c r="CG238" s="435">
        <v>2.1598920548337053</v>
      </c>
      <c r="CH238" s="363">
        <v>2.1667980518039629</v>
      </c>
      <c r="CI238" s="362">
        <v>2.0226748492063251</v>
      </c>
      <c r="CJ238" s="362">
        <v>2.0482682440169553</v>
      </c>
      <c r="CK238" s="362">
        <v>2.0741854782514997</v>
      </c>
      <c r="CL238" s="363">
        <v>2.0605486187708797</v>
      </c>
      <c r="CM238" s="363">
        <v>2.0470014156582379</v>
      </c>
      <c r="CN238" s="363">
        <v>2.0404646775663835</v>
      </c>
      <c r="CO238" s="363">
        <v>2.0339488133950621</v>
      </c>
      <c r="CP238" s="363">
        <v>2.0274537564870889</v>
      </c>
      <c r="CQ238" s="363">
        <v>2.0209794403981376</v>
      </c>
      <c r="CR238" s="363">
        <v>2.014525798896059</v>
      </c>
      <c r="CS238" s="363">
        <v>2.0294271814261569</v>
      </c>
      <c r="CT238" s="363">
        <v>2.0444387890034736</v>
      </c>
      <c r="CU238" s="363">
        <v>2.0595614369591386</v>
      </c>
      <c r="CV238" s="363">
        <v>2.074795946655259</v>
      </c>
      <c r="CW238" s="363">
        <v>2.0901431455295287</v>
      </c>
      <c r="CX238" s="435">
        <v>2.0985681298141579</v>
      </c>
      <c r="CY238" s="435">
        <v>2.106993114098787</v>
      </c>
      <c r="CZ238" s="435">
        <v>2.1154180983834165</v>
      </c>
      <c r="DA238" s="435">
        <v>2.1238430826680457</v>
      </c>
      <c r="DB238" s="363">
        <v>2.1322680669526748</v>
      </c>
      <c r="DC238" s="435">
        <v>2.1391740639229324</v>
      </c>
      <c r="DD238" s="435">
        <v>2.14608006089319</v>
      </c>
      <c r="DE238" s="435">
        <v>2.1529860578634477</v>
      </c>
      <c r="DF238" s="435">
        <v>2.1598920548337053</v>
      </c>
      <c r="DG238" s="363">
        <v>2.1667980518039629</v>
      </c>
      <c r="DH238" s="362">
        <v>2.0253064844511939</v>
      </c>
      <c r="DI238" s="362">
        <v>2.0509331779800268</v>
      </c>
      <c r="DJ238" s="362">
        <v>2.0768841322695213</v>
      </c>
      <c r="DK238" s="363">
        <v>2.0632295303227539</v>
      </c>
      <c r="DL238" s="363">
        <v>2.0496647013928961</v>
      </c>
      <c r="DM238" s="363">
        <v>2.0431194585676407</v>
      </c>
      <c r="DN238" s="363">
        <v>2.0365951168212852</v>
      </c>
      <c r="DO238" s="363">
        <v>2.0300916094099191</v>
      </c>
      <c r="DP238" s="363">
        <v>2.0236088698027666</v>
      </c>
      <c r="DQ238" s="363">
        <v>2.017146831681508</v>
      </c>
      <c r="DR238" s="363">
        <v>2.0320676019068049</v>
      </c>
      <c r="DS238" s="363">
        <v>2.0470987405894787</v>
      </c>
      <c r="DT238" s="363">
        <v>2.0622410641214586</v>
      </c>
      <c r="DU238" s="363">
        <v>2.0774953949334991</v>
      </c>
      <c r="DV238" s="363">
        <v>2.0928625615398455</v>
      </c>
      <c r="DW238" s="435">
        <v>2.1012985072924484</v>
      </c>
      <c r="DX238" s="435">
        <v>2.1097344530450513</v>
      </c>
      <c r="DY238" s="435">
        <v>2.1181703987976546</v>
      </c>
      <c r="DZ238" s="435">
        <v>2.1266063445502574</v>
      </c>
      <c r="EA238" s="363">
        <v>2.1350422903028603</v>
      </c>
      <c r="EB238" s="435">
        <v>2.1419572724370135</v>
      </c>
      <c r="EC238" s="435">
        <v>2.1488722545711667</v>
      </c>
      <c r="ED238" s="435">
        <v>2.1557872367053204</v>
      </c>
      <c r="EE238" s="435">
        <v>2.1627022188394736</v>
      </c>
      <c r="EF238" s="363">
        <v>2.1696172009736268</v>
      </c>
      <c r="EG238" s="364">
        <v>2.631635244869015E-3</v>
      </c>
      <c r="EH238" s="364">
        <v>2.6649339630717608E-3</v>
      </c>
      <c r="EI238" s="364">
        <v>2.6986540180217273E-3</v>
      </c>
      <c r="EJ238" s="365">
        <v>2.6809115518746807E-3</v>
      </c>
      <c r="EK238" s="365">
        <v>2.6632857346581291E-3</v>
      </c>
      <c r="EL238" s="365">
        <v>2.6547810012573295E-3</v>
      </c>
      <c r="EM238" s="365">
        <v>2.6463034262230838E-3</v>
      </c>
      <c r="EN238" s="365">
        <v>2.6378529228299362E-3</v>
      </c>
      <c r="EO238" s="365">
        <v>2.6294294046293747E-3</v>
      </c>
      <c r="EP238" s="365">
        <v>2.6210327854489447E-3</v>
      </c>
      <c r="EQ238" s="365">
        <v>2.6404204806481351E-3</v>
      </c>
      <c r="ER238" s="365">
        <v>2.6599515860050399E-3</v>
      </c>
      <c r="ES238" s="365">
        <v>2.6796271623199829E-3</v>
      </c>
      <c r="ET238" s="365">
        <v>2.6994482782399937E-3</v>
      </c>
      <c r="EU238" s="365">
        <v>2.7194160103168473E-3</v>
      </c>
      <c r="EV238" s="436">
        <v>2.7303774782906037E-3</v>
      </c>
      <c r="EW238" s="436">
        <v>2.7413389462643601E-3</v>
      </c>
      <c r="EX238" s="436">
        <v>2.7523004142381165E-3</v>
      </c>
      <c r="EY238" s="436">
        <v>2.7632618822118729E-3</v>
      </c>
      <c r="EZ238" s="365">
        <v>2.7742233501856293E-3</v>
      </c>
      <c r="FA238" s="436">
        <v>2.7832085140813588E-3</v>
      </c>
      <c r="FB238" s="436">
        <v>2.7921936779770882E-3</v>
      </c>
      <c r="FC238" s="436">
        <v>2.8011788418728172E-3</v>
      </c>
      <c r="FD238" s="436">
        <v>2.8101640057685466E-3</v>
      </c>
      <c r="FE238" s="365">
        <v>2.8191491696642761E-3</v>
      </c>
      <c r="FF238" s="364">
        <v>0</v>
      </c>
      <c r="FG238" s="364">
        <v>0</v>
      </c>
      <c r="FH238" s="364">
        <v>0</v>
      </c>
      <c r="FI238" s="365">
        <v>0</v>
      </c>
      <c r="FJ238" s="365">
        <v>0</v>
      </c>
      <c r="FK238" s="365">
        <v>0</v>
      </c>
      <c r="FL238" s="365">
        <v>0</v>
      </c>
      <c r="FM238" s="365">
        <v>0</v>
      </c>
      <c r="FN238" s="365">
        <v>0</v>
      </c>
      <c r="FO238" s="365">
        <v>0</v>
      </c>
      <c r="FP238" s="365">
        <v>0</v>
      </c>
      <c r="FQ238" s="365">
        <v>0</v>
      </c>
      <c r="FR238" s="365">
        <v>0</v>
      </c>
      <c r="FS238" s="365">
        <v>0</v>
      </c>
      <c r="FT238" s="365">
        <v>0</v>
      </c>
      <c r="FU238" s="436">
        <v>0</v>
      </c>
      <c r="FV238" s="436">
        <v>0</v>
      </c>
      <c r="FW238" s="436">
        <v>0</v>
      </c>
      <c r="FX238" s="436">
        <v>0</v>
      </c>
      <c r="FY238" s="365">
        <v>0</v>
      </c>
      <c r="FZ238" s="436">
        <v>0</v>
      </c>
      <c r="GA238" s="436">
        <v>0</v>
      </c>
      <c r="GB238" s="436">
        <v>0</v>
      </c>
      <c r="GC238" s="436">
        <v>0</v>
      </c>
      <c r="GD238" s="365">
        <v>0</v>
      </c>
    </row>
    <row r="239" spans="1:186" ht="15" x14ac:dyDescent="0.25">
      <c r="A239" s="357">
        <v>106</v>
      </c>
      <c r="B239" s="357">
        <v>95</v>
      </c>
      <c r="C239" s="357" t="s">
        <v>1149</v>
      </c>
      <c r="D239" s="2">
        <v>99709</v>
      </c>
      <c r="E239" s="268" t="s">
        <v>1527</v>
      </c>
      <c r="F239" s="358" t="s">
        <v>985</v>
      </c>
      <c r="G239" s="49">
        <v>2081</v>
      </c>
      <c r="H239" s="49">
        <v>576</v>
      </c>
      <c r="I239" s="49">
        <v>508</v>
      </c>
      <c r="J239" s="49">
        <v>68</v>
      </c>
      <c r="K239" s="49">
        <v>19</v>
      </c>
      <c r="L239" s="49">
        <v>139</v>
      </c>
      <c r="M239" s="49">
        <v>158</v>
      </c>
      <c r="N239" s="49">
        <v>25</v>
      </c>
      <c r="O239" s="49">
        <v>0</v>
      </c>
      <c r="P239" s="49">
        <v>0</v>
      </c>
      <c r="Q239" s="49">
        <v>183</v>
      </c>
      <c r="R239" s="49">
        <v>7926.8421052631575</v>
      </c>
      <c r="S239" s="49">
        <v>1417.5395683453237</v>
      </c>
      <c r="T239" s="49">
        <v>2200.3037974683543</v>
      </c>
      <c r="U239" s="49">
        <v>6687.12</v>
      </c>
      <c r="V239" s="49">
        <v>0</v>
      </c>
      <c r="W239" s="49">
        <v>0</v>
      </c>
      <c r="X239" s="49">
        <v>2813.256830601093</v>
      </c>
      <c r="Y239" s="434">
        <v>347648</v>
      </c>
      <c r="Z239" s="434">
        <v>167178</v>
      </c>
      <c r="AA239" s="49">
        <v>69.265822784810126</v>
      </c>
      <c r="AB239" s="49">
        <v>506.73417721518985</v>
      </c>
      <c r="AC239" s="49">
        <v>0</v>
      </c>
      <c r="AD239" s="285">
        <v>25</v>
      </c>
      <c r="AE239" s="285">
        <v>0</v>
      </c>
      <c r="AF239" s="359">
        <v>601</v>
      </c>
      <c r="AG239" s="360">
        <v>61.088607594936711</v>
      </c>
      <c r="AH239" s="360">
        <v>446.91139240506322</v>
      </c>
      <c r="AI239" s="361">
        <v>507.99999999999994</v>
      </c>
      <c r="AJ239" s="360">
        <v>0</v>
      </c>
      <c r="AK239" s="360">
        <v>65.952034651675319</v>
      </c>
      <c r="AL239" s="360">
        <v>482.49120087278254</v>
      </c>
      <c r="AM239" s="360">
        <v>548.4432355244578</v>
      </c>
      <c r="AN239" s="360">
        <v>0</v>
      </c>
      <c r="AO239" s="360">
        <v>58.275759988121948</v>
      </c>
      <c r="AP239" s="360">
        <v>426.33319149204993</v>
      </c>
      <c r="AQ239" s="360">
        <v>484.60895148017187</v>
      </c>
      <c r="AR239" s="360">
        <v>0</v>
      </c>
      <c r="AS239" s="360">
        <v>23.991643462531023</v>
      </c>
      <c r="AT239" s="360">
        <v>0</v>
      </c>
      <c r="AU239" s="360">
        <v>522.20483088981939</v>
      </c>
      <c r="AV239" s="360">
        <v>535.16325271800463</v>
      </c>
      <c r="AW239" s="360">
        <v>548.44323552445792</v>
      </c>
      <c r="AX239" s="360">
        <v>562.0527587887882</v>
      </c>
      <c r="AY239" s="360">
        <v>576</v>
      </c>
      <c r="AZ239" s="360">
        <v>462.29495246990479</v>
      </c>
      <c r="BA239" s="360">
        <v>473.32047514450136</v>
      </c>
      <c r="BB239" s="360">
        <v>484.60895148017192</v>
      </c>
      <c r="BC239" s="360">
        <v>496.16665280118059</v>
      </c>
      <c r="BD239" s="360">
        <v>507.99999999999994</v>
      </c>
      <c r="BE239" s="360">
        <v>23.023958241328302</v>
      </c>
      <c r="BF239" s="360">
        <v>23.50282104816678</v>
      </c>
      <c r="BG239" s="360">
        <v>23.991643462531023</v>
      </c>
      <c r="BH239" s="360">
        <v>24.490632628890491</v>
      </c>
      <c r="BI239" s="360">
        <v>25</v>
      </c>
      <c r="BJ239" s="362">
        <v>583.28826752194379</v>
      </c>
      <c r="BK239" s="362">
        <v>590.66875525824776</v>
      </c>
      <c r="BL239" s="362">
        <v>598.14263009362207</v>
      </c>
      <c r="BM239" s="363">
        <v>594.21010473295314</v>
      </c>
      <c r="BN239" s="363">
        <v>590.30343400115396</v>
      </c>
      <c r="BO239" s="363">
        <v>588.41840406748042</v>
      </c>
      <c r="BP239" s="363">
        <v>586.53939364453004</v>
      </c>
      <c r="BQ239" s="363">
        <v>584.66638351005656</v>
      </c>
      <c r="BR239" s="363">
        <v>582.79935450319681</v>
      </c>
      <c r="BS239" s="363">
        <v>580.93828752427419</v>
      </c>
      <c r="BT239" s="363">
        <v>585.23546934915976</v>
      </c>
      <c r="BU239" s="363">
        <v>589.56443728976978</v>
      </c>
      <c r="BV239" s="363">
        <v>593.92542646698007</v>
      </c>
      <c r="BW239" s="363">
        <v>598.31867374084766</v>
      </c>
      <c r="BX239" s="363">
        <v>602.74441772347552</v>
      </c>
      <c r="BY239" s="435">
        <v>605.17397010022512</v>
      </c>
      <c r="BZ239" s="435">
        <v>607.60352247697483</v>
      </c>
      <c r="CA239" s="435">
        <v>610.03307485372443</v>
      </c>
      <c r="CB239" s="435">
        <v>612.46262723047414</v>
      </c>
      <c r="CC239" s="363">
        <v>614.89217960722374</v>
      </c>
      <c r="CD239" s="435">
        <v>616.88369446185993</v>
      </c>
      <c r="CE239" s="435">
        <v>618.87520931649601</v>
      </c>
      <c r="CF239" s="435">
        <v>620.8667241711322</v>
      </c>
      <c r="CG239" s="435">
        <v>622.85823902576828</v>
      </c>
      <c r="CH239" s="363">
        <v>624.84975388040448</v>
      </c>
      <c r="CI239" s="362">
        <v>514.42784705060319</v>
      </c>
      <c r="CJ239" s="362">
        <v>520.93702720692681</v>
      </c>
      <c r="CK239" s="362">
        <v>527.5285695964584</v>
      </c>
      <c r="CL239" s="363">
        <v>524.06030070197949</v>
      </c>
      <c r="CM239" s="363">
        <v>520.61483415379553</v>
      </c>
      <c r="CN239" s="363">
        <v>518.95234247618077</v>
      </c>
      <c r="CO239" s="363">
        <v>517.29515967260647</v>
      </c>
      <c r="CP239" s="363">
        <v>515.64326879011935</v>
      </c>
      <c r="CQ239" s="363">
        <v>513.99665292990278</v>
      </c>
      <c r="CR239" s="363">
        <v>512.35529524710296</v>
      </c>
      <c r="CS239" s="363">
        <v>516.14517088432842</v>
      </c>
      <c r="CT239" s="363">
        <v>519.96308010972757</v>
      </c>
      <c r="CU239" s="363">
        <v>523.80923028685049</v>
      </c>
      <c r="CV239" s="363">
        <v>527.68383031310873</v>
      </c>
      <c r="CW239" s="363">
        <v>531.58709063112076</v>
      </c>
      <c r="CX239" s="435">
        <v>533.72982085228193</v>
      </c>
      <c r="CY239" s="435">
        <v>535.87255107344311</v>
      </c>
      <c r="CZ239" s="435">
        <v>538.01528129460416</v>
      </c>
      <c r="DA239" s="435">
        <v>540.15801151576534</v>
      </c>
      <c r="DB239" s="363">
        <v>542.30074173692651</v>
      </c>
      <c r="DC239" s="435">
        <v>544.05714719900141</v>
      </c>
      <c r="DD239" s="435">
        <v>545.81355266107641</v>
      </c>
      <c r="DE239" s="435">
        <v>547.56995812315131</v>
      </c>
      <c r="DF239" s="435">
        <v>549.32636358522632</v>
      </c>
      <c r="DG239" s="363">
        <v>551.08276904730121</v>
      </c>
      <c r="DH239" s="362">
        <v>25.316331055639925</v>
      </c>
      <c r="DI239" s="362">
        <v>25.636664724750336</v>
      </c>
      <c r="DJ239" s="362">
        <v>25.961051653369015</v>
      </c>
      <c r="DK239" s="363">
        <v>25.790369129034424</v>
      </c>
      <c r="DL239" s="363">
        <v>25.620808767411198</v>
      </c>
      <c r="DM239" s="363">
        <v>25.538993232095507</v>
      </c>
      <c r="DN239" s="363">
        <v>25.457438960266064</v>
      </c>
      <c r="DO239" s="363">
        <v>25.376145117623985</v>
      </c>
      <c r="DP239" s="363">
        <v>25.295110872534583</v>
      </c>
      <c r="DQ239" s="363">
        <v>25.21433539601885</v>
      </c>
      <c r="DR239" s="363">
        <v>25.400845023835057</v>
      </c>
      <c r="DS239" s="363">
        <v>25.588734257368483</v>
      </c>
      <c r="DT239" s="363">
        <v>25.778013301518232</v>
      </c>
      <c r="DU239" s="363">
        <v>25.968692436668736</v>
      </c>
      <c r="DV239" s="363">
        <v>26.160782019248071</v>
      </c>
      <c r="DW239" s="435">
        <v>26.266231341155606</v>
      </c>
      <c r="DX239" s="435">
        <v>26.371680663063142</v>
      </c>
      <c r="DY239" s="435">
        <v>26.477129984970681</v>
      </c>
      <c r="DZ239" s="435">
        <v>26.582579306878216</v>
      </c>
      <c r="EA239" s="363">
        <v>26.688028628785752</v>
      </c>
      <c r="EB239" s="435">
        <v>26.774465905462669</v>
      </c>
      <c r="EC239" s="435">
        <v>26.860903182139584</v>
      </c>
      <c r="ED239" s="435">
        <v>26.947340458816502</v>
      </c>
      <c r="EE239" s="435">
        <v>27.033777735493416</v>
      </c>
      <c r="EF239" s="363">
        <v>27.120215012170334</v>
      </c>
      <c r="EG239" s="364">
        <v>0</v>
      </c>
      <c r="EH239" s="364">
        <v>0</v>
      </c>
      <c r="EI239" s="364">
        <v>0</v>
      </c>
      <c r="EJ239" s="365">
        <v>0</v>
      </c>
      <c r="EK239" s="365">
        <v>0</v>
      </c>
      <c r="EL239" s="365">
        <v>0</v>
      </c>
      <c r="EM239" s="365">
        <v>0</v>
      </c>
      <c r="EN239" s="365">
        <v>0</v>
      </c>
      <c r="EO239" s="365">
        <v>0</v>
      </c>
      <c r="EP239" s="365">
        <v>0</v>
      </c>
      <c r="EQ239" s="365">
        <v>0</v>
      </c>
      <c r="ER239" s="365">
        <v>0</v>
      </c>
      <c r="ES239" s="365">
        <v>0</v>
      </c>
      <c r="ET239" s="365">
        <v>0</v>
      </c>
      <c r="EU239" s="365">
        <v>0</v>
      </c>
      <c r="EV239" s="436">
        <v>0</v>
      </c>
      <c r="EW239" s="436">
        <v>0</v>
      </c>
      <c r="EX239" s="436">
        <v>0</v>
      </c>
      <c r="EY239" s="436">
        <v>0</v>
      </c>
      <c r="EZ239" s="365">
        <v>0</v>
      </c>
      <c r="FA239" s="436">
        <v>0</v>
      </c>
      <c r="FB239" s="436">
        <v>0</v>
      </c>
      <c r="FC239" s="436">
        <v>0</v>
      </c>
      <c r="FD239" s="436">
        <v>0</v>
      </c>
      <c r="FE239" s="365">
        <v>0</v>
      </c>
      <c r="FF239" s="364">
        <v>0</v>
      </c>
      <c r="FG239" s="364">
        <v>0</v>
      </c>
      <c r="FH239" s="364">
        <v>0</v>
      </c>
      <c r="FI239" s="365">
        <v>0</v>
      </c>
      <c r="FJ239" s="365">
        <v>0</v>
      </c>
      <c r="FK239" s="365">
        <v>0</v>
      </c>
      <c r="FL239" s="365">
        <v>0</v>
      </c>
      <c r="FM239" s="365">
        <v>0</v>
      </c>
      <c r="FN239" s="365">
        <v>0</v>
      </c>
      <c r="FO239" s="365">
        <v>0</v>
      </c>
      <c r="FP239" s="365">
        <v>0</v>
      </c>
      <c r="FQ239" s="365">
        <v>0</v>
      </c>
      <c r="FR239" s="365">
        <v>0</v>
      </c>
      <c r="FS239" s="365">
        <v>0</v>
      </c>
      <c r="FT239" s="365">
        <v>0</v>
      </c>
      <c r="FU239" s="436">
        <v>0</v>
      </c>
      <c r="FV239" s="436">
        <v>0</v>
      </c>
      <c r="FW239" s="436">
        <v>0</v>
      </c>
      <c r="FX239" s="436">
        <v>0</v>
      </c>
      <c r="FY239" s="365">
        <v>0</v>
      </c>
      <c r="FZ239" s="436">
        <v>0</v>
      </c>
      <c r="GA239" s="436">
        <v>0</v>
      </c>
      <c r="GB239" s="436">
        <v>0</v>
      </c>
      <c r="GC239" s="436">
        <v>0</v>
      </c>
      <c r="GD239" s="365">
        <v>0</v>
      </c>
    </row>
    <row r="240" spans="1:186" ht="15" x14ac:dyDescent="0.25">
      <c r="A240" s="357">
        <v>107</v>
      </c>
      <c r="B240" s="357">
        <v>95</v>
      </c>
      <c r="C240" s="357" t="s">
        <v>1150</v>
      </c>
      <c r="D240" s="2">
        <v>99709</v>
      </c>
      <c r="E240" s="268" t="s">
        <v>1527</v>
      </c>
      <c r="F240" s="358" t="s">
        <v>985</v>
      </c>
      <c r="G240" s="49">
        <v>745</v>
      </c>
      <c r="H240" s="49">
        <v>331</v>
      </c>
      <c r="I240" s="49">
        <v>310</v>
      </c>
      <c r="J240" s="49">
        <v>21</v>
      </c>
      <c r="K240" s="49">
        <v>8</v>
      </c>
      <c r="L240" s="49">
        <v>239</v>
      </c>
      <c r="M240" s="49">
        <v>247</v>
      </c>
      <c r="N240" s="49">
        <v>40</v>
      </c>
      <c r="O240" s="49">
        <v>0</v>
      </c>
      <c r="P240" s="49">
        <v>0</v>
      </c>
      <c r="Q240" s="49">
        <v>287</v>
      </c>
      <c r="R240" s="49">
        <v>9243.125</v>
      </c>
      <c r="S240" s="49">
        <v>1943.062761506276</v>
      </c>
      <c r="T240" s="49">
        <v>2179.5020242914979</v>
      </c>
      <c r="U240" s="49">
        <v>7856.8</v>
      </c>
      <c r="V240" s="49">
        <v>0</v>
      </c>
      <c r="W240" s="49">
        <v>0</v>
      </c>
      <c r="X240" s="49">
        <v>2970.7630662020906</v>
      </c>
      <c r="Y240" s="434">
        <v>538337</v>
      </c>
      <c r="Z240" s="434">
        <v>314272</v>
      </c>
      <c r="AA240" s="49">
        <v>10.720647773279353</v>
      </c>
      <c r="AB240" s="49">
        <v>320.27935222672068</v>
      </c>
      <c r="AC240" s="49">
        <v>0</v>
      </c>
      <c r="AD240" s="285">
        <v>40</v>
      </c>
      <c r="AE240" s="285">
        <v>0</v>
      </c>
      <c r="AF240" s="359">
        <v>371</v>
      </c>
      <c r="AG240" s="360">
        <v>10.040485829959515</v>
      </c>
      <c r="AH240" s="360">
        <v>299.95951417004051</v>
      </c>
      <c r="AI240" s="361">
        <v>310</v>
      </c>
      <c r="AJ240" s="360">
        <v>0</v>
      </c>
      <c r="AK240" s="360">
        <v>10.207754777248963</v>
      </c>
      <c r="AL240" s="360">
        <v>304.95667397031281</v>
      </c>
      <c r="AM240" s="360">
        <v>315.16442874756177</v>
      </c>
      <c r="AN240" s="360">
        <v>0</v>
      </c>
      <c r="AO240" s="360">
        <v>9.5781679338744183</v>
      </c>
      <c r="AP240" s="360">
        <v>286.14776702449825</v>
      </c>
      <c r="AQ240" s="360">
        <v>295.72593495837265</v>
      </c>
      <c r="AR240" s="360">
        <v>0</v>
      </c>
      <c r="AS240" s="360">
        <v>38.386629540049633</v>
      </c>
      <c r="AT240" s="360">
        <v>0</v>
      </c>
      <c r="AU240" s="360">
        <v>300.0864566398094</v>
      </c>
      <c r="AV240" s="360">
        <v>307.53304973899225</v>
      </c>
      <c r="AW240" s="360">
        <v>315.16442874756171</v>
      </c>
      <c r="AX240" s="360">
        <v>322.98517909564043</v>
      </c>
      <c r="AY240" s="360">
        <v>331</v>
      </c>
      <c r="AZ240" s="360">
        <v>282.10912453872146</v>
      </c>
      <c r="BA240" s="360">
        <v>288.83729782440048</v>
      </c>
      <c r="BB240" s="360">
        <v>295.72593495837265</v>
      </c>
      <c r="BC240" s="360">
        <v>302.77886292985431</v>
      </c>
      <c r="BD240" s="360">
        <v>310</v>
      </c>
      <c r="BE240" s="360">
        <v>36.838333186125283</v>
      </c>
      <c r="BF240" s="360">
        <v>37.604513677066848</v>
      </c>
      <c r="BG240" s="360">
        <v>38.386629540049633</v>
      </c>
      <c r="BH240" s="360">
        <v>39.185012206224783</v>
      </c>
      <c r="BI240" s="360">
        <v>40</v>
      </c>
      <c r="BJ240" s="362">
        <v>336.61725079702319</v>
      </c>
      <c r="BK240" s="362">
        <v>342.32982940829606</v>
      </c>
      <c r="BL240" s="362">
        <v>348.13935359889598</v>
      </c>
      <c r="BM240" s="363">
        <v>345.85049009344704</v>
      </c>
      <c r="BN240" s="363">
        <v>343.57667486131851</v>
      </c>
      <c r="BO240" s="363">
        <v>342.4795233298837</v>
      </c>
      <c r="BP240" s="363">
        <v>341.38587535841384</v>
      </c>
      <c r="BQ240" s="363">
        <v>340.29571975890786</v>
      </c>
      <c r="BR240" s="363">
        <v>339.20904537909178</v>
      </c>
      <c r="BS240" s="363">
        <v>338.12584110230426</v>
      </c>
      <c r="BT240" s="363">
        <v>340.62694707192622</v>
      </c>
      <c r="BU240" s="363">
        <v>343.14655364194857</v>
      </c>
      <c r="BV240" s="363">
        <v>345.68479766071738</v>
      </c>
      <c r="BW240" s="363">
        <v>348.24181698884149</v>
      </c>
      <c r="BX240" s="363">
        <v>350.81775050668</v>
      </c>
      <c r="BY240" s="435">
        <v>352.2318326192422</v>
      </c>
      <c r="BZ240" s="435">
        <v>353.64591473180434</v>
      </c>
      <c r="CA240" s="435">
        <v>355.05999684436654</v>
      </c>
      <c r="CB240" s="435">
        <v>356.47407895692868</v>
      </c>
      <c r="CC240" s="363">
        <v>357.88816106949088</v>
      </c>
      <c r="CD240" s="435">
        <v>359.04729044648764</v>
      </c>
      <c r="CE240" s="435">
        <v>360.2064198234844</v>
      </c>
      <c r="CF240" s="435">
        <v>361.36554920048121</v>
      </c>
      <c r="CG240" s="435">
        <v>362.52467857747797</v>
      </c>
      <c r="CH240" s="363">
        <v>363.68380795447473</v>
      </c>
      <c r="CI240" s="362">
        <v>315.26086932651714</v>
      </c>
      <c r="CJ240" s="362">
        <v>320.61101847906883</v>
      </c>
      <c r="CK240" s="362">
        <v>326.05196258506874</v>
      </c>
      <c r="CL240" s="363">
        <v>323.90831398479929</v>
      </c>
      <c r="CM240" s="363">
        <v>321.77875893356116</v>
      </c>
      <c r="CN240" s="363">
        <v>320.75121520321431</v>
      </c>
      <c r="CO240" s="363">
        <v>319.72695275259304</v>
      </c>
      <c r="CP240" s="363">
        <v>318.70596110350891</v>
      </c>
      <c r="CQ240" s="363">
        <v>317.68822981123395</v>
      </c>
      <c r="CR240" s="363">
        <v>316.67374846439373</v>
      </c>
      <c r="CS240" s="363">
        <v>319.01617399485536</v>
      </c>
      <c r="CT240" s="363">
        <v>321.3759263716135</v>
      </c>
      <c r="CU240" s="363">
        <v>323.75313376079271</v>
      </c>
      <c r="CV240" s="363">
        <v>326.14792527655845</v>
      </c>
      <c r="CW240" s="363">
        <v>328.56043098812933</v>
      </c>
      <c r="CX240" s="435">
        <v>329.88479792134467</v>
      </c>
      <c r="CY240" s="435">
        <v>331.20916485455996</v>
      </c>
      <c r="CZ240" s="435">
        <v>332.5335317877753</v>
      </c>
      <c r="DA240" s="435">
        <v>333.85789872099059</v>
      </c>
      <c r="DB240" s="363">
        <v>335.18226565420593</v>
      </c>
      <c r="DC240" s="435">
        <v>336.2678551009401</v>
      </c>
      <c r="DD240" s="435">
        <v>337.3534445476742</v>
      </c>
      <c r="DE240" s="435">
        <v>338.43903399440836</v>
      </c>
      <c r="DF240" s="435">
        <v>339.52462344114247</v>
      </c>
      <c r="DG240" s="363">
        <v>340.61021288787663</v>
      </c>
      <c r="DH240" s="362">
        <v>40.678821848582857</v>
      </c>
      <c r="DI240" s="362">
        <v>41.369163674718557</v>
      </c>
      <c r="DJ240" s="362">
        <v>42.071220978718543</v>
      </c>
      <c r="DK240" s="363">
        <v>41.794621159328941</v>
      </c>
      <c r="DL240" s="363">
        <v>41.519839862394981</v>
      </c>
      <c r="DM240" s="363">
        <v>41.387253574608295</v>
      </c>
      <c r="DN240" s="363">
        <v>41.255090677753934</v>
      </c>
      <c r="DO240" s="363">
        <v>41.123349819807594</v>
      </c>
      <c r="DP240" s="363">
        <v>40.992029653062446</v>
      </c>
      <c r="DQ240" s="363">
        <v>40.861128834115313</v>
      </c>
      <c r="DR240" s="363">
        <v>41.163377289658754</v>
      </c>
      <c r="DS240" s="363">
        <v>41.467861467304964</v>
      </c>
      <c r="DT240" s="363">
        <v>41.77459790461841</v>
      </c>
      <c r="DU240" s="363">
        <v>42.083603261491412</v>
      </c>
      <c r="DV240" s="363">
        <v>42.394894321048938</v>
      </c>
      <c r="DW240" s="435">
        <v>42.565780376947693</v>
      </c>
      <c r="DX240" s="435">
        <v>42.736666432846441</v>
      </c>
      <c r="DY240" s="435">
        <v>42.907552488745196</v>
      </c>
      <c r="DZ240" s="435">
        <v>43.078438544643944</v>
      </c>
      <c r="EA240" s="363">
        <v>43.2493246005427</v>
      </c>
      <c r="EB240" s="435">
        <v>43.389400658185814</v>
      </c>
      <c r="EC240" s="435">
        <v>43.529476715828928</v>
      </c>
      <c r="ED240" s="435">
        <v>43.669552773472041</v>
      </c>
      <c r="EE240" s="435">
        <v>43.809628831115155</v>
      </c>
      <c r="EF240" s="363">
        <v>43.949704888758269</v>
      </c>
      <c r="EG240" s="364">
        <v>0</v>
      </c>
      <c r="EH240" s="364">
        <v>0</v>
      </c>
      <c r="EI240" s="364">
        <v>0</v>
      </c>
      <c r="EJ240" s="365">
        <v>0</v>
      </c>
      <c r="EK240" s="365">
        <v>0</v>
      </c>
      <c r="EL240" s="365">
        <v>0</v>
      </c>
      <c r="EM240" s="365">
        <v>0</v>
      </c>
      <c r="EN240" s="365">
        <v>0</v>
      </c>
      <c r="EO240" s="365">
        <v>0</v>
      </c>
      <c r="EP240" s="365">
        <v>0</v>
      </c>
      <c r="EQ240" s="365">
        <v>0</v>
      </c>
      <c r="ER240" s="365">
        <v>0</v>
      </c>
      <c r="ES240" s="365">
        <v>0</v>
      </c>
      <c r="ET240" s="365">
        <v>0</v>
      </c>
      <c r="EU240" s="365">
        <v>0</v>
      </c>
      <c r="EV240" s="436">
        <v>0</v>
      </c>
      <c r="EW240" s="436">
        <v>0</v>
      </c>
      <c r="EX240" s="436">
        <v>0</v>
      </c>
      <c r="EY240" s="436">
        <v>0</v>
      </c>
      <c r="EZ240" s="365">
        <v>0</v>
      </c>
      <c r="FA240" s="436">
        <v>0</v>
      </c>
      <c r="FB240" s="436">
        <v>0</v>
      </c>
      <c r="FC240" s="436">
        <v>0</v>
      </c>
      <c r="FD240" s="436">
        <v>0</v>
      </c>
      <c r="FE240" s="365">
        <v>0</v>
      </c>
      <c r="FF240" s="364">
        <v>0</v>
      </c>
      <c r="FG240" s="364">
        <v>0</v>
      </c>
      <c r="FH240" s="364">
        <v>0</v>
      </c>
      <c r="FI240" s="365">
        <v>0</v>
      </c>
      <c r="FJ240" s="365">
        <v>0</v>
      </c>
      <c r="FK240" s="365">
        <v>0</v>
      </c>
      <c r="FL240" s="365">
        <v>0</v>
      </c>
      <c r="FM240" s="365">
        <v>0</v>
      </c>
      <c r="FN240" s="365">
        <v>0</v>
      </c>
      <c r="FO240" s="365">
        <v>0</v>
      </c>
      <c r="FP240" s="365">
        <v>0</v>
      </c>
      <c r="FQ240" s="365">
        <v>0</v>
      </c>
      <c r="FR240" s="365">
        <v>0</v>
      </c>
      <c r="FS240" s="365">
        <v>0</v>
      </c>
      <c r="FT240" s="365">
        <v>0</v>
      </c>
      <c r="FU240" s="436">
        <v>0</v>
      </c>
      <c r="FV240" s="436">
        <v>0</v>
      </c>
      <c r="FW240" s="436">
        <v>0</v>
      </c>
      <c r="FX240" s="436">
        <v>0</v>
      </c>
      <c r="FY240" s="365">
        <v>0</v>
      </c>
      <c r="FZ240" s="436">
        <v>0</v>
      </c>
      <c r="GA240" s="436">
        <v>0</v>
      </c>
      <c r="GB240" s="436">
        <v>0</v>
      </c>
      <c r="GC240" s="436">
        <v>0</v>
      </c>
      <c r="GD240" s="365">
        <v>0</v>
      </c>
    </row>
    <row r="241" spans="1:186" ht="15" x14ac:dyDescent="0.25">
      <c r="A241" s="357">
        <v>108</v>
      </c>
      <c r="B241" s="357">
        <v>95</v>
      </c>
      <c r="C241" s="357" t="s">
        <v>1151</v>
      </c>
      <c r="D241" s="2">
        <v>99709</v>
      </c>
      <c r="E241" s="268" t="s">
        <v>1527</v>
      </c>
      <c r="F241" s="358" t="s">
        <v>985</v>
      </c>
      <c r="G241" s="49">
        <v>1414</v>
      </c>
      <c r="H241" s="49">
        <v>608</v>
      </c>
      <c r="I241" s="49">
        <v>560</v>
      </c>
      <c r="J241" s="49">
        <v>48</v>
      </c>
      <c r="K241" s="49">
        <v>14</v>
      </c>
      <c r="L241" s="49">
        <v>305</v>
      </c>
      <c r="M241" s="49">
        <v>319</v>
      </c>
      <c r="N241" s="49">
        <v>40</v>
      </c>
      <c r="O241" s="49">
        <v>0</v>
      </c>
      <c r="P241" s="49">
        <v>0</v>
      </c>
      <c r="Q241" s="49">
        <v>359</v>
      </c>
      <c r="R241" s="49">
        <v>6314.7857142857147</v>
      </c>
      <c r="S241" s="49">
        <v>2235.8065573770491</v>
      </c>
      <c r="T241" s="49">
        <v>2414.8213166144201</v>
      </c>
      <c r="U241" s="49">
        <v>14087.475</v>
      </c>
      <c r="V241" s="49">
        <v>0</v>
      </c>
      <c r="W241" s="49">
        <v>0</v>
      </c>
      <c r="X241" s="49">
        <v>3715.3955431754875</v>
      </c>
      <c r="Y241" s="434">
        <v>770328</v>
      </c>
      <c r="Z241" s="434">
        <v>563499</v>
      </c>
      <c r="AA241" s="49">
        <v>26.683385579937305</v>
      </c>
      <c r="AB241" s="49">
        <v>581.31661442006271</v>
      </c>
      <c r="AC241" s="49">
        <v>0</v>
      </c>
      <c r="AD241" s="285">
        <v>40</v>
      </c>
      <c r="AE241" s="285">
        <v>0</v>
      </c>
      <c r="AF241" s="359">
        <v>648</v>
      </c>
      <c r="AG241" s="360">
        <v>24.576802507836991</v>
      </c>
      <c r="AH241" s="360">
        <v>535.42319749216301</v>
      </c>
      <c r="AI241" s="361">
        <v>560</v>
      </c>
      <c r="AJ241" s="360">
        <v>0</v>
      </c>
      <c r="AK241" s="360">
        <v>25.40680958716576</v>
      </c>
      <c r="AL241" s="360">
        <v>553.50549457753982</v>
      </c>
      <c r="AM241" s="360">
        <v>578.91230416470557</v>
      </c>
      <c r="AN241" s="360">
        <v>0</v>
      </c>
      <c r="AO241" s="360">
        <v>23.445154515862491</v>
      </c>
      <c r="AP241" s="360">
        <v>510.76943766700424</v>
      </c>
      <c r="AQ241" s="360">
        <v>534.21459218286668</v>
      </c>
      <c r="AR241" s="360">
        <v>0</v>
      </c>
      <c r="AS241" s="360">
        <v>38.386629540049633</v>
      </c>
      <c r="AT241" s="360">
        <v>0</v>
      </c>
      <c r="AU241" s="360">
        <v>551.21621038369824</v>
      </c>
      <c r="AV241" s="360">
        <v>564.89454453567157</v>
      </c>
      <c r="AW241" s="360">
        <v>578.91230416470557</v>
      </c>
      <c r="AX241" s="360">
        <v>593.27791205483197</v>
      </c>
      <c r="AY241" s="360">
        <v>608</v>
      </c>
      <c r="AZ241" s="360">
        <v>509.61648303769039</v>
      </c>
      <c r="BA241" s="360">
        <v>521.77060252149761</v>
      </c>
      <c r="BB241" s="360">
        <v>534.21459218286668</v>
      </c>
      <c r="BC241" s="360">
        <v>546.95536529264007</v>
      </c>
      <c r="BD241" s="360">
        <v>560</v>
      </c>
      <c r="BE241" s="360">
        <v>36.838333186125283</v>
      </c>
      <c r="BF241" s="360">
        <v>37.604513677066848</v>
      </c>
      <c r="BG241" s="360">
        <v>38.386629540049633</v>
      </c>
      <c r="BH241" s="360">
        <v>39.185012206224783</v>
      </c>
      <c r="BI241" s="360">
        <v>40</v>
      </c>
      <c r="BJ241" s="362">
        <v>611.15722979065788</v>
      </c>
      <c r="BK241" s="362">
        <v>614.33085448255088</v>
      </c>
      <c r="BL241" s="362">
        <v>617.5209592113215</v>
      </c>
      <c r="BM241" s="363">
        <v>613.46102983885214</v>
      </c>
      <c r="BN241" s="363">
        <v>609.42779272073244</v>
      </c>
      <c r="BO241" s="363">
        <v>607.48169251951128</v>
      </c>
      <c r="BP241" s="363">
        <v>605.54180684614471</v>
      </c>
      <c r="BQ241" s="363">
        <v>603.60811585563374</v>
      </c>
      <c r="BR241" s="363">
        <v>601.68059976635084</v>
      </c>
      <c r="BS241" s="363">
        <v>599.75923885983786</v>
      </c>
      <c r="BT241" s="363">
        <v>604.19563865631005</v>
      </c>
      <c r="BU241" s="363">
        <v>608.66485435936443</v>
      </c>
      <c r="BV241" s="363">
        <v>613.16712870720607</v>
      </c>
      <c r="BW241" s="363">
        <v>617.70270623356737</v>
      </c>
      <c r="BX241" s="363">
        <v>622.27183328098795</v>
      </c>
      <c r="BY241" s="435">
        <v>624.78009709410185</v>
      </c>
      <c r="BZ241" s="435">
        <v>627.28836090721563</v>
      </c>
      <c r="CA241" s="435">
        <v>629.79662472032953</v>
      </c>
      <c r="CB241" s="435">
        <v>632.30488853344332</v>
      </c>
      <c r="CC241" s="363">
        <v>634.81315234655722</v>
      </c>
      <c r="CD241" s="435">
        <v>636.86918731454807</v>
      </c>
      <c r="CE241" s="435">
        <v>638.92522228253893</v>
      </c>
      <c r="CF241" s="435">
        <v>640.98125725052989</v>
      </c>
      <c r="CG241" s="435">
        <v>643.03729221852075</v>
      </c>
      <c r="CH241" s="363">
        <v>645.0933271865116</v>
      </c>
      <c r="CI241" s="362">
        <v>562.90797480718481</v>
      </c>
      <c r="CJ241" s="362">
        <v>565.83105018129686</v>
      </c>
      <c r="CK241" s="362">
        <v>568.76930453674356</v>
      </c>
      <c r="CL241" s="363">
        <v>565.029895904206</v>
      </c>
      <c r="CM241" s="363">
        <v>561.31507224277993</v>
      </c>
      <c r="CN241" s="363">
        <v>559.52261153112886</v>
      </c>
      <c r="CO241" s="363">
        <v>557.73587472671238</v>
      </c>
      <c r="CP241" s="363">
        <v>555.95484355124165</v>
      </c>
      <c r="CQ241" s="363">
        <v>554.17949978479692</v>
      </c>
      <c r="CR241" s="363">
        <v>552.40982526564017</v>
      </c>
      <c r="CS241" s="363">
        <v>556.49598297291732</v>
      </c>
      <c r="CT241" s="363">
        <v>560.61236585730933</v>
      </c>
      <c r="CU241" s="363">
        <v>564.75919749347929</v>
      </c>
      <c r="CV241" s="363">
        <v>568.93670310986477</v>
      </c>
      <c r="CW241" s="363">
        <v>573.14510960091002</v>
      </c>
      <c r="CX241" s="435">
        <v>575.4553525866728</v>
      </c>
      <c r="CY241" s="435">
        <v>577.76559557243559</v>
      </c>
      <c r="CZ241" s="435">
        <v>580.07583855819826</v>
      </c>
      <c r="DA241" s="435">
        <v>582.38608154396104</v>
      </c>
      <c r="DB241" s="363">
        <v>584.69632452972382</v>
      </c>
      <c r="DC241" s="435">
        <v>586.59004094761019</v>
      </c>
      <c r="DD241" s="435">
        <v>588.48375736549656</v>
      </c>
      <c r="DE241" s="435">
        <v>590.37747378338281</v>
      </c>
      <c r="DF241" s="435">
        <v>592.27119020126918</v>
      </c>
      <c r="DG241" s="363">
        <v>594.16490661915554</v>
      </c>
      <c r="DH241" s="362">
        <v>40.207712486227493</v>
      </c>
      <c r="DI241" s="362">
        <v>40.416503584378347</v>
      </c>
      <c r="DJ241" s="362">
        <v>40.626378895481679</v>
      </c>
      <c r="DK241" s="363">
        <v>40.359278278871855</v>
      </c>
      <c r="DL241" s="363">
        <v>40.093933731627132</v>
      </c>
      <c r="DM241" s="363">
        <v>39.965900823652056</v>
      </c>
      <c r="DN241" s="363">
        <v>39.838276766193736</v>
      </c>
      <c r="DO241" s="363">
        <v>39.711060253660115</v>
      </c>
      <c r="DP241" s="363">
        <v>39.58424998462835</v>
      </c>
      <c r="DQ241" s="363">
        <v>39.457844661831437</v>
      </c>
      <c r="DR241" s="363">
        <v>39.749713069494085</v>
      </c>
      <c r="DS241" s="363">
        <v>40.043740418379237</v>
      </c>
      <c r="DT241" s="363">
        <v>40.339942678105665</v>
      </c>
      <c r="DU241" s="363">
        <v>40.638335936418905</v>
      </c>
      <c r="DV241" s="363">
        <v>40.938936400064996</v>
      </c>
      <c r="DW241" s="435">
        <v>41.103953756190911</v>
      </c>
      <c r="DX241" s="435">
        <v>41.268971112316819</v>
      </c>
      <c r="DY241" s="435">
        <v>41.433988468442735</v>
      </c>
      <c r="DZ241" s="435">
        <v>41.599005824568643</v>
      </c>
      <c r="EA241" s="363">
        <v>41.764023180694558</v>
      </c>
      <c r="EB241" s="435">
        <v>41.899288639115007</v>
      </c>
      <c r="EC241" s="435">
        <v>42.034554097535462</v>
      </c>
      <c r="ED241" s="435">
        <v>42.169819555955911</v>
      </c>
      <c r="EE241" s="435">
        <v>42.305085014376367</v>
      </c>
      <c r="EF241" s="363">
        <v>42.440350472796815</v>
      </c>
      <c r="EG241" s="364">
        <v>0</v>
      </c>
      <c r="EH241" s="364">
        <v>0</v>
      </c>
      <c r="EI241" s="364">
        <v>0</v>
      </c>
      <c r="EJ241" s="365">
        <v>0</v>
      </c>
      <c r="EK241" s="365">
        <v>0</v>
      </c>
      <c r="EL241" s="365">
        <v>0</v>
      </c>
      <c r="EM241" s="365">
        <v>0</v>
      </c>
      <c r="EN241" s="365">
        <v>0</v>
      </c>
      <c r="EO241" s="365">
        <v>0</v>
      </c>
      <c r="EP241" s="365">
        <v>0</v>
      </c>
      <c r="EQ241" s="365">
        <v>0</v>
      </c>
      <c r="ER241" s="365">
        <v>0</v>
      </c>
      <c r="ES241" s="365">
        <v>0</v>
      </c>
      <c r="ET241" s="365">
        <v>0</v>
      </c>
      <c r="EU241" s="365">
        <v>0</v>
      </c>
      <c r="EV241" s="436">
        <v>0</v>
      </c>
      <c r="EW241" s="436">
        <v>0</v>
      </c>
      <c r="EX241" s="436">
        <v>0</v>
      </c>
      <c r="EY241" s="436">
        <v>0</v>
      </c>
      <c r="EZ241" s="365">
        <v>0</v>
      </c>
      <c r="FA241" s="436">
        <v>0</v>
      </c>
      <c r="FB241" s="436">
        <v>0</v>
      </c>
      <c r="FC241" s="436">
        <v>0</v>
      </c>
      <c r="FD241" s="436">
        <v>0</v>
      </c>
      <c r="FE241" s="365">
        <v>0</v>
      </c>
      <c r="FF241" s="364">
        <v>0</v>
      </c>
      <c r="FG241" s="364">
        <v>0</v>
      </c>
      <c r="FH241" s="364">
        <v>0</v>
      </c>
      <c r="FI241" s="365">
        <v>0</v>
      </c>
      <c r="FJ241" s="365">
        <v>0</v>
      </c>
      <c r="FK241" s="365">
        <v>0</v>
      </c>
      <c r="FL241" s="365">
        <v>0</v>
      </c>
      <c r="FM241" s="365">
        <v>0</v>
      </c>
      <c r="FN241" s="365">
        <v>0</v>
      </c>
      <c r="FO241" s="365">
        <v>0</v>
      </c>
      <c r="FP241" s="365">
        <v>0</v>
      </c>
      <c r="FQ241" s="365">
        <v>0</v>
      </c>
      <c r="FR241" s="365">
        <v>0</v>
      </c>
      <c r="FS241" s="365">
        <v>0</v>
      </c>
      <c r="FT241" s="365">
        <v>0</v>
      </c>
      <c r="FU241" s="436">
        <v>0</v>
      </c>
      <c r="FV241" s="436">
        <v>0</v>
      </c>
      <c r="FW241" s="436">
        <v>0</v>
      </c>
      <c r="FX241" s="436">
        <v>0</v>
      </c>
      <c r="FY241" s="365">
        <v>0</v>
      </c>
      <c r="FZ241" s="436">
        <v>0</v>
      </c>
      <c r="GA241" s="436">
        <v>0</v>
      </c>
      <c r="GB241" s="436">
        <v>0</v>
      </c>
      <c r="GC241" s="436">
        <v>0</v>
      </c>
      <c r="GD241" s="365">
        <v>0</v>
      </c>
    </row>
    <row r="242" spans="1:186" ht="15" x14ac:dyDescent="0.25">
      <c r="A242" s="357">
        <v>109</v>
      </c>
      <c r="B242" s="357">
        <v>95</v>
      </c>
      <c r="C242" s="357" t="s">
        <v>1152</v>
      </c>
      <c r="D242" s="2">
        <v>99701</v>
      </c>
      <c r="E242" s="268" t="s">
        <v>1527</v>
      </c>
      <c r="F242" s="358" t="s">
        <v>985</v>
      </c>
      <c r="G242" s="49">
        <v>1225</v>
      </c>
      <c r="H242" s="49">
        <v>750</v>
      </c>
      <c r="I242" s="49">
        <v>563</v>
      </c>
      <c r="J242" s="49">
        <v>187</v>
      </c>
      <c r="K242" s="49">
        <v>17</v>
      </c>
      <c r="L242" s="49">
        <v>407</v>
      </c>
      <c r="M242" s="49">
        <v>424</v>
      </c>
      <c r="N242" s="49">
        <v>50</v>
      </c>
      <c r="O242" s="49">
        <v>0</v>
      </c>
      <c r="P242" s="49">
        <v>0</v>
      </c>
      <c r="Q242" s="49">
        <v>474</v>
      </c>
      <c r="R242" s="49">
        <v>6998.4705882352937</v>
      </c>
      <c r="S242" s="49">
        <v>2068.6117936117935</v>
      </c>
      <c r="T242" s="49">
        <v>2266.2712264150941</v>
      </c>
      <c r="U242" s="49">
        <v>11067.44</v>
      </c>
      <c r="V242" s="49">
        <v>0</v>
      </c>
      <c r="W242" s="49">
        <v>0</v>
      </c>
      <c r="X242" s="49">
        <v>3194.6645569620255</v>
      </c>
      <c r="Y242" s="434">
        <v>960898.99999999988</v>
      </c>
      <c r="Z242" s="434">
        <v>553372</v>
      </c>
      <c r="AA242" s="49">
        <v>30.070754716981131</v>
      </c>
      <c r="AB242" s="49">
        <v>719.92924528301887</v>
      </c>
      <c r="AC242" s="49">
        <v>0</v>
      </c>
      <c r="AD242" s="285">
        <v>50</v>
      </c>
      <c r="AE242" s="285">
        <v>0</v>
      </c>
      <c r="AF242" s="359">
        <v>800</v>
      </c>
      <c r="AG242" s="360">
        <v>22.57311320754717</v>
      </c>
      <c r="AH242" s="360">
        <v>540.42688679245282</v>
      </c>
      <c r="AI242" s="361">
        <v>563</v>
      </c>
      <c r="AJ242" s="360">
        <v>0</v>
      </c>
      <c r="AK242" s="360">
        <v>29.73696983143121</v>
      </c>
      <c r="AL242" s="360">
        <v>711.93804243485306</v>
      </c>
      <c r="AM242" s="360">
        <v>741.67501226628428</v>
      </c>
      <c r="AN242" s="360">
        <v>0</v>
      </c>
      <c r="AO242" s="360">
        <v>22.363663073930773</v>
      </c>
      <c r="AP242" s="360">
        <v>535.41240418175448</v>
      </c>
      <c r="AQ242" s="360">
        <v>557.77606725568523</v>
      </c>
      <c r="AR242" s="360">
        <v>0</v>
      </c>
      <c r="AS242" s="360">
        <v>49.741750589141837</v>
      </c>
      <c r="AT242" s="360">
        <v>0</v>
      </c>
      <c r="AU242" s="360">
        <v>733.44243176025725</v>
      </c>
      <c r="AV242" s="360">
        <v>737.54723548556683</v>
      </c>
      <c r="AW242" s="360">
        <v>741.67501226628428</v>
      </c>
      <c r="AX242" s="360">
        <v>745.82589067403205</v>
      </c>
      <c r="AY242" s="360">
        <v>750</v>
      </c>
      <c r="AZ242" s="360">
        <v>552.60060604479338</v>
      </c>
      <c r="BA242" s="360">
        <v>555.18230591650979</v>
      </c>
      <c r="BB242" s="360">
        <v>557.77606725568523</v>
      </c>
      <c r="BC242" s="360">
        <v>560.38194641240068</v>
      </c>
      <c r="BD242" s="360">
        <v>563</v>
      </c>
      <c r="BE242" s="360">
        <v>49.484835033447851</v>
      </c>
      <c r="BF242" s="360">
        <v>49.613126510819612</v>
      </c>
      <c r="BG242" s="360">
        <v>49.741750589141837</v>
      </c>
      <c r="BH242" s="360">
        <v>49.870708130696244</v>
      </c>
      <c r="BI242" s="360">
        <v>50</v>
      </c>
      <c r="BJ242" s="362">
        <v>757.65672503256644</v>
      </c>
      <c r="BK242" s="362">
        <v>765.39161731609875</v>
      </c>
      <c r="BL242" s="362">
        <v>773.20547485745965</v>
      </c>
      <c r="BM242" s="363">
        <v>768.12198810044799</v>
      </c>
      <c r="BN242" s="363">
        <v>763.07192303850832</v>
      </c>
      <c r="BO242" s="363">
        <v>760.6351873977826</v>
      </c>
      <c r="BP242" s="363">
        <v>758.20623304267826</v>
      </c>
      <c r="BQ242" s="363">
        <v>755.78503512503153</v>
      </c>
      <c r="BR242" s="363">
        <v>753.37156887602714</v>
      </c>
      <c r="BS242" s="363">
        <v>750.96580960594451</v>
      </c>
      <c r="BT242" s="363">
        <v>756.52067954213237</v>
      </c>
      <c r="BU242" s="363">
        <v>762.11663867254617</v>
      </c>
      <c r="BV242" s="363">
        <v>767.75399093263388</v>
      </c>
      <c r="BW242" s="363">
        <v>773.43304250604444</v>
      </c>
      <c r="BX242" s="363">
        <v>779.15410184125619</v>
      </c>
      <c r="BY242" s="435">
        <v>782.29472935155718</v>
      </c>
      <c r="BZ242" s="435">
        <v>785.43535686185805</v>
      </c>
      <c r="CA242" s="435">
        <v>788.57598437215904</v>
      </c>
      <c r="CB242" s="435">
        <v>791.71661188245992</v>
      </c>
      <c r="CC242" s="363">
        <v>794.8572393927609</v>
      </c>
      <c r="CD242" s="435">
        <v>797.43162568691889</v>
      </c>
      <c r="CE242" s="435">
        <v>800.00601198107688</v>
      </c>
      <c r="CF242" s="435">
        <v>802.58039827523487</v>
      </c>
      <c r="CG242" s="435">
        <v>805.15478456939286</v>
      </c>
      <c r="CH242" s="363">
        <v>807.72917086355085</v>
      </c>
      <c r="CI242" s="362">
        <v>568.74764825777993</v>
      </c>
      <c r="CJ242" s="362">
        <v>574.55397406528482</v>
      </c>
      <c r="CK242" s="362">
        <v>580.41957645966636</v>
      </c>
      <c r="CL242" s="363">
        <v>576.60357240073631</v>
      </c>
      <c r="CM242" s="363">
        <v>572.81265689424026</v>
      </c>
      <c r="CN242" s="363">
        <v>570.98348067326879</v>
      </c>
      <c r="CO242" s="363">
        <v>569.1601456040371</v>
      </c>
      <c r="CP242" s="363">
        <v>567.34263303385706</v>
      </c>
      <c r="CQ242" s="363">
        <v>565.53092436960435</v>
      </c>
      <c r="CR242" s="363">
        <v>563.72500107752899</v>
      </c>
      <c r="CS242" s="363">
        <v>567.89485677629409</v>
      </c>
      <c r="CT242" s="363">
        <v>572.09555676352466</v>
      </c>
      <c r="CU242" s="363">
        <v>576.3273291934305</v>
      </c>
      <c r="CV242" s="363">
        <v>580.59040390787061</v>
      </c>
      <c r="CW242" s="363">
        <v>584.88501244883639</v>
      </c>
      <c r="CX242" s="435">
        <v>587.2425768332356</v>
      </c>
      <c r="CY242" s="435">
        <v>589.60014121763481</v>
      </c>
      <c r="CZ242" s="435">
        <v>591.95770560203403</v>
      </c>
      <c r="DA242" s="435">
        <v>594.31526998643324</v>
      </c>
      <c r="DB242" s="363">
        <v>596.67283437083245</v>
      </c>
      <c r="DC242" s="435">
        <v>598.60534034898035</v>
      </c>
      <c r="DD242" s="435">
        <v>600.53784632712836</v>
      </c>
      <c r="DE242" s="435">
        <v>602.47035230527626</v>
      </c>
      <c r="DF242" s="435">
        <v>604.40285828342428</v>
      </c>
      <c r="DG242" s="363">
        <v>606.33536426157218</v>
      </c>
      <c r="DH242" s="362">
        <v>50.510448335504435</v>
      </c>
      <c r="DI242" s="362">
        <v>51.026107821073253</v>
      </c>
      <c r="DJ242" s="362">
        <v>51.547031657163977</v>
      </c>
      <c r="DK242" s="363">
        <v>51.208132540029865</v>
      </c>
      <c r="DL242" s="363">
        <v>50.871461535900558</v>
      </c>
      <c r="DM242" s="363">
        <v>50.709012493185512</v>
      </c>
      <c r="DN242" s="363">
        <v>50.547082202845218</v>
      </c>
      <c r="DO242" s="363">
        <v>50.385669008335441</v>
      </c>
      <c r="DP242" s="363">
        <v>50.224771258401809</v>
      </c>
      <c r="DQ242" s="363">
        <v>50.064387307062965</v>
      </c>
      <c r="DR242" s="363">
        <v>50.434711969475494</v>
      </c>
      <c r="DS242" s="363">
        <v>50.807775911503079</v>
      </c>
      <c r="DT242" s="363">
        <v>51.183599395508928</v>
      </c>
      <c r="DU242" s="363">
        <v>51.562202833736293</v>
      </c>
      <c r="DV242" s="363">
        <v>51.943606789417082</v>
      </c>
      <c r="DW242" s="435">
        <v>52.152981956770475</v>
      </c>
      <c r="DX242" s="435">
        <v>52.362357124123875</v>
      </c>
      <c r="DY242" s="435">
        <v>52.571732291477268</v>
      </c>
      <c r="DZ242" s="435">
        <v>52.781107458830668</v>
      </c>
      <c r="EA242" s="363">
        <v>52.990482626184061</v>
      </c>
      <c r="EB242" s="435">
        <v>53.162108379127929</v>
      </c>
      <c r="EC242" s="435">
        <v>53.33373413207179</v>
      </c>
      <c r="ED242" s="435">
        <v>53.505359885015658</v>
      </c>
      <c r="EE242" s="435">
        <v>53.676985637959518</v>
      </c>
      <c r="EF242" s="363">
        <v>53.848611390903386</v>
      </c>
      <c r="EG242" s="364">
        <v>0</v>
      </c>
      <c r="EH242" s="364">
        <v>0</v>
      </c>
      <c r="EI242" s="364">
        <v>0</v>
      </c>
      <c r="EJ242" s="365">
        <v>0</v>
      </c>
      <c r="EK242" s="365">
        <v>0</v>
      </c>
      <c r="EL242" s="365">
        <v>0</v>
      </c>
      <c r="EM242" s="365">
        <v>0</v>
      </c>
      <c r="EN242" s="365">
        <v>0</v>
      </c>
      <c r="EO242" s="365">
        <v>0</v>
      </c>
      <c r="EP242" s="365">
        <v>0</v>
      </c>
      <c r="EQ242" s="365">
        <v>0</v>
      </c>
      <c r="ER242" s="365">
        <v>0</v>
      </c>
      <c r="ES242" s="365">
        <v>0</v>
      </c>
      <c r="ET242" s="365">
        <v>0</v>
      </c>
      <c r="EU242" s="365">
        <v>0</v>
      </c>
      <c r="EV242" s="436">
        <v>0</v>
      </c>
      <c r="EW242" s="436">
        <v>0</v>
      </c>
      <c r="EX242" s="436">
        <v>0</v>
      </c>
      <c r="EY242" s="436">
        <v>0</v>
      </c>
      <c r="EZ242" s="365">
        <v>0</v>
      </c>
      <c r="FA242" s="436">
        <v>0</v>
      </c>
      <c r="FB242" s="436">
        <v>0</v>
      </c>
      <c r="FC242" s="436">
        <v>0</v>
      </c>
      <c r="FD242" s="436">
        <v>0</v>
      </c>
      <c r="FE242" s="365">
        <v>0</v>
      </c>
      <c r="FF242" s="364">
        <v>0</v>
      </c>
      <c r="FG242" s="364">
        <v>0</v>
      </c>
      <c r="FH242" s="364">
        <v>0</v>
      </c>
      <c r="FI242" s="365">
        <v>0</v>
      </c>
      <c r="FJ242" s="365">
        <v>0</v>
      </c>
      <c r="FK242" s="365">
        <v>0</v>
      </c>
      <c r="FL242" s="365">
        <v>0</v>
      </c>
      <c r="FM242" s="365">
        <v>0</v>
      </c>
      <c r="FN242" s="365">
        <v>0</v>
      </c>
      <c r="FO242" s="365">
        <v>0</v>
      </c>
      <c r="FP242" s="365">
        <v>0</v>
      </c>
      <c r="FQ242" s="365">
        <v>0</v>
      </c>
      <c r="FR242" s="365">
        <v>0</v>
      </c>
      <c r="FS242" s="365">
        <v>0</v>
      </c>
      <c r="FT242" s="365">
        <v>0</v>
      </c>
      <c r="FU242" s="436">
        <v>0</v>
      </c>
      <c r="FV242" s="436">
        <v>0</v>
      </c>
      <c r="FW242" s="436">
        <v>0</v>
      </c>
      <c r="FX242" s="436">
        <v>0</v>
      </c>
      <c r="FY242" s="365">
        <v>0</v>
      </c>
      <c r="FZ242" s="436">
        <v>0</v>
      </c>
      <c r="GA242" s="436">
        <v>0</v>
      </c>
      <c r="GB242" s="436">
        <v>0</v>
      </c>
      <c r="GC242" s="436">
        <v>0</v>
      </c>
      <c r="GD242" s="365">
        <v>0</v>
      </c>
    </row>
    <row r="243" spans="1:186" ht="15" x14ac:dyDescent="0.25">
      <c r="A243" s="357">
        <v>110</v>
      </c>
      <c r="B243" s="357">
        <v>95</v>
      </c>
      <c r="C243" s="357" t="s">
        <v>1153</v>
      </c>
      <c r="D243" s="2">
        <v>99701</v>
      </c>
      <c r="E243" s="268" t="s">
        <v>1527</v>
      </c>
      <c r="F243" s="358" t="s">
        <v>985</v>
      </c>
      <c r="G243" s="49">
        <v>383</v>
      </c>
      <c r="H243" s="49">
        <v>182</v>
      </c>
      <c r="I243" s="49">
        <v>164</v>
      </c>
      <c r="J243" s="49">
        <v>18</v>
      </c>
      <c r="K243" s="49">
        <v>4</v>
      </c>
      <c r="L243" s="49">
        <v>123</v>
      </c>
      <c r="M243" s="49">
        <v>127</v>
      </c>
      <c r="N243" s="49">
        <v>77</v>
      </c>
      <c r="O243" s="49">
        <v>0</v>
      </c>
      <c r="P243" s="49">
        <v>0</v>
      </c>
      <c r="Q243" s="49">
        <v>204</v>
      </c>
      <c r="R243" s="49">
        <v>3369</v>
      </c>
      <c r="S243" s="49">
        <v>1802.9674796747968</v>
      </c>
      <c r="T243" s="49">
        <v>1852.2913385826771</v>
      </c>
      <c r="U243" s="49">
        <v>24584.610389610389</v>
      </c>
      <c r="V243" s="49">
        <v>0</v>
      </c>
      <c r="W243" s="49">
        <v>0</v>
      </c>
      <c r="X243" s="49">
        <v>10432.627450980392</v>
      </c>
      <c r="Y243" s="434">
        <v>235241</v>
      </c>
      <c r="Z243" s="434">
        <v>1893015</v>
      </c>
      <c r="AA243" s="49">
        <v>5.7322834645669287</v>
      </c>
      <c r="AB243" s="49">
        <v>176.26771653543307</v>
      </c>
      <c r="AC243" s="49">
        <v>0</v>
      </c>
      <c r="AD243" s="285">
        <v>77</v>
      </c>
      <c r="AE243" s="285">
        <v>0</v>
      </c>
      <c r="AF243" s="359">
        <v>259</v>
      </c>
      <c r="AG243" s="360">
        <v>5.1653543307086611</v>
      </c>
      <c r="AH243" s="360">
        <v>158.83464566929135</v>
      </c>
      <c r="AI243" s="361">
        <v>164</v>
      </c>
      <c r="AJ243" s="360">
        <v>0</v>
      </c>
      <c r="AK243" s="360">
        <v>5.6686552118619939</v>
      </c>
      <c r="AL243" s="360">
        <v>174.31114776475633</v>
      </c>
      <c r="AM243" s="360">
        <v>179.97980297661832</v>
      </c>
      <c r="AN243" s="360">
        <v>0</v>
      </c>
      <c r="AO243" s="360">
        <v>5.1174263313761976</v>
      </c>
      <c r="AP243" s="360">
        <v>157.36085968981808</v>
      </c>
      <c r="AQ243" s="360">
        <v>162.47828602119429</v>
      </c>
      <c r="AR243" s="360">
        <v>0</v>
      </c>
      <c r="AS243" s="360">
        <v>76.602295907278432</v>
      </c>
      <c r="AT243" s="360">
        <v>0</v>
      </c>
      <c r="AU243" s="360">
        <v>177.98203010715577</v>
      </c>
      <c r="AV243" s="360">
        <v>178.97812914449753</v>
      </c>
      <c r="AW243" s="360">
        <v>179.97980297661832</v>
      </c>
      <c r="AX243" s="360">
        <v>180.9870828035651</v>
      </c>
      <c r="AY243" s="360">
        <v>182</v>
      </c>
      <c r="AZ243" s="360">
        <v>160.97069163649397</v>
      </c>
      <c r="BA243" s="360">
        <v>161.72273209646113</v>
      </c>
      <c r="BB243" s="360">
        <v>162.47828602119426</v>
      </c>
      <c r="BC243" s="360">
        <v>163.23736982528192</v>
      </c>
      <c r="BD243" s="360">
        <v>164</v>
      </c>
      <c r="BE243" s="360">
        <v>76.206645951509685</v>
      </c>
      <c r="BF243" s="360">
        <v>76.404214826662212</v>
      </c>
      <c r="BG243" s="360">
        <v>76.602295907278432</v>
      </c>
      <c r="BH243" s="360">
        <v>76.800890521272208</v>
      </c>
      <c r="BI243" s="360">
        <v>77</v>
      </c>
      <c r="BJ243" s="362">
        <v>183.72550814446063</v>
      </c>
      <c r="BK243" s="362">
        <v>185.46737551066082</v>
      </c>
      <c r="BL243" s="362">
        <v>187.22575719733877</v>
      </c>
      <c r="BM243" s="363">
        <v>185.99482998816504</v>
      </c>
      <c r="BN243" s="363">
        <v>184.77199558532823</v>
      </c>
      <c r="BO243" s="363">
        <v>184.18195879658364</v>
      </c>
      <c r="BP243" s="363">
        <v>183.59380618628813</v>
      </c>
      <c r="BQ243" s="363">
        <v>183.00753173765003</v>
      </c>
      <c r="BR243" s="363">
        <v>182.42312945309124</v>
      </c>
      <c r="BS243" s="363">
        <v>181.84059335418587</v>
      </c>
      <c r="BT243" s="363">
        <v>183.18566237368191</v>
      </c>
      <c r="BU243" s="363">
        <v>184.54068082544629</v>
      </c>
      <c r="BV243" s="363">
        <v>185.90572230510941</v>
      </c>
      <c r="BW243" s="363">
        <v>187.28086095268628</v>
      </c>
      <c r="BX243" s="363">
        <v>188.66617145660297</v>
      </c>
      <c r="BY243" s="435">
        <v>189.42665024627951</v>
      </c>
      <c r="BZ243" s="435">
        <v>190.18712903595608</v>
      </c>
      <c r="CA243" s="435">
        <v>190.94760782563262</v>
      </c>
      <c r="CB243" s="435">
        <v>191.70808661530918</v>
      </c>
      <c r="CC243" s="363">
        <v>192.46856540498572</v>
      </c>
      <c r="CD243" s="435">
        <v>193.09193324046444</v>
      </c>
      <c r="CE243" s="435">
        <v>193.71530107594313</v>
      </c>
      <c r="CF243" s="435">
        <v>194.33866891142185</v>
      </c>
      <c r="CG243" s="435">
        <v>194.96203674690054</v>
      </c>
      <c r="CH243" s="363">
        <v>195.58540458237925</v>
      </c>
      <c r="CI243" s="362">
        <v>165.55485349281068</v>
      </c>
      <c r="CJ243" s="362">
        <v>167.12444826235372</v>
      </c>
      <c r="CK243" s="362">
        <v>168.70892406793163</v>
      </c>
      <c r="CL243" s="363">
        <v>167.59973691241245</v>
      </c>
      <c r="CM243" s="363">
        <v>166.49784217579025</v>
      </c>
      <c r="CN243" s="363">
        <v>165.9661606738446</v>
      </c>
      <c r="CO243" s="363">
        <v>165.43617700302889</v>
      </c>
      <c r="CP243" s="363">
        <v>164.90788574161871</v>
      </c>
      <c r="CQ243" s="363">
        <v>164.38128148520309</v>
      </c>
      <c r="CR243" s="363">
        <v>163.85635884662901</v>
      </c>
      <c r="CS243" s="363">
        <v>165.06839906199909</v>
      </c>
      <c r="CT243" s="363">
        <v>166.2894046998527</v>
      </c>
      <c r="CU243" s="363">
        <v>167.51944207713154</v>
      </c>
      <c r="CV243" s="363">
        <v>168.75857800132169</v>
      </c>
      <c r="CW243" s="363">
        <v>170.0068797740818</v>
      </c>
      <c r="CX243" s="435">
        <v>170.69214637576835</v>
      </c>
      <c r="CY243" s="435">
        <v>171.37741297745492</v>
      </c>
      <c r="CZ243" s="435">
        <v>172.06267957914147</v>
      </c>
      <c r="DA243" s="435">
        <v>172.74794618082805</v>
      </c>
      <c r="DB243" s="363">
        <v>173.4332127825146</v>
      </c>
      <c r="DC243" s="435">
        <v>173.99492885404487</v>
      </c>
      <c r="DD243" s="435">
        <v>174.55664492557514</v>
      </c>
      <c r="DE243" s="435">
        <v>175.11836099710538</v>
      </c>
      <c r="DF243" s="435">
        <v>175.68007706863565</v>
      </c>
      <c r="DG243" s="363">
        <v>176.24179314016592</v>
      </c>
      <c r="DH243" s="362">
        <v>77.730022676502571</v>
      </c>
      <c r="DI243" s="362">
        <v>78.466966562202657</v>
      </c>
      <c r="DJ243" s="362">
        <v>79.210897275797166</v>
      </c>
      <c r="DK243" s="363">
        <v>78.690120379608274</v>
      </c>
      <c r="DL243" s="363">
        <v>78.172767363023468</v>
      </c>
      <c r="DM243" s="363">
        <v>77.923136413939233</v>
      </c>
      <c r="DN243" s="363">
        <v>77.674302617275742</v>
      </c>
      <c r="DO243" s="363">
        <v>77.426263427467319</v>
      </c>
      <c r="DP243" s="363">
        <v>77.179016307077049</v>
      </c>
      <c r="DQ243" s="363">
        <v>76.932558726770935</v>
      </c>
      <c r="DR243" s="363">
        <v>77.501626388865418</v>
      </c>
      <c r="DS243" s="363">
        <v>78.074903426150343</v>
      </c>
      <c r="DT243" s="363">
        <v>78.652420975238599</v>
      </c>
      <c r="DU243" s="363">
        <v>79.234210403059578</v>
      </c>
      <c r="DV243" s="363">
        <v>79.820303308562799</v>
      </c>
      <c r="DW243" s="435">
        <v>80.14204433496441</v>
      </c>
      <c r="DX243" s="435">
        <v>80.463785361366035</v>
      </c>
      <c r="DY243" s="435">
        <v>80.785526387767646</v>
      </c>
      <c r="DZ243" s="435">
        <v>81.107267414169272</v>
      </c>
      <c r="EA243" s="363">
        <v>81.429008440570882</v>
      </c>
      <c r="EB243" s="435">
        <v>81.69274098635033</v>
      </c>
      <c r="EC243" s="435">
        <v>81.956473532129792</v>
      </c>
      <c r="ED243" s="435">
        <v>82.220206077909239</v>
      </c>
      <c r="EE243" s="435">
        <v>82.483938623688701</v>
      </c>
      <c r="EF243" s="363">
        <v>82.747671169468148</v>
      </c>
      <c r="EG243" s="364">
        <v>0</v>
      </c>
      <c r="EH243" s="364">
        <v>0</v>
      </c>
      <c r="EI243" s="364">
        <v>0</v>
      </c>
      <c r="EJ243" s="365">
        <v>0</v>
      </c>
      <c r="EK243" s="365">
        <v>0</v>
      </c>
      <c r="EL243" s="365">
        <v>0</v>
      </c>
      <c r="EM243" s="365">
        <v>0</v>
      </c>
      <c r="EN243" s="365">
        <v>0</v>
      </c>
      <c r="EO243" s="365">
        <v>0</v>
      </c>
      <c r="EP243" s="365">
        <v>0</v>
      </c>
      <c r="EQ243" s="365">
        <v>0</v>
      </c>
      <c r="ER243" s="365">
        <v>0</v>
      </c>
      <c r="ES243" s="365">
        <v>0</v>
      </c>
      <c r="ET243" s="365">
        <v>0</v>
      </c>
      <c r="EU243" s="365">
        <v>0</v>
      </c>
      <c r="EV243" s="436">
        <v>0</v>
      </c>
      <c r="EW243" s="436">
        <v>0</v>
      </c>
      <c r="EX243" s="436">
        <v>0</v>
      </c>
      <c r="EY243" s="436">
        <v>0</v>
      </c>
      <c r="EZ243" s="365">
        <v>0</v>
      </c>
      <c r="FA243" s="436">
        <v>0</v>
      </c>
      <c r="FB243" s="436">
        <v>0</v>
      </c>
      <c r="FC243" s="436">
        <v>0</v>
      </c>
      <c r="FD243" s="436">
        <v>0</v>
      </c>
      <c r="FE243" s="365">
        <v>0</v>
      </c>
      <c r="FF243" s="364">
        <v>0</v>
      </c>
      <c r="FG243" s="364">
        <v>0</v>
      </c>
      <c r="FH243" s="364">
        <v>0</v>
      </c>
      <c r="FI243" s="365">
        <v>0</v>
      </c>
      <c r="FJ243" s="365">
        <v>0</v>
      </c>
      <c r="FK243" s="365">
        <v>0</v>
      </c>
      <c r="FL243" s="365">
        <v>0</v>
      </c>
      <c r="FM243" s="365">
        <v>0</v>
      </c>
      <c r="FN243" s="365">
        <v>0</v>
      </c>
      <c r="FO243" s="365">
        <v>0</v>
      </c>
      <c r="FP243" s="365">
        <v>0</v>
      </c>
      <c r="FQ243" s="365">
        <v>0</v>
      </c>
      <c r="FR243" s="365">
        <v>0</v>
      </c>
      <c r="FS243" s="365">
        <v>0</v>
      </c>
      <c r="FT243" s="365">
        <v>0</v>
      </c>
      <c r="FU243" s="436">
        <v>0</v>
      </c>
      <c r="FV243" s="436">
        <v>0</v>
      </c>
      <c r="FW243" s="436">
        <v>0</v>
      </c>
      <c r="FX243" s="436">
        <v>0</v>
      </c>
      <c r="FY243" s="365">
        <v>0</v>
      </c>
      <c r="FZ243" s="436">
        <v>0</v>
      </c>
      <c r="GA243" s="436">
        <v>0</v>
      </c>
      <c r="GB243" s="436">
        <v>0</v>
      </c>
      <c r="GC243" s="436">
        <v>0</v>
      </c>
      <c r="GD243" s="365">
        <v>0</v>
      </c>
    </row>
    <row r="244" spans="1:186" ht="15" x14ac:dyDescent="0.25">
      <c r="A244" s="357">
        <v>111</v>
      </c>
      <c r="B244" s="357">
        <v>95</v>
      </c>
      <c r="C244" s="357" t="s">
        <v>1154</v>
      </c>
      <c r="D244" s="2">
        <v>99701</v>
      </c>
      <c r="E244" s="268" t="s">
        <v>1527</v>
      </c>
      <c r="F244" s="358" t="s">
        <v>985</v>
      </c>
      <c r="G244" s="49">
        <v>1867</v>
      </c>
      <c r="H244" s="49">
        <v>619</v>
      </c>
      <c r="I244" s="49">
        <v>597</v>
      </c>
      <c r="J244" s="49">
        <v>22</v>
      </c>
      <c r="K244" s="49">
        <v>2</v>
      </c>
      <c r="L244" s="49">
        <v>392</v>
      </c>
      <c r="M244" s="49">
        <v>394</v>
      </c>
      <c r="N244" s="49">
        <v>11</v>
      </c>
      <c r="O244" s="49">
        <v>0</v>
      </c>
      <c r="P244" s="49">
        <v>0</v>
      </c>
      <c r="Q244" s="49">
        <v>405</v>
      </c>
      <c r="R244" s="49">
        <v>4675.5</v>
      </c>
      <c r="S244" s="49">
        <v>2362.2321428571427</v>
      </c>
      <c r="T244" s="49">
        <v>2373.9746192893399</v>
      </c>
      <c r="U244" s="49">
        <v>29575.727272727272</v>
      </c>
      <c r="V244" s="49">
        <v>0</v>
      </c>
      <c r="W244" s="49">
        <v>0</v>
      </c>
      <c r="X244" s="49">
        <v>3112.7876543209877</v>
      </c>
      <c r="Y244" s="434">
        <v>935345.99999999988</v>
      </c>
      <c r="Z244" s="434">
        <v>325333</v>
      </c>
      <c r="AA244" s="49">
        <v>3.1421319796954315</v>
      </c>
      <c r="AB244" s="49">
        <v>615.85786802030452</v>
      </c>
      <c r="AC244" s="49">
        <v>0</v>
      </c>
      <c r="AD244" s="285">
        <v>11</v>
      </c>
      <c r="AE244" s="285">
        <v>0</v>
      </c>
      <c r="AF244" s="359">
        <v>630</v>
      </c>
      <c r="AG244" s="360">
        <v>3.030456852791878</v>
      </c>
      <c r="AH244" s="360">
        <v>593.96954314720801</v>
      </c>
      <c r="AI244" s="361">
        <v>596.99999999999989</v>
      </c>
      <c r="AJ244" s="360">
        <v>0</v>
      </c>
      <c r="AK244" s="360">
        <v>3.1072543661105243</v>
      </c>
      <c r="AL244" s="360">
        <v>609.02185575766271</v>
      </c>
      <c r="AM244" s="360">
        <v>612.12911012377322</v>
      </c>
      <c r="AN244" s="360">
        <v>0</v>
      </c>
      <c r="AO244" s="360">
        <v>3.0023380201390668</v>
      </c>
      <c r="AP244" s="360">
        <v>588.45825194725705</v>
      </c>
      <c r="AQ244" s="360">
        <v>591.46058996739612</v>
      </c>
      <c r="AR244" s="360">
        <v>0</v>
      </c>
      <c r="AS244" s="360">
        <v>10.943185129611205</v>
      </c>
      <c r="AT244" s="360">
        <v>0</v>
      </c>
      <c r="AU244" s="360">
        <v>605.33448701279906</v>
      </c>
      <c r="AV244" s="360">
        <v>608.72231835408775</v>
      </c>
      <c r="AW244" s="360">
        <v>612.12911012377333</v>
      </c>
      <c r="AX244" s="360">
        <v>615.55496843630112</v>
      </c>
      <c r="AY244" s="360">
        <v>619</v>
      </c>
      <c r="AZ244" s="360">
        <v>585.97257870113958</v>
      </c>
      <c r="BA244" s="360">
        <v>588.71018939992246</v>
      </c>
      <c r="BB244" s="360">
        <v>591.46058996739612</v>
      </c>
      <c r="BC244" s="360">
        <v>594.22384015666637</v>
      </c>
      <c r="BD244" s="360">
        <v>596.99999999999989</v>
      </c>
      <c r="BE244" s="360">
        <v>10.886663707358526</v>
      </c>
      <c r="BF244" s="360">
        <v>10.914887832380316</v>
      </c>
      <c r="BG244" s="360">
        <v>10.943185129611205</v>
      </c>
      <c r="BH244" s="360">
        <v>10.971555788753173</v>
      </c>
      <c r="BI244" s="360">
        <v>11</v>
      </c>
      <c r="BJ244" s="362">
        <v>630.79299671363651</v>
      </c>
      <c r="BK244" s="362">
        <v>642.8106699563325</v>
      </c>
      <c r="BL244" s="362">
        <v>655.05730019588896</v>
      </c>
      <c r="BM244" s="363">
        <v>650.7505858503348</v>
      </c>
      <c r="BN244" s="363">
        <v>646.47218626205256</v>
      </c>
      <c r="BO244" s="363">
        <v>644.40779132175658</v>
      </c>
      <c r="BP244" s="363">
        <v>642.34998866270655</v>
      </c>
      <c r="BQ244" s="363">
        <v>640.29875723361465</v>
      </c>
      <c r="BR244" s="363">
        <v>638.25407605041664</v>
      </c>
      <c r="BS244" s="363">
        <v>636.21592419605724</v>
      </c>
      <c r="BT244" s="363">
        <v>640.92199292120347</v>
      </c>
      <c r="BU244" s="363">
        <v>645.66287228532224</v>
      </c>
      <c r="BV244" s="363">
        <v>650.43881978159038</v>
      </c>
      <c r="BW244" s="363">
        <v>655.25009480785332</v>
      </c>
      <c r="BX244" s="363">
        <v>660.09695868071356</v>
      </c>
      <c r="BY244" s="435">
        <v>662.75768864799409</v>
      </c>
      <c r="BZ244" s="435">
        <v>665.41841861527473</v>
      </c>
      <c r="CA244" s="435">
        <v>668.07914858255526</v>
      </c>
      <c r="CB244" s="435">
        <v>670.73987854983591</v>
      </c>
      <c r="CC244" s="363">
        <v>673.40060851711644</v>
      </c>
      <c r="CD244" s="435">
        <v>675.58162066763612</v>
      </c>
      <c r="CE244" s="435">
        <v>677.76263281815579</v>
      </c>
      <c r="CF244" s="435">
        <v>679.94364496867536</v>
      </c>
      <c r="CG244" s="435">
        <v>682.12465711919504</v>
      </c>
      <c r="CH244" s="363">
        <v>684.30566926971471</v>
      </c>
      <c r="CI244" s="362">
        <v>608.37385951218243</v>
      </c>
      <c r="CJ244" s="362">
        <v>619.96441028098616</v>
      </c>
      <c r="CK244" s="362">
        <v>631.77578064126919</v>
      </c>
      <c r="CL244" s="363">
        <v>627.62213207213222</v>
      </c>
      <c r="CM244" s="363">
        <v>623.49579191994394</v>
      </c>
      <c r="CN244" s="363">
        <v>621.50476804376183</v>
      </c>
      <c r="CO244" s="363">
        <v>619.52010215126938</v>
      </c>
      <c r="CP244" s="363">
        <v>617.54177393936652</v>
      </c>
      <c r="CQ244" s="363">
        <v>615.56976316978785</v>
      </c>
      <c r="CR244" s="363">
        <v>613.60404966889519</v>
      </c>
      <c r="CS244" s="363">
        <v>618.14285908555473</v>
      </c>
      <c r="CT244" s="363">
        <v>622.71524192946254</v>
      </c>
      <c r="CU244" s="363">
        <v>627.32144654217996</v>
      </c>
      <c r="CV244" s="363">
        <v>631.9617231022429</v>
      </c>
      <c r="CW244" s="363">
        <v>636.63632363874945</v>
      </c>
      <c r="CX244" s="435">
        <v>639.20248808215251</v>
      </c>
      <c r="CY244" s="435">
        <v>641.76865252555558</v>
      </c>
      <c r="CZ244" s="435">
        <v>644.33481696895876</v>
      </c>
      <c r="DA244" s="435">
        <v>646.90098141236183</v>
      </c>
      <c r="DB244" s="363">
        <v>649.4671458557649</v>
      </c>
      <c r="DC244" s="435">
        <v>651.57064222710619</v>
      </c>
      <c r="DD244" s="435">
        <v>653.67413859844737</v>
      </c>
      <c r="DE244" s="435">
        <v>655.77763496978866</v>
      </c>
      <c r="DF244" s="435">
        <v>657.88113134112984</v>
      </c>
      <c r="DG244" s="363">
        <v>659.98462771247114</v>
      </c>
      <c r="DH244" s="362">
        <v>11.209568600726982</v>
      </c>
      <c r="DI244" s="362">
        <v>11.423129837673113</v>
      </c>
      <c r="DJ244" s="362">
        <v>11.640759777309821</v>
      </c>
      <c r="DK244" s="363">
        <v>11.564226889101267</v>
      </c>
      <c r="DL244" s="363">
        <v>11.488197171054248</v>
      </c>
      <c r="DM244" s="363">
        <v>11.451511638997291</v>
      </c>
      <c r="DN244" s="363">
        <v>11.414943255718535</v>
      </c>
      <c r="DO244" s="363">
        <v>11.37849164712401</v>
      </c>
      <c r="DP244" s="363">
        <v>11.342156440314351</v>
      </c>
      <c r="DQ244" s="363">
        <v>11.305937263580986</v>
      </c>
      <c r="DR244" s="363">
        <v>11.389566917824295</v>
      </c>
      <c r="DS244" s="363">
        <v>11.473815177929799</v>
      </c>
      <c r="DT244" s="363">
        <v>11.558686619705162</v>
      </c>
      <c r="DU244" s="363">
        <v>11.644185852805149</v>
      </c>
      <c r="DV244" s="363">
        <v>11.730317520981986</v>
      </c>
      <c r="DW244" s="435">
        <v>11.777600282920737</v>
      </c>
      <c r="DX244" s="435">
        <v>11.824883044859487</v>
      </c>
      <c r="DY244" s="435">
        <v>11.872165806798238</v>
      </c>
      <c r="DZ244" s="435">
        <v>11.919448568736987</v>
      </c>
      <c r="EA244" s="363">
        <v>11.966731330675739</v>
      </c>
      <c r="EB244" s="435">
        <v>12.005489220264941</v>
      </c>
      <c r="EC244" s="435">
        <v>12.044247109854142</v>
      </c>
      <c r="ED244" s="435">
        <v>12.083004999443345</v>
      </c>
      <c r="EE244" s="435">
        <v>12.121762889032546</v>
      </c>
      <c r="EF244" s="363">
        <v>12.160520778621748</v>
      </c>
      <c r="EG244" s="364">
        <v>0</v>
      </c>
      <c r="EH244" s="364">
        <v>0</v>
      </c>
      <c r="EI244" s="364">
        <v>0</v>
      </c>
      <c r="EJ244" s="365">
        <v>0</v>
      </c>
      <c r="EK244" s="365">
        <v>0</v>
      </c>
      <c r="EL244" s="365">
        <v>0</v>
      </c>
      <c r="EM244" s="365">
        <v>0</v>
      </c>
      <c r="EN244" s="365">
        <v>0</v>
      </c>
      <c r="EO244" s="365">
        <v>0</v>
      </c>
      <c r="EP244" s="365">
        <v>0</v>
      </c>
      <c r="EQ244" s="365">
        <v>0</v>
      </c>
      <c r="ER244" s="365">
        <v>0</v>
      </c>
      <c r="ES244" s="365">
        <v>0</v>
      </c>
      <c r="ET244" s="365">
        <v>0</v>
      </c>
      <c r="EU244" s="365">
        <v>0</v>
      </c>
      <c r="EV244" s="436">
        <v>0</v>
      </c>
      <c r="EW244" s="436">
        <v>0</v>
      </c>
      <c r="EX244" s="436">
        <v>0</v>
      </c>
      <c r="EY244" s="436">
        <v>0</v>
      </c>
      <c r="EZ244" s="365">
        <v>0</v>
      </c>
      <c r="FA244" s="436">
        <v>0</v>
      </c>
      <c r="FB244" s="436">
        <v>0</v>
      </c>
      <c r="FC244" s="436">
        <v>0</v>
      </c>
      <c r="FD244" s="436">
        <v>0</v>
      </c>
      <c r="FE244" s="365">
        <v>0</v>
      </c>
      <c r="FF244" s="364">
        <v>0</v>
      </c>
      <c r="FG244" s="364">
        <v>0</v>
      </c>
      <c r="FH244" s="364">
        <v>0</v>
      </c>
      <c r="FI244" s="365">
        <v>0</v>
      </c>
      <c r="FJ244" s="365">
        <v>0</v>
      </c>
      <c r="FK244" s="365">
        <v>0</v>
      </c>
      <c r="FL244" s="365">
        <v>0</v>
      </c>
      <c r="FM244" s="365">
        <v>0</v>
      </c>
      <c r="FN244" s="365">
        <v>0</v>
      </c>
      <c r="FO244" s="365">
        <v>0</v>
      </c>
      <c r="FP244" s="365">
        <v>0</v>
      </c>
      <c r="FQ244" s="365">
        <v>0</v>
      </c>
      <c r="FR244" s="365">
        <v>0</v>
      </c>
      <c r="FS244" s="365">
        <v>0</v>
      </c>
      <c r="FT244" s="365">
        <v>0</v>
      </c>
      <c r="FU244" s="436">
        <v>0</v>
      </c>
      <c r="FV244" s="436">
        <v>0</v>
      </c>
      <c r="FW244" s="436">
        <v>0</v>
      </c>
      <c r="FX244" s="436">
        <v>0</v>
      </c>
      <c r="FY244" s="365">
        <v>0</v>
      </c>
      <c r="FZ244" s="436">
        <v>0</v>
      </c>
      <c r="GA244" s="436">
        <v>0</v>
      </c>
      <c r="GB244" s="436">
        <v>0</v>
      </c>
      <c r="GC244" s="436">
        <v>0</v>
      </c>
      <c r="GD244" s="365">
        <v>0</v>
      </c>
    </row>
    <row r="245" spans="1:186" ht="15" x14ac:dyDescent="0.25">
      <c r="A245" s="357">
        <v>117</v>
      </c>
      <c r="B245" s="357">
        <v>95</v>
      </c>
      <c r="C245" s="357" t="s">
        <v>1155</v>
      </c>
      <c r="D245" s="2">
        <v>99705</v>
      </c>
      <c r="E245" s="268" t="s">
        <v>19</v>
      </c>
      <c r="F245" s="358" t="s">
        <v>985</v>
      </c>
      <c r="G245" s="49">
        <v>4</v>
      </c>
      <c r="H245" s="49">
        <v>2</v>
      </c>
      <c r="I245" s="49">
        <v>2</v>
      </c>
      <c r="J245" s="49">
        <v>0</v>
      </c>
      <c r="K245" s="49">
        <v>0</v>
      </c>
      <c r="L245" s="49">
        <v>0</v>
      </c>
      <c r="M245" s="49">
        <v>0</v>
      </c>
      <c r="N245" s="49">
        <v>0</v>
      </c>
      <c r="O245" s="49">
        <v>0</v>
      </c>
      <c r="P245" s="49">
        <v>0</v>
      </c>
      <c r="Q245" s="49">
        <v>0</v>
      </c>
      <c r="R245" s="49">
        <v>0</v>
      </c>
      <c r="S245" s="49">
        <v>834.49503068156923</v>
      </c>
      <c r="T245" s="49">
        <v>834.49503068156923</v>
      </c>
      <c r="U245" s="49">
        <v>1408.3846153846155</v>
      </c>
      <c r="V245" s="49">
        <v>0</v>
      </c>
      <c r="W245" s="49">
        <v>0</v>
      </c>
      <c r="X245" s="49">
        <v>1365.173957061457</v>
      </c>
      <c r="Y245" s="434">
        <v>0</v>
      </c>
      <c r="Z245" s="434">
        <v>0</v>
      </c>
      <c r="AA245" s="49">
        <v>4.5824670824670823E-2</v>
      </c>
      <c r="AB245" s="49">
        <v>1.9515765765765767</v>
      </c>
      <c r="AC245" s="49">
        <v>2.5987525987525989E-3</v>
      </c>
      <c r="AD245" s="285">
        <v>0</v>
      </c>
      <c r="AE245" s="285">
        <v>0</v>
      </c>
      <c r="AF245" s="359">
        <v>2</v>
      </c>
      <c r="AG245" s="360">
        <v>4.5824670824670823E-2</v>
      </c>
      <c r="AH245" s="360">
        <v>1.9515765765765767</v>
      </c>
      <c r="AI245" s="361">
        <v>1.9974012474012475</v>
      </c>
      <c r="AJ245" s="360">
        <v>2.5987525987525989E-3</v>
      </c>
      <c r="AK245" s="360">
        <v>4.2532246137979485E-2</v>
      </c>
      <c r="AL245" s="360">
        <v>1.811359117660756</v>
      </c>
      <c r="AM245" s="360">
        <v>1.8538913637987355</v>
      </c>
      <c r="AN245" s="360">
        <v>2.4120366429856042E-3</v>
      </c>
      <c r="AO245" s="360">
        <v>4.2750398256995607E-2</v>
      </c>
      <c r="AP245" s="360">
        <v>1.8206497586613499</v>
      </c>
      <c r="AQ245" s="360">
        <v>1.8634001569183456</v>
      </c>
      <c r="AR245" s="360">
        <v>2.4244082187332102E-3</v>
      </c>
      <c r="AS245" s="360">
        <v>0</v>
      </c>
      <c r="AT245" s="360">
        <v>0</v>
      </c>
      <c r="AU245" s="360">
        <v>1.7206924213345662</v>
      </c>
      <c r="AV245" s="360">
        <v>1.7860506206897071</v>
      </c>
      <c r="AW245" s="360">
        <v>1.8538913637987355</v>
      </c>
      <c r="AX245" s="360">
        <v>1.9243089467645247</v>
      </c>
      <c r="AY245" s="360">
        <v>1.9974012474012475</v>
      </c>
      <c r="AZ245" s="360">
        <v>1.7383888937292677</v>
      </c>
      <c r="BA245" s="360">
        <v>1.799809472516529</v>
      </c>
      <c r="BB245" s="360">
        <v>1.8634001569183454</v>
      </c>
      <c r="BC245" s="360">
        <v>1.9292376208845772</v>
      </c>
      <c r="BD245" s="360">
        <v>1.9974012474012475</v>
      </c>
      <c r="BE245" s="360">
        <v>0</v>
      </c>
      <c r="BF245" s="360">
        <v>0</v>
      </c>
      <c r="BG245" s="360">
        <v>0</v>
      </c>
      <c r="BH245" s="360">
        <v>0</v>
      </c>
      <c r="BI245" s="360">
        <v>0</v>
      </c>
      <c r="BJ245" s="362">
        <v>2.0163152337207464</v>
      </c>
      <c r="BK245" s="362">
        <v>2.035408322200595</v>
      </c>
      <c r="BL245" s="362">
        <v>2.0546822088124035</v>
      </c>
      <c r="BM245" s="363">
        <v>2.04117357477138</v>
      </c>
      <c r="BN245" s="363">
        <v>2.0277537540723278</v>
      </c>
      <c r="BO245" s="363">
        <v>2.0212784799939838</v>
      </c>
      <c r="BP245" s="363">
        <v>2.0148238835616832</v>
      </c>
      <c r="BQ245" s="363">
        <v>2.0083898987450088</v>
      </c>
      <c r="BR245" s="363">
        <v>2.0019764597244007</v>
      </c>
      <c r="BS245" s="363">
        <v>1.9955835008904821</v>
      </c>
      <c r="BT245" s="363">
        <v>2.0103447678515782</v>
      </c>
      <c r="BU245" s="363">
        <v>2.0252152234295373</v>
      </c>
      <c r="BV245" s="363">
        <v>2.0401956752890458</v>
      </c>
      <c r="BW245" s="363">
        <v>2.0552869370690607</v>
      </c>
      <c r="BX245" s="363">
        <v>2.0704898284269975</v>
      </c>
      <c r="BY245" s="435">
        <v>2.0788355937891887</v>
      </c>
      <c r="BZ245" s="435">
        <v>2.0871813591513799</v>
      </c>
      <c r="CA245" s="435">
        <v>2.0955271245135716</v>
      </c>
      <c r="CB245" s="435">
        <v>2.1038728898757628</v>
      </c>
      <c r="CC245" s="363">
        <v>2.112218655237954</v>
      </c>
      <c r="CD245" s="435">
        <v>2.1190597161062725</v>
      </c>
      <c r="CE245" s="435">
        <v>2.125900776974591</v>
      </c>
      <c r="CF245" s="435">
        <v>2.1327418378429095</v>
      </c>
      <c r="CG245" s="435">
        <v>2.139582898711228</v>
      </c>
      <c r="CH245" s="363">
        <v>2.1464239595795465</v>
      </c>
      <c r="CI245" s="362">
        <v>2.0163152337207464</v>
      </c>
      <c r="CJ245" s="362">
        <v>2.035408322200595</v>
      </c>
      <c r="CK245" s="362">
        <v>2.0546822088124035</v>
      </c>
      <c r="CL245" s="363">
        <v>2.04117357477138</v>
      </c>
      <c r="CM245" s="363">
        <v>2.0277537540723278</v>
      </c>
      <c r="CN245" s="363">
        <v>2.0212784799939838</v>
      </c>
      <c r="CO245" s="363">
        <v>2.0148238835616832</v>
      </c>
      <c r="CP245" s="363">
        <v>2.0083898987450088</v>
      </c>
      <c r="CQ245" s="363">
        <v>2.0019764597244007</v>
      </c>
      <c r="CR245" s="363">
        <v>1.9955835008904821</v>
      </c>
      <c r="CS245" s="363">
        <v>2.0103447678515782</v>
      </c>
      <c r="CT245" s="363">
        <v>2.0252152234295373</v>
      </c>
      <c r="CU245" s="363">
        <v>2.0401956752890458</v>
      </c>
      <c r="CV245" s="363">
        <v>2.0552869370690607</v>
      </c>
      <c r="CW245" s="363">
        <v>2.0704898284269975</v>
      </c>
      <c r="CX245" s="435">
        <v>2.0788355937891887</v>
      </c>
      <c r="CY245" s="435">
        <v>2.0871813591513799</v>
      </c>
      <c r="CZ245" s="435">
        <v>2.0955271245135716</v>
      </c>
      <c r="DA245" s="435">
        <v>2.1038728898757628</v>
      </c>
      <c r="DB245" s="363">
        <v>2.112218655237954</v>
      </c>
      <c r="DC245" s="435">
        <v>2.1190597161062725</v>
      </c>
      <c r="DD245" s="435">
        <v>2.125900776974591</v>
      </c>
      <c r="DE245" s="435">
        <v>2.1327418378429095</v>
      </c>
      <c r="DF245" s="435">
        <v>2.139582898711228</v>
      </c>
      <c r="DG245" s="363">
        <v>2.1464239595795465</v>
      </c>
      <c r="DH245" s="362">
        <v>0</v>
      </c>
      <c r="DI245" s="362">
        <v>0</v>
      </c>
      <c r="DJ245" s="362">
        <v>0</v>
      </c>
      <c r="DK245" s="363">
        <v>0</v>
      </c>
      <c r="DL245" s="363">
        <v>0</v>
      </c>
      <c r="DM245" s="363">
        <v>0</v>
      </c>
      <c r="DN245" s="363">
        <v>0</v>
      </c>
      <c r="DO245" s="363">
        <v>0</v>
      </c>
      <c r="DP245" s="363">
        <v>0</v>
      </c>
      <c r="DQ245" s="363">
        <v>0</v>
      </c>
      <c r="DR245" s="363">
        <v>0</v>
      </c>
      <c r="DS245" s="363">
        <v>0</v>
      </c>
      <c r="DT245" s="363">
        <v>0</v>
      </c>
      <c r="DU245" s="363">
        <v>0</v>
      </c>
      <c r="DV245" s="363">
        <v>0</v>
      </c>
      <c r="DW245" s="435">
        <v>0</v>
      </c>
      <c r="DX245" s="435">
        <v>0</v>
      </c>
      <c r="DY245" s="435">
        <v>0</v>
      </c>
      <c r="DZ245" s="435">
        <v>0</v>
      </c>
      <c r="EA245" s="363">
        <v>0</v>
      </c>
      <c r="EB245" s="435">
        <v>0</v>
      </c>
      <c r="EC245" s="435">
        <v>0</v>
      </c>
      <c r="ED245" s="435">
        <v>0</v>
      </c>
      <c r="EE245" s="435">
        <v>0</v>
      </c>
      <c r="EF245" s="363">
        <v>0</v>
      </c>
      <c r="EG245" s="364">
        <v>2.6233609598240262E-3</v>
      </c>
      <c r="EH245" s="364">
        <v>2.6482023447834957E-3</v>
      </c>
      <c r="EI245" s="364">
        <v>2.6732789602034917E-3</v>
      </c>
      <c r="EJ245" s="365">
        <v>2.6557033239284155E-3</v>
      </c>
      <c r="EK245" s="365">
        <v>2.6382432397506219E-3</v>
      </c>
      <c r="EL245" s="365">
        <v>2.6298184751417956E-3</v>
      </c>
      <c r="EM245" s="365">
        <v>2.6214206135332855E-3</v>
      </c>
      <c r="EN245" s="365">
        <v>2.6130495690151042E-3</v>
      </c>
      <c r="EO245" s="365">
        <v>2.6047052559516016E-3</v>
      </c>
      <c r="EP245" s="365">
        <v>2.5963875889805908E-3</v>
      </c>
      <c r="EQ245" s="365">
        <v>2.6155929844543045E-3</v>
      </c>
      <c r="ER245" s="365">
        <v>2.6349404416205276E-3</v>
      </c>
      <c r="ES245" s="365">
        <v>2.6544310113050299E-3</v>
      </c>
      <c r="ET245" s="365">
        <v>2.6740657521065066E-3</v>
      </c>
      <c r="EU245" s="365">
        <v>2.6938457304540695E-3</v>
      </c>
      <c r="EV245" s="436">
        <v>2.7047041293119817E-3</v>
      </c>
      <c r="EW245" s="436">
        <v>2.715562528169894E-3</v>
      </c>
      <c r="EX245" s="436">
        <v>2.7264209270278059E-3</v>
      </c>
      <c r="EY245" s="436">
        <v>2.7372793258857182E-3</v>
      </c>
      <c r="EZ245" s="365">
        <v>2.7481377247436304E-3</v>
      </c>
      <c r="FA245" s="436">
        <v>2.7570384024281458E-3</v>
      </c>
      <c r="FB245" s="436">
        <v>2.7659390801126611E-3</v>
      </c>
      <c r="FC245" s="436">
        <v>2.774839757797176E-3</v>
      </c>
      <c r="FD245" s="436">
        <v>2.7837404354816913E-3</v>
      </c>
      <c r="FE245" s="365">
        <v>2.7926411131662067E-3</v>
      </c>
      <c r="FF245" s="364">
        <v>0</v>
      </c>
      <c r="FG245" s="364">
        <v>0</v>
      </c>
      <c r="FH245" s="364">
        <v>0</v>
      </c>
      <c r="FI245" s="365">
        <v>0</v>
      </c>
      <c r="FJ245" s="365">
        <v>0</v>
      </c>
      <c r="FK245" s="365">
        <v>0</v>
      </c>
      <c r="FL245" s="365">
        <v>0</v>
      </c>
      <c r="FM245" s="365">
        <v>0</v>
      </c>
      <c r="FN245" s="365">
        <v>0</v>
      </c>
      <c r="FO245" s="365">
        <v>0</v>
      </c>
      <c r="FP245" s="365">
        <v>0</v>
      </c>
      <c r="FQ245" s="365">
        <v>0</v>
      </c>
      <c r="FR245" s="365">
        <v>0</v>
      </c>
      <c r="FS245" s="365">
        <v>0</v>
      </c>
      <c r="FT245" s="365">
        <v>0</v>
      </c>
      <c r="FU245" s="436">
        <v>0</v>
      </c>
      <c r="FV245" s="436">
        <v>0</v>
      </c>
      <c r="FW245" s="436">
        <v>0</v>
      </c>
      <c r="FX245" s="436">
        <v>0</v>
      </c>
      <c r="FY245" s="365">
        <v>0</v>
      </c>
      <c r="FZ245" s="436">
        <v>0</v>
      </c>
      <c r="GA245" s="436">
        <v>0</v>
      </c>
      <c r="GB245" s="436">
        <v>0</v>
      </c>
      <c r="GC245" s="436">
        <v>0</v>
      </c>
      <c r="GD245" s="365">
        <v>0</v>
      </c>
    </row>
    <row r="246" spans="1:186" ht="15" x14ac:dyDescent="0.25">
      <c r="A246" s="357">
        <v>118</v>
      </c>
      <c r="B246" s="357">
        <v>95</v>
      </c>
      <c r="C246" s="357" t="s">
        <v>1156</v>
      </c>
      <c r="D246" s="2">
        <v>99712</v>
      </c>
      <c r="E246" s="268" t="s">
        <v>218</v>
      </c>
      <c r="F246" s="358" t="s">
        <v>985</v>
      </c>
      <c r="G246" s="49">
        <v>4</v>
      </c>
      <c r="H246" s="49">
        <v>2</v>
      </c>
      <c r="I246" s="49">
        <v>1</v>
      </c>
      <c r="J246" s="49">
        <v>1</v>
      </c>
      <c r="K246" s="49">
        <v>0</v>
      </c>
      <c r="L246" s="49">
        <v>2</v>
      </c>
      <c r="M246" s="49">
        <v>2</v>
      </c>
      <c r="N246" s="49">
        <v>0</v>
      </c>
      <c r="O246" s="49">
        <v>0</v>
      </c>
      <c r="P246" s="49">
        <v>0</v>
      </c>
      <c r="Q246" s="49">
        <v>2</v>
      </c>
      <c r="R246" s="49">
        <v>0</v>
      </c>
      <c r="S246" s="49">
        <v>3404</v>
      </c>
      <c r="T246" s="49">
        <v>3404</v>
      </c>
      <c r="U246" s="49">
        <v>0</v>
      </c>
      <c r="V246" s="49">
        <v>0</v>
      </c>
      <c r="W246" s="49">
        <v>0</v>
      </c>
      <c r="X246" s="49">
        <v>3404</v>
      </c>
      <c r="Y246" s="434">
        <v>6808</v>
      </c>
      <c r="Z246" s="434">
        <v>0</v>
      </c>
      <c r="AA246" s="49">
        <v>0</v>
      </c>
      <c r="AB246" s="49">
        <v>2</v>
      </c>
      <c r="AC246" s="49">
        <v>0</v>
      </c>
      <c r="AD246" s="285">
        <v>0</v>
      </c>
      <c r="AE246" s="285">
        <v>0</v>
      </c>
      <c r="AF246" s="359">
        <v>2</v>
      </c>
      <c r="AG246" s="360">
        <v>0</v>
      </c>
      <c r="AH246" s="360">
        <v>1</v>
      </c>
      <c r="AI246" s="361">
        <v>1</v>
      </c>
      <c r="AJ246" s="360">
        <v>0</v>
      </c>
      <c r="AK246" s="360">
        <v>0</v>
      </c>
      <c r="AL246" s="360">
        <v>1.8182284902914765</v>
      </c>
      <c r="AM246" s="360">
        <v>1.8182284902914765</v>
      </c>
      <c r="AN246" s="360">
        <v>0</v>
      </c>
      <c r="AO246" s="360">
        <v>0</v>
      </c>
      <c r="AP246" s="360">
        <v>0.91245411038790925</v>
      </c>
      <c r="AQ246" s="360">
        <v>0.91245411038790925</v>
      </c>
      <c r="AR246" s="360">
        <v>0</v>
      </c>
      <c r="AS246" s="360">
        <v>0</v>
      </c>
      <c r="AT246" s="360">
        <v>0</v>
      </c>
      <c r="AU246" s="360">
        <v>1.6529774214538109</v>
      </c>
      <c r="AV246" s="360">
        <v>1.7336350946770376</v>
      </c>
      <c r="AW246" s="360">
        <v>1.8182284902914765</v>
      </c>
      <c r="AX246" s="360">
        <v>1.9069496533949062</v>
      </c>
      <c r="AY246" s="360">
        <v>2</v>
      </c>
      <c r="AZ246" s="360">
        <v>0.83257250356379087</v>
      </c>
      <c r="BA246" s="360">
        <v>0.87159864792961517</v>
      </c>
      <c r="BB246" s="360">
        <v>0.91245411038790925</v>
      </c>
      <c r="BC246" s="360">
        <v>0.9552246387043779</v>
      </c>
      <c r="BD246" s="360">
        <v>1</v>
      </c>
      <c r="BE246" s="360">
        <v>0</v>
      </c>
      <c r="BF246" s="360">
        <v>0</v>
      </c>
      <c r="BG246" s="360">
        <v>0</v>
      </c>
      <c r="BH246" s="360">
        <v>0</v>
      </c>
      <c r="BI246" s="360">
        <v>0</v>
      </c>
      <c r="BJ246" s="362">
        <v>2.0189385946805705</v>
      </c>
      <c r="BK246" s="362">
        <v>2.0380565245453783</v>
      </c>
      <c r="BL246" s="362">
        <v>2.057355487772607</v>
      </c>
      <c r="BM246" s="363">
        <v>2.0438292780953082</v>
      </c>
      <c r="BN246" s="363">
        <v>2.0303919973120785</v>
      </c>
      <c r="BO246" s="363">
        <v>2.0239082984691255</v>
      </c>
      <c r="BP246" s="363">
        <v>2.0174453041752165</v>
      </c>
      <c r="BQ246" s="363">
        <v>2.0110029483140237</v>
      </c>
      <c r="BR246" s="363">
        <v>2.0045811649803524</v>
      </c>
      <c r="BS246" s="363">
        <v>1.9981798884794626</v>
      </c>
      <c r="BT246" s="363">
        <v>2.0129603608360327</v>
      </c>
      <c r="BU246" s="363">
        <v>2.0278501638711579</v>
      </c>
      <c r="BV246" s="363">
        <v>2.0428501063003508</v>
      </c>
      <c r="BW246" s="363">
        <v>2.0579610028211675</v>
      </c>
      <c r="BX246" s="363">
        <v>2.0731836741574514</v>
      </c>
      <c r="BY246" s="435">
        <v>2.0815402979185009</v>
      </c>
      <c r="BZ246" s="435">
        <v>2.08989692167955</v>
      </c>
      <c r="CA246" s="435">
        <v>2.0982535454405995</v>
      </c>
      <c r="CB246" s="435">
        <v>2.1066101692016486</v>
      </c>
      <c r="CC246" s="363">
        <v>2.1149667929626981</v>
      </c>
      <c r="CD246" s="435">
        <v>2.1218167545087008</v>
      </c>
      <c r="CE246" s="435">
        <v>2.1286667160547039</v>
      </c>
      <c r="CF246" s="435">
        <v>2.1355166776007066</v>
      </c>
      <c r="CG246" s="435">
        <v>2.1423666391467098</v>
      </c>
      <c r="CH246" s="363">
        <v>2.1492166006927125</v>
      </c>
      <c r="CI246" s="362">
        <v>1.0094692973402852</v>
      </c>
      <c r="CJ246" s="362">
        <v>1.0190282622726892</v>
      </c>
      <c r="CK246" s="362">
        <v>1.0286777438863035</v>
      </c>
      <c r="CL246" s="363">
        <v>1.0219146390476541</v>
      </c>
      <c r="CM246" s="363">
        <v>1.0151959986560393</v>
      </c>
      <c r="CN246" s="363">
        <v>1.0119541492345627</v>
      </c>
      <c r="CO246" s="363">
        <v>1.0087226520876083</v>
      </c>
      <c r="CP246" s="363">
        <v>1.0055014741570119</v>
      </c>
      <c r="CQ246" s="363">
        <v>1.0022905824901762</v>
      </c>
      <c r="CR246" s="363">
        <v>0.9990899442397313</v>
      </c>
      <c r="CS246" s="363">
        <v>1.0064801804180163</v>
      </c>
      <c r="CT246" s="363">
        <v>1.013925081935579</v>
      </c>
      <c r="CU246" s="363">
        <v>1.0214250531501754</v>
      </c>
      <c r="CV246" s="363">
        <v>1.0289805014105837</v>
      </c>
      <c r="CW246" s="363">
        <v>1.0365918370787257</v>
      </c>
      <c r="CX246" s="435">
        <v>1.0407701489592505</v>
      </c>
      <c r="CY246" s="435">
        <v>1.044948460839775</v>
      </c>
      <c r="CZ246" s="435">
        <v>1.0491267727202997</v>
      </c>
      <c r="DA246" s="435">
        <v>1.0533050846008243</v>
      </c>
      <c r="DB246" s="363">
        <v>1.057483396481349</v>
      </c>
      <c r="DC246" s="435">
        <v>1.0609083772543504</v>
      </c>
      <c r="DD246" s="435">
        <v>1.064333358027352</v>
      </c>
      <c r="DE246" s="435">
        <v>1.0677583388003533</v>
      </c>
      <c r="DF246" s="435">
        <v>1.0711833195733549</v>
      </c>
      <c r="DG246" s="363">
        <v>1.0746083003463562</v>
      </c>
      <c r="DH246" s="362">
        <v>0</v>
      </c>
      <c r="DI246" s="362">
        <v>0</v>
      </c>
      <c r="DJ246" s="362">
        <v>0</v>
      </c>
      <c r="DK246" s="363">
        <v>0</v>
      </c>
      <c r="DL246" s="363">
        <v>0</v>
      </c>
      <c r="DM246" s="363">
        <v>0</v>
      </c>
      <c r="DN246" s="363">
        <v>0</v>
      </c>
      <c r="DO246" s="363">
        <v>0</v>
      </c>
      <c r="DP246" s="363">
        <v>0</v>
      </c>
      <c r="DQ246" s="363">
        <v>0</v>
      </c>
      <c r="DR246" s="363">
        <v>0</v>
      </c>
      <c r="DS246" s="363">
        <v>0</v>
      </c>
      <c r="DT246" s="363">
        <v>0</v>
      </c>
      <c r="DU246" s="363">
        <v>0</v>
      </c>
      <c r="DV246" s="363">
        <v>0</v>
      </c>
      <c r="DW246" s="435">
        <v>0</v>
      </c>
      <c r="DX246" s="435">
        <v>0</v>
      </c>
      <c r="DY246" s="435">
        <v>0</v>
      </c>
      <c r="DZ246" s="435">
        <v>0</v>
      </c>
      <c r="EA246" s="363">
        <v>0</v>
      </c>
      <c r="EB246" s="435">
        <v>0</v>
      </c>
      <c r="EC246" s="435">
        <v>0</v>
      </c>
      <c r="ED246" s="435">
        <v>0</v>
      </c>
      <c r="EE246" s="435">
        <v>0</v>
      </c>
      <c r="EF246" s="363">
        <v>0</v>
      </c>
      <c r="EG246" s="364">
        <v>0</v>
      </c>
      <c r="EH246" s="364">
        <v>0</v>
      </c>
      <c r="EI246" s="364">
        <v>0</v>
      </c>
      <c r="EJ246" s="365">
        <v>0</v>
      </c>
      <c r="EK246" s="365">
        <v>0</v>
      </c>
      <c r="EL246" s="365">
        <v>0</v>
      </c>
      <c r="EM246" s="365">
        <v>0</v>
      </c>
      <c r="EN246" s="365">
        <v>0</v>
      </c>
      <c r="EO246" s="365">
        <v>0</v>
      </c>
      <c r="EP246" s="365">
        <v>0</v>
      </c>
      <c r="EQ246" s="365">
        <v>0</v>
      </c>
      <c r="ER246" s="365">
        <v>0</v>
      </c>
      <c r="ES246" s="365">
        <v>0</v>
      </c>
      <c r="ET246" s="365">
        <v>0</v>
      </c>
      <c r="EU246" s="365">
        <v>0</v>
      </c>
      <c r="EV246" s="436">
        <v>0</v>
      </c>
      <c r="EW246" s="436">
        <v>0</v>
      </c>
      <c r="EX246" s="436">
        <v>0</v>
      </c>
      <c r="EY246" s="436">
        <v>0</v>
      </c>
      <c r="EZ246" s="365">
        <v>0</v>
      </c>
      <c r="FA246" s="436">
        <v>0</v>
      </c>
      <c r="FB246" s="436">
        <v>0</v>
      </c>
      <c r="FC246" s="436">
        <v>0</v>
      </c>
      <c r="FD246" s="436">
        <v>0</v>
      </c>
      <c r="FE246" s="365">
        <v>0</v>
      </c>
      <c r="FF246" s="364">
        <v>0</v>
      </c>
      <c r="FG246" s="364">
        <v>0</v>
      </c>
      <c r="FH246" s="364">
        <v>0</v>
      </c>
      <c r="FI246" s="365">
        <v>0</v>
      </c>
      <c r="FJ246" s="365">
        <v>0</v>
      </c>
      <c r="FK246" s="365">
        <v>0</v>
      </c>
      <c r="FL246" s="365">
        <v>0</v>
      </c>
      <c r="FM246" s="365">
        <v>0</v>
      </c>
      <c r="FN246" s="365">
        <v>0</v>
      </c>
      <c r="FO246" s="365">
        <v>0</v>
      </c>
      <c r="FP246" s="365">
        <v>0</v>
      </c>
      <c r="FQ246" s="365">
        <v>0</v>
      </c>
      <c r="FR246" s="365">
        <v>0</v>
      </c>
      <c r="FS246" s="365">
        <v>0</v>
      </c>
      <c r="FT246" s="365">
        <v>0</v>
      </c>
      <c r="FU246" s="436">
        <v>0</v>
      </c>
      <c r="FV246" s="436">
        <v>0</v>
      </c>
      <c r="FW246" s="436">
        <v>0</v>
      </c>
      <c r="FX246" s="436">
        <v>0</v>
      </c>
      <c r="FY246" s="365">
        <v>0</v>
      </c>
      <c r="FZ246" s="436">
        <v>0</v>
      </c>
      <c r="GA246" s="436">
        <v>0</v>
      </c>
      <c r="GB246" s="436">
        <v>0</v>
      </c>
      <c r="GC246" s="436">
        <v>0</v>
      </c>
      <c r="GD246" s="365">
        <v>0</v>
      </c>
    </row>
    <row r="247" spans="1:186" ht="15" x14ac:dyDescent="0.25">
      <c r="A247" s="357">
        <v>120</v>
      </c>
      <c r="B247" s="357">
        <v>95</v>
      </c>
      <c r="C247" s="357" t="s">
        <v>1157</v>
      </c>
      <c r="D247" s="2">
        <v>99712</v>
      </c>
      <c r="E247" s="268" t="s">
        <v>218</v>
      </c>
      <c r="F247" s="358" t="s">
        <v>985</v>
      </c>
      <c r="G247" s="49">
        <v>34</v>
      </c>
      <c r="H247" s="49">
        <v>13</v>
      </c>
      <c r="I247" s="49">
        <v>12</v>
      </c>
      <c r="J247" s="49">
        <v>1</v>
      </c>
      <c r="K247" s="49">
        <v>0</v>
      </c>
      <c r="L247" s="49">
        <v>27</v>
      </c>
      <c r="M247" s="49">
        <v>27</v>
      </c>
      <c r="N247" s="49">
        <v>0</v>
      </c>
      <c r="O247" s="49">
        <v>0</v>
      </c>
      <c r="P247" s="49">
        <v>0</v>
      </c>
      <c r="Q247" s="49">
        <v>27</v>
      </c>
      <c r="R247" s="49">
        <v>0</v>
      </c>
      <c r="S247" s="49">
        <v>2934.7037037037039</v>
      </c>
      <c r="T247" s="49">
        <v>2934.7037037037039</v>
      </c>
      <c r="U247" s="49">
        <v>0</v>
      </c>
      <c r="V247" s="49">
        <v>0</v>
      </c>
      <c r="W247" s="49">
        <v>0</v>
      </c>
      <c r="X247" s="49">
        <v>2934.7037037037039</v>
      </c>
      <c r="Y247" s="434">
        <v>79237</v>
      </c>
      <c r="Z247" s="434">
        <v>0</v>
      </c>
      <c r="AA247" s="49">
        <v>0</v>
      </c>
      <c r="AB247" s="49">
        <v>13</v>
      </c>
      <c r="AC247" s="49">
        <v>0</v>
      </c>
      <c r="AD247" s="285">
        <v>0</v>
      </c>
      <c r="AE247" s="285">
        <v>0</v>
      </c>
      <c r="AF247" s="359">
        <v>13</v>
      </c>
      <c r="AG247" s="360">
        <v>0</v>
      </c>
      <c r="AH247" s="360">
        <v>12</v>
      </c>
      <c r="AI247" s="361">
        <v>12</v>
      </c>
      <c r="AJ247" s="360">
        <v>0</v>
      </c>
      <c r="AK247" s="360">
        <v>0</v>
      </c>
      <c r="AL247" s="360">
        <v>11.818485186894597</v>
      </c>
      <c r="AM247" s="360">
        <v>11.818485186894597</v>
      </c>
      <c r="AN247" s="360">
        <v>0</v>
      </c>
      <c r="AO247" s="360">
        <v>0</v>
      </c>
      <c r="AP247" s="360">
        <v>10.94944932465491</v>
      </c>
      <c r="AQ247" s="360">
        <v>10.94944932465491</v>
      </c>
      <c r="AR247" s="360">
        <v>0</v>
      </c>
      <c r="AS247" s="360">
        <v>0</v>
      </c>
      <c r="AT247" s="360">
        <v>0</v>
      </c>
      <c r="AU247" s="360">
        <v>10.74435323944977</v>
      </c>
      <c r="AV247" s="360">
        <v>11.268628115400743</v>
      </c>
      <c r="AW247" s="360">
        <v>11.818485186894597</v>
      </c>
      <c r="AX247" s="360">
        <v>12.395172747066891</v>
      </c>
      <c r="AY247" s="360">
        <v>13</v>
      </c>
      <c r="AZ247" s="360">
        <v>9.99087004276549</v>
      </c>
      <c r="BA247" s="360">
        <v>10.459183775155381</v>
      </c>
      <c r="BB247" s="360">
        <v>10.94944932465491</v>
      </c>
      <c r="BC247" s="360">
        <v>11.462695664452534</v>
      </c>
      <c r="BD247" s="360">
        <v>12</v>
      </c>
      <c r="BE247" s="360">
        <v>0</v>
      </c>
      <c r="BF247" s="360">
        <v>0</v>
      </c>
      <c r="BG247" s="360">
        <v>0</v>
      </c>
      <c r="BH247" s="360">
        <v>0</v>
      </c>
      <c r="BI247" s="360">
        <v>0</v>
      </c>
      <c r="BJ247" s="362">
        <v>13.120365686805568</v>
      </c>
      <c r="BK247" s="362">
        <v>13.241845827346536</v>
      </c>
      <c r="BL247" s="362">
        <v>13.364450740237462</v>
      </c>
      <c r="BM247" s="363">
        <v>13.276585340208761</v>
      </c>
      <c r="BN247" s="363">
        <v>13.189297616634729</v>
      </c>
      <c r="BO247" s="363">
        <v>13.147179920244305</v>
      </c>
      <c r="BP247" s="363">
        <v>13.105196719291078</v>
      </c>
      <c r="BQ247" s="363">
        <v>13.063347584287577</v>
      </c>
      <c r="BR247" s="363">
        <v>13.021632087117835</v>
      </c>
      <c r="BS247" s="363">
        <v>12.980049801032994</v>
      </c>
      <c r="BT247" s="363">
        <v>13.076062811862094</v>
      </c>
      <c r="BU247" s="363">
        <v>13.172786027843699</v>
      </c>
      <c r="BV247" s="363">
        <v>13.270224702342476</v>
      </c>
      <c r="BW247" s="363">
        <v>13.368384127582067</v>
      </c>
      <c r="BX247" s="363">
        <v>13.467269634932501</v>
      </c>
      <c r="BY247" s="435">
        <v>13.521553732781898</v>
      </c>
      <c r="BZ247" s="435">
        <v>13.575837830631293</v>
      </c>
      <c r="CA247" s="435">
        <v>13.63012192848069</v>
      </c>
      <c r="CB247" s="435">
        <v>13.684406026330086</v>
      </c>
      <c r="CC247" s="363">
        <v>13.738690124179483</v>
      </c>
      <c r="CD247" s="435">
        <v>13.783187039855047</v>
      </c>
      <c r="CE247" s="435">
        <v>13.827683955530611</v>
      </c>
      <c r="CF247" s="435">
        <v>13.872180871206176</v>
      </c>
      <c r="CG247" s="435">
        <v>13.91667778688174</v>
      </c>
      <c r="CH247" s="363">
        <v>13.961174702557305</v>
      </c>
      <c r="CI247" s="362">
        <v>12.111106787820525</v>
      </c>
      <c r="CJ247" s="362">
        <v>12.223242302166033</v>
      </c>
      <c r="CK247" s="362">
        <v>12.336416067911504</v>
      </c>
      <c r="CL247" s="363">
        <v>12.255309544808089</v>
      </c>
      <c r="CM247" s="363">
        <v>12.174736261508981</v>
      </c>
      <c r="CN247" s="363">
        <v>12.135858387917821</v>
      </c>
      <c r="CO247" s="363">
        <v>12.097104663960994</v>
      </c>
      <c r="CP247" s="363">
        <v>12.058474693188533</v>
      </c>
      <c r="CQ247" s="363">
        <v>12.019968080416463</v>
      </c>
      <c r="CR247" s="363">
        <v>11.981584431722762</v>
      </c>
      <c r="CS247" s="363">
        <v>12.070211826334241</v>
      </c>
      <c r="CT247" s="363">
        <v>12.159494794932645</v>
      </c>
      <c r="CU247" s="363">
        <v>12.24943818677767</v>
      </c>
      <c r="CV247" s="363">
        <v>12.340046886998831</v>
      </c>
      <c r="CW247" s="363">
        <v>12.43132581686077</v>
      </c>
      <c r="CX247" s="435">
        <v>12.481434214875598</v>
      </c>
      <c r="CY247" s="435">
        <v>12.531542612890426</v>
      </c>
      <c r="CZ247" s="435">
        <v>12.581651010905253</v>
      </c>
      <c r="DA247" s="435">
        <v>12.631759408920081</v>
      </c>
      <c r="DB247" s="363">
        <v>12.681867806934909</v>
      </c>
      <c r="DC247" s="435">
        <v>12.722941882943122</v>
      </c>
      <c r="DD247" s="435">
        <v>12.764015958951335</v>
      </c>
      <c r="DE247" s="435">
        <v>12.805090034959548</v>
      </c>
      <c r="DF247" s="435">
        <v>12.846164110967761</v>
      </c>
      <c r="DG247" s="363">
        <v>12.887238186975974</v>
      </c>
      <c r="DH247" s="362">
        <v>0</v>
      </c>
      <c r="DI247" s="362">
        <v>0</v>
      </c>
      <c r="DJ247" s="362">
        <v>0</v>
      </c>
      <c r="DK247" s="363">
        <v>0</v>
      </c>
      <c r="DL247" s="363">
        <v>0</v>
      </c>
      <c r="DM247" s="363">
        <v>0</v>
      </c>
      <c r="DN247" s="363">
        <v>0</v>
      </c>
      <c r="DO247" s="363">
        <v>0</v>
      </c>
      <c r="DP247" s="363">
        <v>0</v>
      </c>
      <c r="DQ247" s="363">
        <v>0</v>
      </c>
      <c r="DR247" s="363">
        <v>0</v>
      </c>
      <c r="DS247" s="363">
        <v>0</v>
      </c>
      <c r="DT247" s="363">
        <v>0</v>
      </c>
      <c r="DU247" s="363">
        <v>0</v>
      </c>
      <c r="DV247" s="363">
        <v>0</v>
      </c>
      <c r="DW247" s="435">
        <v>0</v>
      </c>
      <c r="DX247" s="435">
        <v>0</v>
      </c>
      <c r="DY247" s="435">
        <v>0</v>
      </c>
      <c r="DZ247" s="435">
        <v>0</v>
      </c>
      <c r="EA247" s="363">
        <v>0</v>
      </c>
      <c r="EB247" s="435">
        <v>0</v>
      </c>
      <c r="EC247" s="435">
        <v>0</v>
      </c>
      <c r="ED247" s="435">
        <v>0</v>
      </c>
      <c r="EE247" s="435">
        <v>0</v>
      </c>
      <c r="EF247" s="363">
        <v>0</v>
      </c>
      <c r="EG247" s="364">
        <v>0</v>
      </c>
      <c r="EH247" s="364">
        <v>0</v>
      </c>
      <c r="EI247" s="364">
        <v>0</v>
      </c>
      <c r="EJ247" s="365">
        <v>0</v>
      </c>
      <c r="EK247" s="365">
        <v>0</v>
      </c>
      <c r="EL247" s="365">
        <v>0</v>
      </c>
      <c r="EM247" s="365">
        <v>0</v>
      </c>
      <c r="EN247" s="365">
        <v>0</v>
      </c>
      <c r="EO247" s="365">
        <v>0</v>
      </c>
      <c r="EP247" s="365">
        <v>0</v>
      </c>
      <c r="EQ247" s="365">
        <v>0</v>
      </c>
      <c r="ER247" s="365">
        <v>0</v>
      </c>
      <c r="ES247" s="365">
        <v>0</v>
      </c>
      <c r="ET247" s="365">
        <v>0</v>
      </c>
      <c r="EU247" s="365">
        <v>0</v>
      </c>
      <c r="EV247" s="436">
        <v>0</v>
      </c>
      <c r="EW247" s="436">
        <v>0</v>
      </c>
      <c r="EX247" s="436">
        <v>0</v>
      </c>
      <c r="EY247" s="436">
        <v>0</v>
      </c>
      <c r="EZ247" s="365">
        <v>0</v>
      </c>
      <c r="FA247" s="436">
        <v>0</v>
      </c>
      <c r="FB247" s="436">
        <v>0</v>
      </c>
      <c r="FC247" s="436">
        <v>0</v>
      </c>
      <c r="FD247" s="436">
        <v>0</v>
      </c>
      <c r="FE247" s="365">
        <v>0</v>
      </c>
      <c r="FF247" s="364">
        <v>0</v>
      </c>
      <c r="FG247" s="364">
        <v>0</v>
      </c>
      <c r="FH247" s="364">
        <v>0</v>
      </c>
      <c r="FI247" s="365">
        <v>0</v>
      </c>
      <c r="FJ247" s="365">
        <v>0</v>
      </c>
      <c r="FK247" s="365">
        <v>0</v>
      </c>
      <c r="FL247" s="365">
        <v>0</v>
      </c>
      <c r="FM247" s="365">
        <v>0</v>
      </c>
      <c r="FN247" s="365">
        <v>0</v>
      </c>
      <c r="FO247" s="365">
        <v>0</v>
      </c>
      <c r="FP247" s="365">
        <v>0</v>
      </c>
      <c r="FQ247" s="365">
        <v>0</v>
      </c>
      <c r="FR247" s="365">
        <v>0</v>
      </c>
      <c r="FS247" s="365">
        <v>0</v>
      </c>
      <c r="FT247" s="365">
        <v>0</v>
      </c>
      <c r="FU247" s="436">
        <v>0</v>
      </c>
      <c r="FV247" s="436">
        <v>0</v>
      </c>
      <c r="FW247" s="436">
        <v>0</v>
      </c>
      <c r="FX247" s="436">
        <v>0</v>
      </c>
      <c r="FY247" s="365">
        <v>0</v>
      </c>
      <c r="FZ247" s="436">
        <v>0</v>
      </c>
      <c r="GA247" s="436">
        <v>0</v>
      </c>
      <c r="GB247" s="436">
        <v>0</v>
      </c>
      <c r="GC247" s="436">
        <v>0</v>
      </c>
      <c r="GD247" s="365">
        <v>0</v>
      </c>
    </row>
    <row r="248" spans="1:186" ht="15" x14ac:dyDescent="0.25">
      <c r="A248" s="357">
        <v>94</v>
      </c>
      <c r="B248" s="357">
        <v>96</v>
      </c>
      <c r="C248" s="357" t="s">
        <v>1158</v>
      </c>
      <c r="D248" s="2">
        <v>99709</v>
      </c>
      <c r="E248" s="268" t="s">
        <v>19</v>
      </c>
      <c r="F248" s="358" t="s">
        <v>915</v>
      </c>
      <c r="G248" s="49">
        <v>262</v>
      </c>
      <c r="H248" s="49">
        <v>120</v>
      </c>
      <c r="I248" s="49">
        <v>116</v>
      </c>
      <c r="J248" s="49">
        <v>4</v>
      </c>
      <c r="K248" s="49">
        <v>0</v>
      </c>
      <c r="L248" s="49">
        <v>0</v>
      </c>
      <c r="M248" s="49">
        <v>0</v>
      </c>
      <c r="N248" s="49">
        <v>0</v>
      </c>
      <c r="O248" s="49">
        <v>0</v>
      </c>
      <c r="P248" s="49">
        <v>0</v>
      </c>
      <c r="Q248" s="49">
        <v>0</v>
      </c>
      <c r="R248" s="49">
        <v>0</v>
      </c>
      <c r="S248" s="49">
        <v>834.49503068156923</v>
      </c>
      <c r="T248" s="49">
        <v>834.49503068156923</v>
      </c>
      <c r="U248" s="49">
        <v>1408.3846153846155</v>
      </c>
      <c r="V248" s="49">
        <v>0</v>
      </c>
      <c r="W248" s="49">
        <v>0</v>
      </c>
      <c r="X248" s="49">
        <v>1365.173957061457</v>
      </c>
      <c r="Y248" s="434">
        <v>0</v>
      </c>
      <c r="Z248" s="434">
        <v>0</v>
      </c>
      <c r="AA248" s="49">
        <v>2.7494802494802495</v>
      </c>
      <c r="AB248" s="49">
        <v>117.0945945945946</v>
      </c>
      <c r="AC248" s="49">
        <v>0.15592515592515593</v>
      </c>
      <c r="AD248" s="285">
        <v>0</v>
      </c>
      <c r="AE248" s="285">
        <v>0</v>
      </c>
      <c r="AF248" s="359">
        <v>120</v>
      </c>
      <c r="AG248" s="360">
        <v>2.6578309078309079</v>
      </c>
      <c r="AH248" s="360">
        <v>113.19144144144144</v>
      </c>
      <c r="AI248" s="361">
        <v>115.84927234927235</v>
      </c>
      <c r="AJ248" s="360">
        <v>0.15072765072765074</v>
      </c>
      <c r="AK248" s="360">
        <v>2.6179407014505931</v>
      </c>
      <c r="AL248" s="360">
        <v>111.4926012532711</v>
      </c>
      <c r="AM248" s="360">
        <v>114.1105419547217</v>
      </c>
      <c r="AN248" s="360">
        <v>0.14846544620702798</v>
      </c>
      <c r="AO248" s="360">
        <v>2.5354500973534053</v>
      </c>
      <c r="AP248" s="360">
        <v>107.97949951469728</v>
      </c>
      <c r="AQ248" s="360">
        <v>110.51494961205069</v>
      </c>
      <c r="AR248" s="360">
        <v>0.14378734011455985</v>
      </c>
      <c r="AS248" s="360">
        <v>0</v>
      </c>
      <c r="AT248" s="360">
        <v>0</v>
      </c>
      <c r="AU248" s="360">
        <v>108.65131048107111</v>
      </c>
      <c r="AV248" s="360">
        <v>111.34747380648452</v>
      </c>
      <c r="AW248" s="360">
        <v>114.11054195472168</v>
      </c>
      <c r="AX248" s="360">
        <v>116.94217515729561</v>
      </c>
      <c r="AY248" s="360">
        <v>119.84407484407484</v>
      </c>
      <c r="AZ248" s="360">
        <v>105.42624774484237</v>
      </c>
      <c r="BA248" s="360">
        <v>107.9406154202802</v>
      </c>
      <c r="BB248" s="360">
        <v>110.5149496120507</v>
      </c>
      <c r="BC248" s="360">
        <v>113.15068049407644</v>
      </c>
      <c r="BD248" s="360">
        <v>115.84927234927235</v>
      </c>
      <c r="BE248" s="360">
        <v>0</v>
      </c>
      <c r="BF248" s="360">
        <v>0</v>
      </c>
      <c r="BG248" s="360">
        <v>0</v>
      </c>
      <c r="BH248" s="360">
        <v>0</v>
      </c>
      <c r="BI248" s="360">
        <v>0</v>
      </c>
      <c r="BJ248" s="362">
        <v>120.45799157868828</v>
      </c>
      <c r="BK248" s="362">
        <v>121.07505318097691</v>
      </c>
      <c r="BL248" s="362">
        <v>121.69527576093108</v>
      </c>
      <c r="BM248" s="363">
        <v>120.89518271601878</v>
      </c>
      <c r="BN248" s="363">
        <v>120.10034993183979</v>
      </c>
      <c r="BO248" s="363">
        <v>119.71683064052945</v>
      </c>
      <c r="BP248" s="363">
        <v>119.33453605045347</v>
      </c>
      <c r="BQ248" s="363">
        <v>118.95346225074437</v>
      </c>
      <c r="BR248" s="363">
        <v>118.57360534302337</v>
      </c>
      <c r="BS248" s="363">
        <v>118.1949614413605</v>
      </c>
      <c r="BT248" s="363">
        <v>119.06924576898392</v>
      </c>
      <c r="BU248" s="363">
        <v>119.94999714965429</v>
      </c>
      <c r="BV248" s="363">
        <v>120.83726341995504</v>
      </c>
      <c r="BW248" s="363">
        <v>121.73109277031516</v>
      </c>
      <c r="BX248" s="363">
        <v>122.63153374762666</v>
      </c>
      <c r="BY248" s="435">
        <v>123.12583900458168</v>
      </c>
      <c r="BZ248" s="435">
        <v>123.62014426153668</v>
      </c>
      <c r="CA248" s="435">
        <v>124.1144495184917</v>
      </c>
      <c r="CB248" s="435">
        <v>124.6087547754467</v>
      </c>
      <c r="CC248" s="363">
        <v>125.10306003240171</v>
      </c>
      <c r="CD248" s="435">
        <v>125.50824424302887</v>
      </c>
      <c r="CE248" s="435">
        <v>125.91342845365604</v>
      </c>
      <c r="CF248" s="435">
        <v>126.31861266428319</v>
      </c>
      <c r="CG248" s="435">
        <v>126.72379687491036</v>
      </c>
      <c r="CH248" s="363">
        <v>127.12898108553752</v>
      </c>
      <c r="CI248" s="362">
        <v>116.44272519273201</v>
      </c>
      <c r="CJ248" s="362">
        <v>117.03921807494436</v>
      </c>
      <c r="CK248" s="362">
        <v>117.63876656890005</v>
      </c>
      <c r="CL248" s="363">
        <v>116.86534329215149</v>
      </c>
      <c r="CM248" s="363">
        <v>116.09700493411181</v>
      </c>
      <c r="CN248" s="363">
        <v>115.72626961917847</v>
      </c>
      <c r="CO248" s="363">
        <v>115.35671818210503</v>
      </c>
      <c r="CP248" s="363">
        <v>114.98834684238624</v>
      </c>
      <c r="CQ248" s="363">
        <v>114.62115183158927</v>
      </c>
      <c r="CR248" s="363">
        <v>114.25512939331516</v>
      </c>
      <c r="CS248" s="363">
        <v>115.10027091001778</v>
      </c>
      <c r="CT248" s="363">
        <v>115.9516639113325</v>
      </c>
      <c r="CU248" s="363">
        <v>116.80935463928986</v>
      </c>
      <c r="CV248" s="363">
        <v>117.67338967797133</v>
      </c>
      <c r="CW248" s="363">
        <v>118.54381595603911</v>
      </c>
      <c r="CX248" s="435">
        <v>119.02164437109562</v>
      </c>
      <c r="CY248" s="435">
        <v>119.49947278615213</v>
      </c>
      <c r="CZ248" s="435">
        <v>119.97730120120865</v>
      </c>
      <c r="DA248" s="435">
        <v>120.45512961626515</v>
      </c>
      <c r="DB248" s="363">
        <v>120.93295803132166</v>
      </c>
      <c r="DC248" s="435">
        <v>121.32463610159458</v>
      </c>
      <c r="DD248" s="435">
        <v>121.71631417186751</v>
      </c>
      <c r="DE248" s="435">
        <v>122.10799224214043</v>
      </c>
      <c r="DF248" s="435">
        <v>122.49967031241336</v>
      </c>
      <c r="DG248" s="363">
        <v>122.89134838268627</v>
      </c>
      <c r="DH248" s="362">
        <v>0</v>
      </c>
      <c r="DI248" s="362">
        <v>0</v>
      </c>
      <c r="DJ248" s="362">
        <v>0</v>
      </c>
      <c r="DK248" s="363">
        <v>0</v>
      </c>
      <c r="DL248" s="363">
        <v>0</v>
      </c>
      <c r="DM248" s="363">
        <v>0</v>
      </c>
      <c r="DN248" s="363">
        <v>0</v>
      </c>
      <c r="DO248" s="363">
        <v>0</v>
      </c>
      <c r="DP248" s="363">
        <v>0</v>
      </c>
      <c r="DQ248" s="363">
        <v>0</v>
      </c>
      <c r="DR248" s="363">
        <v>0</v>
      </c>
      <c r="DS248" s="363">
        <v>0</v>
      </c>
      <c r="DT248" s="363">
        <v>0</v>
      </c>
      <c r="DU248" s="363">
        <v>0</v>
      </c>
      <c r="DV248" s="363">
        <v>0</v>
      </c>
      <c r="DW248" s="435">
        <v>0</v>
      </c>
      <c r="DX248" s="435">
        <v>0</v>
      </c>
      <c r="DY248" s="435">
        <v>0</v>
      </c>
      <c r="DZ248" s="435">
        <v>0</v>
      </c>
      <c r="EA248" s="363">
        <v>0</v>
      </c>
      <c r="EB248" s="435">
        <v>0</v>
      </c>
      <c r="EC248" s="435">
        <v>0</v>
      </c>
      <c r="ED248" s="435">
        <v>0</v>
      </c>
      <c r="EE248" s="435">
        <v>0</v>
      </c>
      <c r="EF248" s="363">
        <v>0</v>
      </c>
      <c r="EG248" s="364">
        <v>0.1567239026524698</v>
      </c>
      <c r="EH248" s="364">
        <v>0.15752674106294159</v>
      </c>
      <c r="EI248" s="364">
        <v>0.15833369211674614</v>
      </c>
      <c r="EJ248" s="365">
        <v>0.15729271755922297</v>
      </c>
      <c r="EK248" s="365">
        <v>0.15625858695269293</v>
      </c>
      <c r="EL248" s="365">
        <v>0.15575960270690795</v>
      </c>
      <c r="EM248" s="365">
        <v>0.15526221187933056</v>
      </c>
      <c r="EN248" s="365">
        <v>0.15476640938166064</v>
      </c>
      <c r="EO248" s="365">
        <v>0.1542721901418467</v>
      </c>
      <c r="EP248" s="365">
        <v>0.15377954910403396</v>
      </c>
      <c r="EQ248" s="365">
        <v>0.15491705148189425</v>
      </c>
      <c r="ER248" s="365">
        <v>0.15606296792825175</v>
      </c>
      <c r="ES248" s="365">
        <v>0.15721736068170053</v>
      </c>
      <c r="ET248" s="365">
        <v>0.15838029244121149</v>
      </c>
      <c r="EU248" s="365">
        <v>0.15955182636953769</v>
      </c>
      <c r="EV248" s="436">
        <v>0.16019495056541982</v>
      </c>
      <c r="EW248" s="436">
        <v>0.16083807476130196</v>
      </c>
      <c r="EX248" s="436">
        <v>0.16148119895718407</v>
      </c>
      <c r="EY248" s="436">
        <v>0.16212432315306621</v>
      </c>
      <c r="EZ248" s="365">
        <v>0.16276744734894835</v>
      </c>
      <c r="FA248" s="436">
        <v>0.16329461910360249</v>
      </c>
      <c r="FB248" s="436">
        <v>0.1638217908582566</v>
      </c>
      <c r="FC248" s="436">
        <v>0.16434896261291074</v>
      </c>
      <c r="FD248" s="436">
        <v>0.16487613436756485</v>
      </c>
      <c r="FE248" s="365">
        <v>0.16540330612221898</v>
      </c>
      <c r="FF248" s="364">
        <v>0</v>
      </c>
      <c r="FG248" s="364">
        <v>0</v>
      </c>
      <c r="FH248" s="364">
        <v>0</v>
      </c>
      <c r="FI248" s="365">
        <v>0</v>
      </c>
      <c r="FJ248" s="365">
        <v>0</v>
      </c>
      <c r="FK248" s="365">
        <v>0</v>
      </c>
      <c r="FL248" s="365">
        <v>0</v>
      </c>
      <c r="FM248" s="365">
        <v>0</v>
      </c>
      <c r="FN248" s="365">
        <v>0</v>
      </c>
      <c r="FO248" s="365">
        <v>0</v>
      </c>
      <c r="FP248" s="365">
        <v>0</v>
      </c>
      <c r="FQ248" s="365">
        <v>0</v>
      </c>
      <c r="FR248" s="365">
        <v>0</v>
      </c>
      <c r="FS248" s="365">
        <v>0</v>
      </c>
      <c r="FT248" s="365">
        <v>0</v>
      </c>
      <c r="FU248" s="436">
        <v>0</v>
      </c>
      <c r="FV248" s="436">
        <v>0</v>
      </c>
      <c r="FW248" s="436">
        <v>0</v>
      </c>
      <c r="FX248" s="436">
        <v>0</v>
      </c>
      <c r="FY248" s="365">
        <v>0</v>
      </c>
      <c r="FZ248" s="436">
        <v>0</v>
      </c>
      <c r="GA248" s="436">
        <v>0</v>
      </c>
      <c r="GB248" s="436">
        <v>0</v>
      </c>
      <c r="GC248" s="436">
        <v>0</v>
      </c>
      <c r="GD248" s="365">
        <v>0</v>
      </c>
    </row>
    <row r="249" spans="1:186" ht="15" x14ac:dyDescent="0.25">
      <c r="A249" s="357">
        <v>98</v>
      </c>
      <c r="B249" s="357">
        <v>96</v>
      </c>
      <c r="C249" s="357" t="s">
        <v>1159</v>
      </c>
      <c r="D249" s="2">
        <v>99709</v>
      </c>
      <c r="E249" s="268" t="s">
        <v>19</v>
      </c>
      <c r="F249" s="358" t="s">
        <v>915</v>
      </c>
      <c r="G249" s="49">
        <v>270</v>
      </c>
      <c r="H249" s="49">
        <v>144</v>
      </c>
      <c r="I249" s="49">
        <v>118</v>
      </c>
      <c r="J249" s="49">
        <v>26</v>
      </c>
      <c r="K249" s="49">
        <v>0</v>
      </c>
      <c r="L249" s="49">
        <v>4</v>
      </c>
      <c r="M249" s="49">
        <v>4</v>
      </c>
      <c r="N249" s="49">
        <v>0</v>
      </c>
      <c r="O249" s="49">
        <v>0</v>
      </c>
      <c r="P249" s="49">
        <v>0</v>
      </c>
      <c r="Q249" s="49">
        <v>4</v>
      </c>
      <c r="R249" s="49">
        <v>0</v>
      </c>
      <c r="S249" s="49">
        <v>1397</v>
      </c>
      <c r="T249" s="49">
        <v>1397</v>
      </c>
      <c r="U249" s="49">
        <v>0</v>
      </c>
      <c r="V249" s="49">
        <v>0</v>
      </c>
      <c r="W249" s="49">
        <v>0</v>
      </c>
      <c r="X249" s="49">
        <v>1397</v>
      </c>
      <c r="Y249" s="434">
        <v>5588</v>
      </c>
      <c r="Z249" s="434">
        <v>0</v>
      </c>
      <c r="AA249" s="49">
        <v>0</v>
      </c>
      <c r="AB249" s="49">
        <v>144</v>
      </c>
      <c r="AC249" s="49">
        <v>0</v>
      </c>
      <c r="AD249" s="285">
        <v>0</v>
      </c>
      <c r="AE249" s="285">
        <v>0</v>
      </c>
      <c r="AF249" s="359">
        <v>144</v>
      </c>
      <c r="AG249" s="360">
        <v>0</v>
      </c>
      <c r="AH249" s="360">
        <v>118</v>
      </c>
      <c r="AI249" s="361">
        <v>118</v>
      </c>
      <c r="AJ249" s="360">
        <v>0</v>
      </c>
      <c r="AK249" s="360">
        <v>0</v>
      </c>
      <c r="AL249" s="360">
        <v>137.11080888111448</v>
      </c>
      <c r="AM249" s="360">
        <v>137.11080888111448</v>
      </c>
      <c r="AN249" s="360">
        <v>0</v>
      </c>
      <c r="AO249" s="360">
        <v>0</v>
      </c>
      <c r="AP249" s="360">
        <v>112.56664620996121</v>
      </c>
      <c r="AQ249" s="360">
        <v>112.56664620996121</v>
      </c>
      <c r="AR249" s="360">
        <v>0</v>
      </c>
      <c r="AS249" s="360">
        <v>0</v>
      </c>
      <c r="AT249" s="360">
        <v>0</v>
      </c>
      <c r="AU249" s="360">
        <v>130.55120772245485</v>
      </c>
      <c r="AV249" s="360">
        <v>133.79081317950116</v>
      </c>
      <c r="AW249" s="360">
        <v>137.11080888111448</v>
      </c>
      <c r="AX249" s="360">
        <v>140.51318969719705</v>
      </c>
      <c r="AY249" s="360">
        <v>144</v>
      </c>
      <c r="AZ249" s="360">
        <v>107.38347321151332</v>
      </c>
      <c r="BA249" s="360">
        <v>109.94451981702984</v>
      </c>
      <c r="BB249" s="360">
        <v>112.56664620996121</v>
      </c>
      <c r="BC249" s="360">
        <v>115.25130911523487</v>
      </c>
      <c r="BD249" s="360">
        <v>118</v>
      </c>
      <c r="BE249" s="360">
        <v>0</v>
      </c>
      <c r="BF249" s="360">
        <v>0</v>
      </c>
      <c r="BG249" s="360">
        <v>0</v>
      </c>
      <c r="BH249" s="360">
        <v>0</v>
      </c>
      <c r="BI249" s="360">
        <v>0</v>
      </c>
      <c r="BJ249" s="362">
        <v>145.49815206226501</v>
      </c>
      <c r="BK249" s="362">
        <v>147.01189064954161</v>
      </c>
      <c r="BL249" s="362">
        <v>148.54137792144502</v>
      </c>
      <c r="BM249" s="363">
        <v>147.5647835334253</v>
      </c>
      <c r="BN249" s="363">
        <v>146.59460982503069</v>
      </c>
      <c r="BO249" s="363">
        <v>146.12648578624214</v>
      </c>
      <c r="BP249" s="363">
        <v>145.65985661903144</v>
      </c>
      <c r="BQ249" s="363">
        <v>145.19471754978974</v>
      </c>
      <c r="BR249" s="363">
        <v>144.73106382015195</v>
      </c>
      <c r="BS249" s="363">
        <v>144.26889068694794</v>
      </c>
      <c r="BT249" s="363">
        <v>145.33604303044095</v>
      </c>
      <c r="BU249" s="363">
        <v>146.41108906549005</v>
      </c>
      <c r="BV249" s="363">
        <v>147.49408718147774</v>
      </c>
      <c r="BW249" s="363">
        <v>148.58509619969098</v>
      </c>
      <c r="BX249" s="363">
        <v>149.68417537651573</v>
      </c>
      <c r="BY249" s="435">
        <v>150.28752487815254</v>
      </c>
      <c r="BZ249" s="435">
        <v>150.89087437978932</v>
      </c>
      <c r="CA249" s="435">
        <v>151.49422388142614</v>
      </c>
      <c r="CB249" s="435">
        <v>152.09757338306292</v>
      </c>
      <c r="CC249" s="363">
        <v>152.70092288469974</v>
      </c>
      <c r="CD249" s="435">
        <v>153.19549114613994</v>
      </c>
      <c r="CE249" s="435">
        <v>153.69005940758018</v>
      </c>
      <c r="CF249" s="435">
        <v>154.18462766902039</v>
      </c>
      <c r="CG249" s="435">
        <v>154.67919593046062</v>
      </c>
      <c r="CH249" s="363">
        <v>155.17376419190083</v>
      </c>
      <c r="CI249" s="362">
        <v>119.22765238435606</v>
      </c>
      <c r="CJ249" s="362">
        <v>120.46807706004105</v>
      </c>
      <c r="CK249" s="362">
        <v>121.72140690785078</v>
      </c>
      <c r="CL249" s="363">
        <v>120.92114206211238</v>
      </c>
      <c r="CM249" s="363">
        <v>120.12613860662238</v>
      </c>
      <c r="CN249" s="363">
        <v>119.7425369637262</v>
      </c>
      <c r="CO249" s="363">
        <v>119.36016028503964</v>
      </c>
      <c r="CP249" s="363">
        <v>118.97900465885549</v>
      </c>
      <c r="CQ249" s="363">
        <v>118.59906618595785</v>
      </c>
      <c r="CR249" s="363">
        <v>118.22034097958235</v>
      </c>
      <c r="CS249" s="363">
        <v>119.09481303883356</v>
      </c>
      <c r="CT249" s="363">
        <v>119.97575353977656</v>
      </c>
      <c r="CU249" s="363">
        <v>120.86321032926648</v>
      </c>
      <c r="CV249" s="363">
        <v>121.7572316080801</v>
      </c>
      <c r="CW249" s="363">
        <v>122.65786593353371</v>
      </c>
      <c r="CX249" s="435">
        <v>123.15227733070832</v>
      </c>
      <c r="CY249" s="435">
        <v>123.64668872788292</v>
      </c>
      <c r="CZ249" s="435">
        <v>124.14110012505752</v>
      </c>
      <c r="DA249" s="435">
        <v>124.63551152223212</v>
      </c>
      <c r="DB249" s="363">
        <v>125.12992291940672</v>
      </c>
      <c r="DC249" s="435">
        <v>125.53519413364246</v>
      </c>
      <c r="DD249" s="435">
        <v>125.94046534787819</v>
      </c>
      <c r="DE249" s="435">
        <v>126.34573656211393</v>
      </c>
      <c r="DF249" s="435">
        <v>126.75100777634965</v>
      </c>
      <c r="DG249" s="363">
        <v>127.15627899058539</v>
      </c>
      <c r="DH249" s="362">
        <v>0</v>
      </c>
      <c r="DI249" s="362">
        <v>0</v>
      </c>
      <c r="DJ249" s="362">
        <v>0</v>
      </c>
      <c r="DK249" s="363">
        <v>0</v>
      </c>
      <c r="DL249" s="363">
        <v>0</v>
      </c>
      <c r="DM249" s="363">
        <v>0</v>
      </c>
      <c r="DN249" s="363">
        <v>0</v>
      </c>
      <c r="DO249" s="363">
        <v>0</v>
      </c>
      <c r="DP249" s="363">
        <v>0</v>
      </c>
      <c r="DQ249" s="363">
        <v>0</v>
      </c>
      <c r="DR249" s="363">
        <v>0</v>
      </c>
      <c r="DS249" s="363">
        <v>0</v>
      </c>
      <c r="DT249" s="363">
        <v>0</v>
      </c>
      <c r="DU249" s="363">
        <v>0</v>
      </c>
      <c r="DV249" s="363">
        <v>0</v>
      </c>
      <c r="DW249" s="435">
        <v>0</v>
      </c>
      <c r="DX249" s="435">
        <v>0</v>
      </c>
      <c r="DY249" s="435">
        <v>0</v>
      </c>
      <c r="DZ249" s="435">
        <v>0</v>
      </c>
      <c r="EA249" s="363">
        <v>0</v>
      </c>
      <c r="EB249" s="435">
        <v>0</v>
      </c>
      <c r="EC249" s="435">
        <v>0</v>
      </c>
      <c r="ED249" s="435">
        <v>0</v>
      </c>
      <c r="EE249" s="435">
        <v>0</v>
      </c>
      <c r="EF249" s="363">
        <v>0</v>
      </c>
      <c r="EG249" s="364">
        <v>0</v>
      </c>
      <c r="EH249" s="364">
        <v>0</v>
      </c>
      <c r="EI249" s="364">
        <v>0</v>
      </c>
      <c r="EJ249" s="365">
        <v>0</v>
      </c>
      <c r="EK249" s="365">
        <v>0</v>
      </c>
      <c r="EL249" s="365">
        <v>0</v>
      </c>
      <c r="EM249" s="365">
        <v>0</v>
      </c>
      <c r="EN249" s="365">
        <v>0</v>
      </c>
      <c r="EO249" s="365">
        <v>0</v>
      </c>
      <c r="EP249" s="365">
        <v>0</v>
      </c>
      <c r="EQ249" s="365">
        <v>0</v>
      </c>
      <c r="ER249" s="365">
        <v>0</v>
      </c>
      <c r="ES249" s="365">
        <v>0</v>
      </c>
      <c r="ET249" s="365">
        <v>0</v>
      </c>
      <c r="EU249" s="365">
        <v>0</v>
      </c>
      <c r="EV249" s="436">
        <v>0</v>
      </c>
      <c r="EW249" s="436">
        <v>0</v>
      </c>
      <c r="EX249" s="436">
        <v>0</v>
      </c>
      <c r="EY249" s="436">
        <v>0</v>
      </c>
      <c r="EZ249" s="365">
        <v>0</v>
      </c>
      <c r="FA249" s="436">
        <v>0</v>
      </c>
      <c r="FB249" s="436">
        <v>0</v>
      </c>
      <c r="FC249" s="436">
        <v>0</v>
      </c>
      <c r="FD249" s="436">
        <v>0</v>
      </c>
      <c r="FE249" s="365">
        <v>0</v>
      </c>
      <c r="FF249" s="364">
        <v>0</v>
      </c>
      <c r="FG249" s="364">
        <v>0</v>
      </c>
      <c r="FH249" s="364">
        <v>0</v>
      </c>
      <c r="FI249" s="365">
        <v>0</v>
      </c>
      <c r="FJ249" s="365">
        <v>0</v>
      </c>
      <c r="FK249" s="365">
        <v>0</v>
      </c>
      <c r="FL249" s="365">
        <v>0</v>
      </c>
      <c r="FM249" s="365">
        <v>0</v>
      </c>
      <c r="FN249" s="365">
        <v>0</v>
      </c>
      <c r="FO249" s="365">
        <v>0</v>
      </c>
      <c r="FP249" s="365">
        <v>0</v>
      </c>
      <c r="FQ249" s="365">
        <v>0</v>
      </c>
      <c r="FR249" s="365">
        <v>0</v>
      </c>
      <c r="FS249" s="365">
        <v>0</v>
      </c>
      <c r="FT249" s="365">
        <v>0</v>
      </c>
      <c r="FU249" s="436">
        <v>0</v>
      </c>
      <c r="FV249" s="436">
        <v>0</v>
      </c>
      <c r="FW249" s="436">
        <v>0</v>
      </c>
      <c r="FX249" s="436">
        <v>0</v>
      </c>
      <c r="FY249" s="365">
        <v>0</v>
      </c>
      <c r="FZ249" s="436">
        <v>0</v>
      </c>
      <c r="GA249" s="436">
        <v>0</v>
      </c>
      <c r="GB249" s="436">
        <v>0</v>
      </c>
      <c r="GC249" s="436">
        <v>0</v>
      </c>
      <c r="GD249" s="365">
        <v>0</v>
      </c>
    </row>
    <row r="250" spans="1:186" ht="15" x14ac:dyDescent="0.25">
      <c r="A250" s="357">
        <v>101</v>
      </c>
      <c r="B250" s="357">
        <v>96</v>
      </c>
      <c r="C250" s="357" t="s">
        <v>1160</v>
      </c>
      <c r="D250" s="2">
        <v>99709</v>
      </c>
      <c r="E250" s="268" t="s">
        <v>1527</v>
      </c>
      <c r="F250" s="358" t="s">
        <v>985</v>
      </c>
      <c r="G250" s="49">
        <v>49</v>
      </c>
      <c r="H250" s="49">
        <v>34</v>
      </c>
      <c r="I250" s="49">
        <v>27</v>
      </c>
      <c r="J250" s="49">
        <v>7</v>
      </c>
      <c r="K250" s="49">
        <v>0</v>
      </c>
      <c r="L250" s="49">
        <v>12</v>
      </c>
      <c r="M250" s="49">
        <v>12</v>
      </c>
      <c r="N250" s="49">
        <v>0</v>
      </c>
      <c r="O250" s="49">
        <v>0</v>
      </c>
      <c r="P250" s="49">
        <v>0</v>
      </c>
      <c r="Q250" s="49">
        <v>12</v>
      </c>
      <c r="R250" s="49">
        <v>0</v>
      </c>
      <c r="S250" s="49">
        <v>1782.4166666666667</v>
      </c>
      <c r="T250" s="49">
        <v>1782.4166666666667</v>
      </c>
      <c r="U250" s="49">
        <v>0</v>
      </c>
      <c r="V250" s="49">
        <v>0</v>
      </c>
      <c r="W250" s="49">
        <v>0</v>
      </c>
      <c r="X250" s="49">
        <v>1782.4166666666667</v>
      </c>
      <c r="Y250" s="434">
        <v>21389</v>
      </c>
      <c r="Z250" s="434">
        <v>0</v>
      </c>
      <c r="AA250" s="49">
        <v>0</v>
      </c>
      <c r="AB250" s="49">
        <v>34</v>
      </c>
      <c r="AC250" s="49">
        <v>0</v>
      </c>
      <c r="AD250" s="285">
        <v>0</v>
      </c>
      <c r="AE250" s="285">
        <v>0</v>
      </c>
      <c r="AF250" s="359">
        <v>34</v>
      </c>
      <c r="AG250" s="360">
        <v>0</v>
      </c>
      <c r="AH250" s="360">
        <v>27</v>
      </c>
      <c r="AI250" s="361">
        <v>27</v>
      </c>
      <c r="AJ250" s="360">
        <v>0</v>
      </c>
      <c r="AK250" s="360">
        <v>0</v>
      </c>
      <c r="AL250" s="360">
        <v>32.373385430263134</v>
      </c>
      <c r="AM250" s="360">
        <v>32.373385430263134</v>
      </c>
      <c r="AN250" s="360">
        <v>0</v>
      </c>
      <c r="AO250" s="360">
        <v>0</v>
      </c>
      <c r="AP250" s="360">
        <v>25.75677498024536</v>
      </c>
      <c r="AQ250" s="360">
        <v>25.75677498024536</v>
      </c>
      <c r="AR250" s="360">
        <v>0</v>
      </c>
      <c r="AS250" s="360">
        <v>0</v>
      </c>
      <c r="AT250" s="360">
        <v>0</v>
      </c>
      <c r="AU250" s="360">
        <v>30.824590712246284</v>
      </c>
      <c r="AV250" s="360">
        <v>31.589497556271105</v>
      </c>
      <c r="AW250" s="360">
        <v>32.373385430263134</v>
      </c>
      <c r="AX250" s="360">
        <v>33.176725345171526</v>
      </c>
      <c r="AY250" s="360">
        <v>34</v>
      </c>
      <c r="AZ250" s="360">
        <v>24.570794717888642</v>
      </c>
      <c r="BA250" s="360">
        <v>25.156796907286491</v>
      </c>
      <c r="BB250" s="360">
        <v>25.75677498024536</v>
      </c>
      <c r="BC250" s="360">
        <v>26.37106225518086</v>
      </c>
      <c r="BD250" s="360">
        <v>27</v>
      </c>
      <c r="BE250" s="360">
        <v>0</v>
      </c>
      <c r="BF250" s="360">
        <v>0</v>
      </c>
      <c r="BG250" s="360">
        <v>0</v>
      </c>
      <c r="BH250" s="360">
        <v>0</v>
      </c>
      <c r="BI250" s="360">
        <v>0</v>
      </c>
      <c r="BJ250" s="362">
        <v>34.353730348034794</v>
      </c>
      <c r="BK250" s="362">
        <v>34.711140847808437</v>
      </c>
      <c r="BL250" s="362">
        <v>35.072269787007848</v>
      </c>
      <c r="BM250" s="363">
        <v>34.841685000947635</v>
      </c>
      <c r="BN250" s="363">
        <v>34.612616208687797</v>
      </c>
      <c r="BO250" s="363">
        <v>34.502086921751612</v>
      </c>
      <c r="BP250" s="363">
        <v>34.391910590604638</v>
      </c>
      <c r="BQ250" s="363">
        <v>34.282086088144794</v>
      </c>
      <c r="BR250" s="363">
        <v>34.17261229086921</v>
      </c>
      <c r="BS250" s="363">
        <v>34.063488078862704</v>
      </c>
      <c r="BT250" s="363">
        <v>34.315454604409666</v>
      </c>
      <c r="BU250" s="363">
        <v>34.569284918240697</v>
      </c>
      <c r="BV250" s="363">
        <v>34.824992806737797</v>
      </c>
      <c r="BW250" s="363">
        <v>35.082592158260368</v>
      </c>
      <c r="BX250" s="363">
        <v>35.342096963899543</v>
      </c>
      <c r="BY250" s="435">
        <v>35.484554485119347</v>
      </c>
      <c r="BZ250" s="435">
        <v>35.627012006339143</v>
      </c>
      <c r="CA250" s="435">
        <v>35.769469527558947</v>
      </c>
      <c r="CB250" s="435">
        <v>35.911927048778743</v>
      </c>
      <c r="CC250" s="363">
        <v>36.054384569998547</v>
      </c>
      <c r="CD250" s="435">
        <v>36.171157631727489</v>
      </c>
      <c r="CE250" s="435">
        <v>36.287930693456424</v>
      </c>
      <c r="CF250" s="435">
        <v>36.404703755185366</v>
      </c>
      <c r="CG250" s="435">
        <v>36.521476816914301</v>
      </c>
      <c r="CH250" s="363">
        <v>36.638249878643244</v>
      </c>
      <c r="CI250" s="362">
        <v>27.280903511674691</v>
      </c>
      <c r="CJ250" s="362">
        <v>27.564729496789052</v>
      </c>
      <c r="CK250" s="362">
        <v>27.851508360270941</v>
      </c>
      <c r="CL250" s="363">
        <v>27.668396912517242</v>
      </c>
      <c r="CM250" s="363">
        <v>27.486489342193256</v>
      </c>
      <c r="CN250" s="363">
        <v>27.398716084920402</v>
      </c>
      <c r="CO250" s="363">
        <v>27.311223116068394</v>
      </c>
      <c r="CP250" s="363">
        <v>27.224009540585577</v>
      </c>
      <c r="CQ250" s="363">
        <v>27.137074466278492</v>
      </c>
      <c r="CR250" s="363">
        <v>27.050417003802739</v>
      </c>
      <c r="CS250" s="363">
        <v>27.250508068207679</v>
      </c>
      <c r="CT250" s="363">
        <v>27.452079199779384</v>
      </c>
      <c r="CU250" s="363">
        <v>27.655141346527078</v>
      </c>
      <c r="CV250" s="363">
        <v>27.859705537442061</v>
      </c>
      <c r="CW250" s="363">
        <v>28.065782883096698</v>
      </c>
      <c r="CX250" s="435">
        <v>28.178910914653599</v>
      </c>
      <c r="CY250" s="435">
        <v>28.2920389462105</v>
      </c>
      <c r="CZ250" s="435">
        <v>28.405166977767397</v>
      </c>
      <c r="DA250" s="435">
        <v>28.518295009324298</v>
      </c>
      <c r="DB250" s="363">
        <v>28.631423040881199</v>
      </c>
      <c r="DC250" s="435">
        <v>28.724154589901239</v>
      </c>
      <c r="DD250" s="435">
        <v>28.81688613892128</v>
      </c>
      <c r="DE250" s="435">
        <v>28.909617687941321</v>
      </c>
      <c r="DF250" s="435">
        <v>29.002349236961361</v>
      </c>
      <c r="DG250" s="363">
        <v>29.095080785981402</v>
      </c>
      <c r="DH250" s="362">
        <v>0</v>
      </c>
      <c r="DI250" s="362">
        <v>0</v>
      </c>
      <c r="DJ250" s="362">
        <v>0</v>
      </c>
      <c r="DK250" s="363">
        <v>0</v>
      </c>
      <c r="DL250" s="363">
        <v>0</v>
      </c>
      <c r="DM250" s="363">
        <v>0</v>
      </c>
      <c r="DN250" s="363">
        <v>0</v>
      </c>
      <c r="DO250" s="363">
        <v>0</v>
      </c>
      <c r="DP250" s="363">
        <v>0</v>
      </c>
      <c r="DQ250" s="363">
        <v>0</v>
      </c>
      <c r="DR250" s="363">
        <v>0</v>
      </c>
      <c r="DS250" s="363">
        <v>0</v>
      </c>
      <c r="DT250" s="363">
        <v>0</v>
      </c>
      <c r="DU250" s="363">
        <v>0</v>
      </c>
      <c r="DV250" s="363">
        <v>0</v>
      </c>
      <c r="DW250" s="435">
        <v>0</v>
      </c>
      <c r="DX250" s="435">
        <v>0</v>
      </c>
      <c r="DY250" s="435">
        <v>0</v>
      </c>
      <c r="DZ250" s="435">
        <v>0</v>
      </c>
      <c r="EA250" s="363">
        <v>0</v>
      </c>
      <c r="EB250" s="435">
        <v>0</v>
      </c>
      <c r="EC250" s="435">
        <v>0</v>
      </c>
      <c r="ED250" s="435">
        <v>0</v>
      </c>
      <c r="EE250" s="435">
        <v>0</v>
      </c>
      <c r="EF250" s="363">
        <v>0</v>
      </c>
      <c r="EG250" s="364">
        <v>0</v>
      </c>
      <c r="EH250" s="364">
        <v>0</v>
      </c>
      <c r="EI250" s="364">
        <v>0</v>
      </c>
      <c r="EJ250" s="365">
        <v>0</v>
      </c>
      <c r="EK250" s="365">
        <v>0</v>
      </c>
      <c r="EL250" s="365">
        <v>0</v>
      </c>
      <c r="EM250" s="365">
        <v>0</v>
      </c>
      <c r="EN250" s="365">
        <v>0</v>
      </c>
      <c r="EO250" s="365">
        <v>0</v>
      </c>
      <c r="EP250" s="365">
        <v>0</v>
      </c>
      <c r="EQ250" s="365">
        <v>0</v>
      </c>
      <c r="ER250" s="365">
        <v>0</v>
      </c>
      <c r="ES250" s="365">
        <v>0</v>
      </c>
      <c r="ET250" s="365">
        <v>0</v>
      </c>
      <c r="EU250" s="365">
        <v>0</v>
      </c>
      <c r="EV250" s="436">
        <v>0</v>
      </c>
      <c r="EW250" s="436">
        <v>0</v>
      </c>
      <c r="EX250" s="436">
        <v>0</v>
      </c>
      <c r="EY250" s="436">
        <v>0</v>
      </c>
      <c r="EZ250" s="365">
        <v>0</v>
      </c>
      <c r="FA250" s="436">
        <v>0</v>
      </c>
      <c r="FB250" s="436">
        <v>0</v>
      </c>
      <c r="FC250" s="436">
        <v>0</v>
      </c>
      <c r="FD250" s="436">
        <v>0</v>
      </c>
      <c r="FE250" s="365">
        <v>0</v>
      </c>
      <c r="FF250" s="364">
        <v>0</v>
      </c>
      <c r="FG250" s="364">
        <v>0</v>
      </c>
      <c r="FH250" s="364">
        <v>0</v>
      </c>
      <c r="FI250" s="365">
        <v>0</v>
      </c>
      <c r="FJ250" s="365">
        <v>0</v>
      </c>
      <c r="FK250" s="365">
        <v>0</v>
      </c>
      <c r="FL250" s="365">
        <v>0</v>
      </c>
      <c r="FM250" s="365">
        <v>0</v>
      </c>
      <c r="FN250" s="365">
        <v>0</v>
      </c>
      <c r="FO250" s="365">
        <v>0</v>
      </c>
      <c r="FP250" s="365">
        <v>0</v>
      </c>
      <c r="FQ250" s="365">
        <v>0</v>
      </c>
      <c r="FR250" s="365">
        <v>0</v>
      </c>
      <c r="FS250" s="365">
        <v>0</v>
      </c>
      <c r="FT250" s="365">
        <v>0</v>
      </c>
      <c r="FU250" s="436">
        <v>0</v>
      </c>
      <c r="FV250" s="436">
        <v>0</v>
      </c>
      <c r="FW250" s="436">
        <v>0</v>
      </c>
      <c r="FX250" s="436">
        <v>0</v>
      </c>
      <c r="FY250" s="365">
        <v>0</v>
      </c>
      <c r="FZ250" s="436">
        <v>0</v>
      </c>
      <c r="GA250" s="436">
        <v>0</v>
      </c>
      <c r="GB250" s="436">
        <v>0</v>
      </c>
      <c r="GC250" s="436">
        <v>0</v>
      </c>
      <c r="GD250" s="365">
        <v>0</v>
      </c>
    </row>
    <row r="251" spans="1:186" ht="15" x14ac:dyDescent="0.25">
      <c r="A251" s="357">
        <v>103</v>
      </c>
      <c r="B251" s="357">
        <v>96</v>
      </c>
      <c r="C251" s="357" t="s">
        <v>1161</v>
      </c>
      <c r="D251" s="2">
        <v>99709</v>
      </c>
      <c r="E251" s="268" t="s">
        <v>1527</v>
      </c>
      <c r="F251" s="358" t="s">
        <v>985</v>
      </c>
      <c r="G251" s="49">
        <v>291</v>
      </c>
      <c r="H251" s="49">
        <v>167</v>
      </c>
      <c r="I251" s="49">
        <v>155</v>
      </c>
      <c r="J251" s="49">
        <v>12</v>
      </c>
      <c r="K251" s="49">
        <v>9</v>
      </c>
      <c r="L251" s="49">
        <v>56</v>
      </c>
      <c r="M251" s="49">
        <v>65</v>
      </c>
      <c r="N251" s="49">
        <v>0</v>
      </c>
      <c r="O251" s="49">
        <v>0</v>
      </c>
      <c r="P251" s="49">
        <v>0</v>
      </c>
      <c r="Q251" s="49">
        <v>65</v>
      </c>
      <c r="R251" s="49">
        <v>5317.666666666667</v>
      </c>
      <c r="S251" s="49">
        <v>1757.75</v>
      </c>
      <c r="T251" s="49">
        <v>2250.6615384615384</v>
      </c>
      <c r="U251" s="49">
        <v>0</v>
      </c>
      <c r="V251" s="49">
        <v>0</v>
      </c>
      <c r="W251" s="49">
        <v>0</v>
      </c>
      <c r="X251" s="49">
        <v>2250.6615384615384</v>
      </c>
      <c r="Y251" s="434">
        <v>146293</v>
      </c>
      <c r="Z251" s="434">
        <v>0</v>
      </c>
      <c r="AA251" s="49">
        <v>23.123076923076923</v>
      </c>
      <c r="AB251" s="49">
        <v>143.87692307692308</v>
      </c>
      <c r="AC251" s="49">
        <v>0</v>
      </c>
      <c r="AD251" s="285">
        <v>0</v>
      </c>
      <c r="AE251" s="285">
        <v>0</v>
      </c>
      <c r="AF251" s="359">
        <v>167</v>
      </c>
      <c r="AG251" s="360">
        <v>21.46153846153846</v>
      </c>
      <c r="AH251" s="360">
        <v>133.53846153846155</v>
      </c>
      <c r="AI251" s="361">
        <v>155</v>
      </c>
      <c r="AJ251" s="360">
        <v>0</v>
      </c>
      <c r="AK251" s="360">
        <v>22.01683181071742</v>
      </c>
      <c r="AL251" s="360">
        <v>136.99362015557506</v>
      </c>
      <c r="AM251" s="360">
        <v>159.01045196629246</v>
      </c>
      <c r="AN251" s="360">
        <v>0</v>
      </c>
      <c r="AO251" s="360">
        <v>20.473333958656568</v>
      </c>
      <c r="AP251" s="360">
        <v>127.38963352052977</v>
      </c>
      <c r="AQ251" s="360">
        <v>147.86296747918635</v>
      </c>
      <c r="AR251" s="360">
        <v>0</v>
      </c>
      <c r="AS251" s="360">
        <v>0</v>
      </c>
      <c r="AT251" s="360">
        <v>0</v>
      </c>
      <c r="AU251" s="360">
        <v>151.40313673368027</v>
      </c>
      <c r="AV251" s="360">
        <v>155.16017917344925</v>
      </c>
      <c r="AW251" s="360">
        <v>159.01045196629246</v>
      </c>
      <c r="AX251" s="360">
        <v>162.95626860716601</v>
      </c>
      <c r="AY251" s="360">
        <v>167</v>
      </c>
      <c r="AZ251" s="360">
        <v>141.05456226936073</v>
      </c>
      <c r="BA251" s="360">
        <v>144.41864891220024</v>
      </c>
      <c r="BB251" s="360">
        <v>147.86296747918632</v>
      </c>
      <c r="BC251" s="360">
        <v>151.38943146492716</v>
      </c>
      <c r="BD251" s="360">
        <v>155</v>
      </c>
      <c r="BE251" s="360">
        <v>0</v>
      </c>
      <c r="BF251" s="360">
        <v>0</v>
      </c>
      <c r="BG251" s="360">
        <v>0</v>
      </c>
      <c r="BH251" s="360">
        <v>0</v>
      </c>
      <c r="BI251" s="360">
        <v>0</v>
      </c>
      <c r="BJ251" s="362">
        <v>168.73744023887679</v>
      </c>
      <c r="BK251" s="362">
        <v>170.49295651717674</v>
      </c>
      <c r="BL251" s="362">
        <v>172.26673689500916</v>
      </c>
      <c r="BM251" s="363">
        <v>171.13415868112517</v>
      </c>
      <c r="BN251" s="363">
        <v>170.00902667208422</v>
      </c>
      <c r="BO251" s="363">
        <v>169.4661328215447</v>
      </c>
      <c r="BP251" s="363">
        <v>168.9249726067934</v>
      </c>
      <c r="BQ251" s="363">
        <v>168.38554049177006</v>
      </c>
      <c r="BR251" s="363">
        <v>167.84783095809291</v>
      </c>
      <c r="BS251" s="363">
        <v>167.31183850500213</v>
      </c>
      <c r="BT251" s="363">
        <v>168.54943879224751</v>
      </c>
      <c r="BU251" s="363">
        <v>169.79619356900582</v>
      </c>
      <c r="BV251" s="363">
        <v>171.05217055074155</v>
      </c>
      <c r="BW251" s="363">
        <v>172.31743795380831</v>
      </c>
      <c r="BX251" s="363">
        <v>173.59206449915365</v>
      </c>
      <c r="BY251" s="435">
        <v>174.29178232396856</v>
      </c>
      <c r="BZ251" s="435">
        <v>174.99150014878347</v>
      </c>
      <c r="CA251" s="435">
        <v>175.69121797359836</v>
      </c>
      <c r="CB251" s="435">
        <v>176.39093579841327</v>
      </c>
      <c r="CC251" s="363">
        <v>177.09065362322818</v>
      </c>
      <c r="CD251" s="435">
        <v>177.66421542642621</v>
      </c>
      <c r="CE251" s="435">
        <v>178.23777722962424</v>
      </c>
      <c r="CF251" s="435">
        <v>178.81133903282225</v>
      </c>
      <c r="CG251" s="435">
        <v>179.38490083602028</v>
      </c>
      <c r="CH251" s="363">
        <v>179.95846263921831</v>
      </c>
      <c r="CI251" s="362">
        <v>156.61259423368804</v>
      </c>
      <c r="CJ251" s="362">
        <v>158.24196562971494</v>
      </c>
      <c r="CK251" s="362">
        <v>159.88828873488873</v>
      </c>
      <c r="CL251" s="363">
        <v>158.83709338667305</v>
      </c>
      <c r="CM251" s="363">
        <v>157.79280918666498</v>
      </c>
      <c r="CN251" s="363">
        <v>157.28892567269119</v>
      </c>
      <c r="CO251" s="363">
        <v>156.78665122187411</v>
      </c>
      <c r="CP251" s="363">
        <v>156.28598069595424</v>
      </c>
      <c r="CQ251" s="363">
        <v>155.78690897308024</v>
      </c>
      <c r="CR251" s="363">
        <v>155.28943094775647</v>
      </c>
      <c r="CS251" s="363">
        <v>156.43810187304408</v>
      </c>
      <c r="CT251" s="363">
        <v>157.59526948021497</v>
      </c>
      <c r="CU251" s="363">
        <v>158.76099661895174</v>
      </c>
      <c r="CV251" s="363">
        <v>159.93534660383403</v>
      </c>
      <c r="CW251" s="363">
        <v>161.11838321777734</v>
      </c>
      <c r="CX251" s="435">
        <v>161.76782191745585</v>
      </c>
      <c r="CY251" s="435">
        <v>162.41726061713433</v>
      </c>
      <c r="CZ251" s="435">
        <v>163.06669931681284</v>
      </c>
      <c r="DA251" s="435">
        <v>163.71613801649133</v>
      </c>
      <c r="DB251" s="363">
        <v>164.36557671616984</v>
      </c>
      <c r="DC251" s="435">
        <v>164.89792449758119</v>
      </c>
      <c r="DD251" s="435">
        <v>165.43027227899253</v>
      </c>
      <c r="DE251" s="435">
        <v>165.96262006040388</v>
      </c>
      <c r="DF251" s="435">
        <v>166.49496784181522</v>
      </c>
      <c r="DG251" s="363">
        <v>167.02731562322657</v>
      </c>
      <c r="DH251" s="362">
        <v>0</v>
      </c>
      <c r="DI251" s="362">
        <v>0</v>
      </c>
      <c r="DJ251" s="362">
        <v>0</v>
      </c>
      <c r="DK251" s="363">
        <v>0</v>
      </c>
      <c r="DL251" s="363">
        <v>0</v>
      </c>
      <c r="DM251" s="363">
        <v>0</v>
      </c>
      <c r="DN251" s="363">
        <v>0</v>
      </c>
      <c r="DO251" s="363">
        <v>0</v>
      </c>
      <c r="DP251" s="363">
        <v>0</v>
      </c>
      <c r="DQ251" s="363">
        <v>0</v>
      </c>
      <c r="DR251" s="363">
        <v>0</v>
      </c>
      <c r="DS251" s="363">
        <v>0</v>
      </c>
      <c r="DT251" s="363">
        <v>0</v>
      </c>
      <c r="DU251" s="363">
        <v>0</v>
      </c>
      <c r="DV251" s="363">
        <v>0</v>
      </c>
      <c r="DW251" s="435">
        <v>0</v>
      </c>
      <c r="DX251" s="435">
        <v>0</v>
      </c>
      <c r="DY251" s="435">
        <v>0</v>
      </c>
      <c r="DZ251" s="435">
        <v>0</v>
      </c>
      <c r="EA251" s="363">
        <v>0</v>
      </c>
      <c r="EB251" s="435">
        <v>0</v>
      </c>
      <c r="EC251" s="435">
        <v>0</v>
      </c>
      <c r="ED251" s="435">
        <v>0</v>
      </c>
      <c r="EE251" s="435">
        <v>0</v>
      </c>
      <c r="EF251" s="363">
        <v>0</v>
      </c>
      <c r="EG251" s="364">
        <v>0</v>
      </c>
      <c r="EH251" s="364">
        <v>0</v>
      </c>
      <c r="EI251" s="364">
        <v>0</v>
      </c>
      <c r="EJ251" s="365">
        <v>0</v>
      </c>
      <c r="EK251" s="365">
        <v>0</v>
      </c>
      <c r="EL251" s="365">
        <v>0</v>
      </c>
      <c r="EM251" s="365">
        <v>0</v>
      </c>
      <c r="EN251" s="365">
        <v>0</v>
      </c>
      <c r="EO251" s="365">
        <v>0</v>
      </c>
      <c r="EP251" s="365">
        <v>0</v>
      </c>
      <c r="EQ251" s="365">
        <v>0</v>
      </c>
      <c r="ER251" s="365">
        <v>0</v>
      </c>
      <c r="ES251" s="365">
        <v>0</v>
      </c>
      <c r="ET251" s="365">
        <v>0</v>
      </c>
      <c r="EU251" s="365">
        <v>0</v>
      </c>
      <c r="EV251" s="436">
        <v>0</v>
      </c>
      <c r="EW251" s="436">
        <v>0</v>
      </c>
      <c r="EX251" s="436">
        <v>0</v>
      </c>
      <c r="EY251" s="436">
        <v>0</v>
      </c>
      <c r="EZ251" s="365">
        <v>0</v>
      </c>
      <c r="FA251" s="436">
        <v>0</v>
      </c>
      <c r="FB251" s="436">
        <v>0</v>
      </c>
      <c r="FC251" s="436">
        <v>0</v>
      </c>
      <c r="FD251" s="436">
        <v>0</v>
      </c>
      <c r="FE251" s="365">
        <v>0</v>
      </c>
      <c r="FF251" s="364">
        <v>0</v>
      </c>
      <c r="FG251" s="364">
        <v>0</v>
      </c>
      <c r="FH251" s="364">
        <v>0</v>
      </c>
      <c r="FI251" s="365">
        <v>0</v>
      </c>
      <c r="FJ251" s="365">
        <v>0</v>
      </c>
      <c r="FK251" s="365">
        <v>0</v>
      </c>
      <c r="FL251" s="365">
        <v>0</v>
      </c>
      <c r="FM251" s="365">
        <v>0</v>
      </c>
      <c r="FN251" s="365">
        <v>0</v>
      </c>
      <c r="FO251" s="365">
        <v>0</v>
      </c>
      <c r="FP251" s="365">
        <v>0</v>
      </c>
      <c r="FQ251" s="365">
        <v>0</v>
      </c>
      <c r="FR251" s="365">
        <v>0</v>
      </c>
      <c r="FS251" s="365">
        <v>0</v>
      </c>
      <c r="FT251" s="365">
        <v>0</v>
      </c>
      <c r="FU251" s="436">
        <v>0</v>
      </c>
      <c r="FV251" s="436">
        <v>0</v>
      </c>
      <c r="FW251" s="436">
        <v>0</v>
      </c>
      <c r="FX251" s="436">
        <v>0</v>
      </c>
      <c r="FY251" s="365">
        <v>0</v>
      </c>
      <c r="FZ251" s="436">
        <v>0</v>
      </c>
      <c r="GA251" s="436">
        <v>0</v>
      </c>
      <c r="GB251" s="436">
        <v>0</v>
      </c>
      <c r="GC251" s="436">
        <v>0</v>
      </c>
      <c r="GD251" s="365">
        <v>0</v>
      </c>
    </row>
    <row r="252" spans="1:186" ht="15" x14ac:dyDescent="0.25">
      <c r="A252" s="357">
        <v>105</v>
      </c>
      <c r="B252" s="357">
        <v>96</v>
      </c>
      <c r="C252" s="357" t="s">
        <v>1162</v>
      </c>
      <c r="D252" s="2">
        <v>99709</v>
      </c>
      <c r="E252" s="268" t="s">
        <v>1527</v>
      </c>
      <c r="F252" s="358" t="s">
        <v>985</v>
      </c>
      <c r="G252" s="49">
        <v>77</v>
      </c>
      <c r="H252" s="49">
        <v>33</v>
      </c>
      <c r="I252" s="49">
        <v>32</v>
      </c>
      <c r="J252" s="49">
        <v>1</v>
      </c>
      <c r="K252" s="49">
        <v>0</v>
      </c>
      <c r="L252" s="49">
        <v>0</v>
      </c>
      <c r="M252" s="49">
        <v>0</v>
      </c>
      <c r="N252" s="49">
        <v>0</v>
      </c>
      <c r="O252" s="49">
        <v>0</v>
      </c>
      <c r="P252" s="49">
        <v>0</v>
      </c>
      <c r="Q252" s="49">
        <v>0</v>
      </c>
      <c r="R252" s="49">
        <v>0</v>
      </c>
      <c r="S252" s="49">
        <v>834.49503068156923</v>
      </c>
      <c r="T252" s="49">
        <v>834.49503068156923</v>
      </c>
      <c r="U252" s="49">
        <v>1408.3846153846155</v>
      </c>
      <c r="V252" s="49">
        <v>0</v>
      </c>
      <c r="W252" s="49">
        <v>0</v>
      </c>
      <c r="X252" s="49">
        <v>1365.173957061457</v>
      </c>
      <c r="Y252" s="434">
        <v>0</v>
      </c>
      <c r="Z252" s="434">
        <v>0</v>
      </c>
      <c r="AA252" s="49">
        <v>0.75610706860706856</v>
      </c>
      <c r="AB252" s="49">
        <v>32.201013513513516</v>
      </c>
      <c r="AC252" s="49">
        <v>4.2879417879417882E-2</v>
      </c>
      <c r="AD252" s="285">
        <v>0</v>
      </c>
      <c r="AE252" s="285">
        <v>0</v>
      </c>
      <c r="AF252" s="359">
        <v>33</v>
      </c>
      <c r="AG252" s="360">
        <v>0.73319473319473316</v>
      </c>
      <c r="AH252" s="360">
        <v>31.225225225225227</v>
      </c>
      <c r="AI252" s="361">
        <v>31.95841995841996</v>
      </c>
      <c r="AJ252" s="360">
        <v>4.1580041580041582E-2</v>
      </c>
      <c r="AK252" s="360">
        <v>0.71993369289891307</v>
      </c>
      <c r="AL252" s="360">
        <v>30.660465344649555</v>
      </c>
      <c r="AM252" s="360">
        <v>31.380399037548468</v>
      </c>
      <c r="AN252" s="360">
        <v>4.0827997706932691E-2</v>
      </c>
      <c r="AO252" s="360">
        <v>0.69943450961473241</v>
      </c>
      <c r="AP252" s="360">
        <v>29.787448141985461</v>
      </c>
      <c r="AQ252" s="360">
        <v>30.486882651600194</v>
      </c>
      <c r="AR252" s="360">
        <v>3.9665473135050991E-2</v>
      </c>
      <c r="AS252" s="360">
        <v>0</v>
      </c>
      <c r="AT252" s="360">
        <v>0</v>
      </c>
      <c r="AU252" s="360">
        <v>29.879110382294556</v>
      </c>
      <c r="AV252" s="360">
        <v>30.620555296783245</v>
      </c>
      <c r="AW252" s="360">
        <v>31.380399037548464</v>
      </c>
      <c r="AX252" s="360">
        <v>32.159098168256293</v>
      </c>
      <c r="AY252" s="360">
        <v>32.957120582120581</v>
      </c>
      <c r="AZ252" s="360">
        <v>29.083102826163412</v>
      </c>
      <c r="BA252" s="360">
        <v>29.776721495249706</v>
      </c>
      <c r="BB252" s="360">
        <v>30.486882651600194</v>
      </c>
      <c r="BC252" s="360">
        <v>31.213980825952124</v>
      </c>
      <c r="BD252" s="360">
        <v>31.95841995841996</v>
      </c>
      <c r="BE252" s="360">
        <v>0</v>
      </c>
      <c r="BF252" s="360">
        <v>0</v>
      </c>
      <c r="BG252" s="360">
        <v>0</v>
      </c>
      <c r="BH252" s="360">
        <v>0</v>
      </c>
      <c r="BI252" s="360">
        <v>0</v>
      </c>
      <c r="BJ252" s="362">
        <v>33.374135011904357</v>
      </c>
      <c r="BK252" s="362">
        <v>33.796426026279761</v>
      </c>
      <c r="BL252" s="362">
        <v>34.224060391149742</v>
      </c>
      <c r="BM252" s="363">
        <v>33.999052209719508</v>
      </c>
      <c r="BN252" s="363">
        <v>33.775523358360921</v>
      </c>
      <c r="BO252" s="363">
        <v>33.667667179845324</v>
      </c>
      <c r="BP252" s="363">
        <v>33.560155421018521</v>
      </c>
      <c r="BQ252" s="363">
        <v>33.452986982036968</v>
      </c>
      <c r="BR252" s="363">
        <v>33.346160766569263</v>
      </c>
      <c r="BS252" s="363">
        <v>33.239675681784973</v>
      </c>
      <c r="BT252" s="363">
        <v>33.485548493531581</v>
      </c>
      <c r="BU252" s="363">
        <v>33.733240018557311</v>
      </c>
      <c r="BV252" s="363">
        <v>33.98276370982579</v>
      </c>
      <c r="BW252" s="363">
        <v>34.234133119811773</v>
      </c>
      <c r="BX252" s="363">
        <v>34.487361901237222</v>
      </c>
      <c r="BY252" s="435">
        <v>34.626374141933603</v>
      </c>
      <c r="BZ252" s="435">
        <v>34.765386382629984</v>
      </c>
      <c r="CA252" s="435">
        <v>34.904398623326365</v>
      </c>
      <c r="CB252" s="435">
        <v>35.043410864022746</v>
      </c>
      <c r="CC252" s="363">
        <v>35.182423104719128</v>
      </c>
      <c r="CD252" s="435">
        <v>35.29637205472838</v>
      </c>
      <c r="CE252" s="435">
        <v>35.410321004737632</v>
      </c>
      <c r="CF252" s="435">
        <v>35.524269954746877</v>
      </c>
      <c r="CG252" s="435">
        <v>35.63821890475613</v>
      </c>
      <c r="CH252" s="363">
        <v>35.752167854765382</v>
      </c>
      <c r="CI252" s="362">
        <v>32.362797587301202</v>
      </c>
      <c r="CJ252" s="362">
        <v>32.772291904271285</v>
      </c>
      <c r="CK252" s="362">
        <v>33.186967652023995</v>
      </c>
      <c r="CL252" s="363">
        <v>32.968777900334075</v>
      </c>
      <c r="CM252" s="363">
        <v>32.752022650531806</v>
      </c>
      <c r="CN252" s="363">
        <v>32.647434841062136</v>
      </c>
      <c r="CO252" s="363">
        <v>32.543181014320993</v>
      </c>
      <c r="CP252" s="363">
        <v>32.439260103793423</v>
      </c>
      <c r="CQ252" s="363">
        <v>32.335671046370202</v>
      </c>
      <c r="CR252" s="363">
        <v>32.232412782336944</v>
      </c>
      <c r="CS252" s="363">
        <v>32.47083490281851</v>
      </c>
      <c r="CT252" s="363">
        <v>32.711020624055578</v>
      </c>
      <c r="CU252" s="363">
        <v>32.952982991346218</v>
      </c>
      <c r="CV252" s="363">
        <v>33.196735146484144</v>
      </c>
      <c r="CW252" s="363">
        <v>33.44229032847246</v>
      </c>
      <c r="CX252" s="435">
        <v>33.577090077026526</v>
      </c>
      <c r="CY252" s="435">
        <v>33.711889825580592</v>
      </c>
      <c r="CZ252" s="435">
        <v>33.846689574134665</v>
      </c>
      <c r="DA252" s="435">
        <v>33.981489322688731</v>
      </c>
      <c r="DB252" s="363">
        <v>34.116289071242797</v>
      </c>
      <c r="DC252" s="435">
        <v>34.226785022766919</v>
      </c>
      <c r="DD252" s="435">
        <v>34.337280974291041</v>
      </c>
      <c r="DE252" s="435">
        <v>34.447776925815162</v>
      </c>
      <c r="DF252" s="435">
        <v>34.558272877339284</v>
      </c>
      <c r="DG252" s="363">
        <v>34.668768828863406</v>
      </c>
      <c r="DH252" s="362">
        <v>0</v>
      </c>
      <c r="DI252" s="362">
        <v>0</v>
      </c>
      <c r="DJ252" s="362">
        <v>0</v>
      </c>
      <c r="DK252" s="363">
        <v>0</v>
      </c>
      <c r="DL252" s="363">
        <v>0</v>
      </c>
      <c r="DM252" s="363">
        <v>0</v>
      </c>
      <c r="DN252" s="363">
        <v>0</v>
      </c>
      <c r="DO252" s="363">
        <v>0</v>
      </c>
      <c r="DP252" s="363">
        <v>0</v>
      </c>
      <c r="DQ252" s="363">
        <v>0</v>
      </c>
      <c r="DR252" s="363">
        <v>0</v>
      </c>
      <c r="DS252" s="363">
        <v>0</v>
      </c>
      <c r="DT252" s="363">
        <v>0</v>
      </c>
      <c r="DU252" s="363">
        <v>0</v>
      </c>
      <c r="DV252" s="363">
        <v>0</v>
      </c>
      <c r="DW252" s="435">
        <v>0</v>
      </c>
      <c r="DX252" s="435">
        <v>0</v>
      </c>
      <c r="DY252" s="435">
        <v>0</v>
      </c>
      <c r="DZ252" s="435">
        <v>0</v>
      </c>
      <c r="EA252" s="363">
        <v>0</v>
      </c>
      <c r="EB252" s="435">
        <v>0</v>
      </c>
      <c r="EC252" s="435">
        <v>0</v>
      </c>
      <c r="ED252" s="435">
        <v>0</v>
      </c>
      <c r="EE252" s="435">
        <v>0</v>
      </c>
      <c r="EF252" s="363">
        <v>0</v>
      </c>
      <c r="EG252" s="364">
        <v>4.3421981540338751E-2</v>
      </c>
      <c r="EH252" s="364">
        <v>4.397141039068405E-2</v>
      </c>
      <c r="EI252" s="364">
        <v>4.4527791297358503E-2</v>
      </c>
      <c r="EJ252" s="365">
        <v>4.4235040605932231E-2</v>
      </c>
      <c r="EK252" s="365">
        <v>4.3944214621859129E-2</v>
      </c>
      <c r="EL252" s="365">
        <v>4.380388652074594E-2</v>
      </c>
      <c r="EM252" s="365">
        <v>4.3664006532680884E-2</v>
      </c>
      <c r="EN252" s="365">
        <v>4.3524573226693952E-2</v>
      </c>
      <c r="EO252" s="365">
        <v>4.3385585176384689E-2</v>
      </c>
      <c r="EP252" s="365">
        <v>4.3247040959907591E-2</v>
      </c>
      <c r="EQ252" s="365">
        <v>4.356693793069423E-2</v>
      </c>
      <c r="ER252" s="365">
        <v>4.388920116908316E-2</v>
      </c>
      <c r="ES252" s="365">
        <v>4.4213848178279717E-2</v>
      </c>
      <c r="ET252" s="365">
        <v>4.4540896590959896E-2</v>
      </c>
      <c r="EU252" s="365">
        <v>4.487036417022798E-2</v>
      </c>
      <c r="EV252" s="436">
        <v>4.5051228391794963E-2</v>
      </c>
      <c r="EW252" s="436">
        <v>4.5232092613361946E-2</v>
      </c>
      <c r="EX252" s="436">
        <v>4.5412956834928922E-2</v>
      </c>
      <c r="EY252" s="436">
        <v>4.5593821056495905E-2</v>
      </c>
      <c r="EZ252" s="365">
        <v>4.5774685278062888E-2</v>
      </c>
      <c r="FA252" s="436">
        <v>4.5922940482342425E-2</v>
      </c>
      <c r="FB252" s="436">
        <v>4.6071195686621956E-2</v>
      </c>
      <c r="FC252" s="436">
        <v>4.6219450890901494E-2</v>
      </c>
      <c r="FD252" s="436">
        <v>4.6367706095181024E-2</v>
      </c>
      <c r="FE252" s="365">
        <v>4.6515961299460562E-2</v>
      </c>
      <c r="FF252" s="364">
        <v>0</v>
      </c>
      <c r="FG252" s="364">
        <v>0</v>
      </c>
      <c r="FH252" s="364">
        <v>0</v>
      </c>
      <c r="FI252" s="365">
        <v>0</v>
      </c>
      <c r="FJ252" s="365">
        <v>0</v>
      </c>
      <c r="FK252" s="365">
        <v>0</v>
      </c>
      <c r="FL252" s="365">
        <v>0</v>
      </c>
      <c r="FM252" s="365">
        <v>0</v>
      </c>
      <c r="FN252" s="365">
        <v>0</v>
      </c>
      <c r="FO252" s="365">
        <v>0</v>
      </c>
      <c r="FP252" s="365">
        <v>0</v>
      </c>
      <c r="FQ252" s="365">
        <v>0</v>
      </c>
      <c r="FR252" s="365">
        <v>0</v>
      </c>
      <c r="FS252" s="365">
        <v>0</v>
      </c>
      <c r="FT252" s="365">
        <v>0</v>
      </c>
      <c r="FU252" s="436">
        <v>0</v>
      </c>
      <c r="FV252" s="436">
        <v>0</v>
      </c>
      <c r="FW252" s="436">
        <v>0</v>
      </c>
      <c r="FX252" s="436">
        <v>0</v>
      </c>
      <c r="FY252" s="365">
        <v>0</v>
      </c>
      <c r="FZ252" s="436">
        <v>0</v>
      </c>
      <c r="GA252" s="436">
        <v>0</v>
      </c>
      <c r="GB252" s="436">
        <v>0</v>
      </c>
      <c r="GC252" s="436">
        <v>0</v>
      </c>
      <c r="GD252" s="365">
        <v>0</v>
      </c>
    </row>
    <row r="253" spans="1:186" ht="15" x14ac:dyDescent="0.25">
      <c r="A253" s="357">
        <v>106</v>
      </c>
      <c r="B253" s="357">
        <v>96</v>
      </c>
      <c r="C253" s="357" t="s">
        <v>1163</v>
      </c>
      <c r="D253" s="2">
        <v>99709</v>
      </c>
      <c r="E253" s="268" t="s">
        <v>1527</v>
      </c>
      <c r="F253" s="358" t="s">
        <v>985</v>
      </c>
      <c r="G253" s="49">
        <v>295</v>
      </c>
      <c r="H253" s="49">
        <v>186</v>
      </c>
      <c r="I253" s="49">
        <v>169</v>
      </c>
      <c r="J253" s="49">
        <v>17</v>
      </c>
      <c r="K253" s="49">
        <v>6</v>
      </c>
      <c r="L253" s="49">
        <v>72</v>
      </c>
      <c r="M253" s="49">
        <v>78</v>
      </c>
      <c r="N253" s="49">
        <v>0</v>
      </c>
      <c r="O253" s="49">
        <v>0</v>
      </c>
      <c r="P253" s="49">
        <v>0</v>
      </c>
      <c r="Q253" s="49">
        <v>78</v>
      </c>
      <c r="R253" s="49">
        <v>5043.666666666667</v>
      </c>
      <c r="S253" s="49">
        <v>1138.4166666666667</v>
      </c>
      <c r="T253" s="49">
        <v>1438.8205128205129</v>
      </c>
      <c r="U253" s="49">
        <v>0</v>
      </c>
      <c r="V253" s="49">
        <v>0</v>
      </c>
      <c r="W253" s="49">
        <v>0</v>
      </c>
      <c r="X253" s="49">
        <v>1438.8205128205129</v>
      </c>
      <c r="Y253" s="434">
        <v>112228.00000000001</v>
      </c>
      <c r="Z253" s="434">
        <v>0</v>
      </c>
      <c r="AA253" s="49">
        <v>14.307692307692308</v>
      </c>
      <c r="AB253" s="49">
        <v>171.69230769230768</v>
      </c>
      <c r="AC253" s="49">
        <v>0</v>
      </c>
      <c r="AD253" s="285">
        <v>0</v>
      </c>
      <c r="AE253" s="285">
        <v>0</v>
      </c>
      <c r="AF253" s="359">
        <v>186</v>
      </c>
      <c r="AG253" s="360">
        <v>13</v>
      </c>
      <c r="AH253" s="360">
        <v>155.99999999999997</v>
      </c>
      <c r="AI253" s="361">
        <v>168.99999999999997</v>
      </c>
      <c r="AJ253" s="360">
        <v>0</v>
      </c>
      <c r="AK253" s="360">
        <v>13.623189343956886</v>
      </c>
      <c r="AL253" s="360">
        <v>163.47827212748263</v>
      </c>
      <c r="AM253" s="360">
        <v>177.10146147143951</v>
      </c>
      <c r="AN253" s="360">
        <v>0</v>
      </c>
      <c r="AO253" s="360">
        <v>12.401410175673693</v>
      </c>
      <c r="AP253" s="360">
        <v>148.81692210808427</v>
      </c>
      <c r="AQ253" s="360">
        <v>161.21833228375797</v>
      </c>
      <c r="AR253" s="360">
        <v>0</v>
      </c>
      <c r="AS253" s="360">
        <v>0</v>
      </c>
      <c r="AT253" s="360">
        <v>0</v>
      </c>
      <c r="AU253" s="360">
        <v>168.62864330817084</v>
      </c>
      <c r="AV253" s="360">
        <v>172.81313369018901</v>
      </c>
      <c r="AW253" s="360">
        <v>177.10146147143951</v>
      </c>
      <c r="AX253" s="360">
        <v>181.49620335887951</v>
      </c>
      <c r="AY253" s="360">
        <v>186</v>
      </c>
      <c r="AZ253" s="360">
        <v>153.79497434530296</v>
      </c>
      <c r="BA253" s="360">
        <v>157.46291397523763</v>
      </c>
      <c r="BB253" s="360">
        <v>161.21833228375797</v>
      </c>
      <c r="BC253" s="360">
        <v>165.06331559724313</v>
      </c>
      <c r="BD253" s="360">
        <v>168.99999999999997</v>
      </c>
      <c r="BE253" s="360">
        <v>0</v>
      </c>
      <c r="BF253" s="360">
        <v>0</v>
      </c>
      <c r="BG253" s="360">
        <v>0</v>
      </c>
      <c r="BH253" s="360">
        <v>0</v>
      </c>
      <c r="BI253" s="360">
        <v>0</v>
      </c>
      <c r="BJ253" s="362">
        <v>187.76343140038284</v>
      </c>
      <c r="BK253" s="362">
        <v>189.54358156584019</v>
      </c>
      <c r="BL253" s="362">
        <v>191.34060900387368</v>
      </c>
      <c r="BM253" s="363">
        <v>190.08262844944338</v>
      </c>
      <c r="BN253" s="363">
        <v>188.83291856522553</v>
      </c>
      <c r="BO253" s="363">
        <v>188.22991393497009</v>
      </c>
      <c r="BP253" s="363">
        <v>187.62883489367908</v>
      </c>
      <c r="BQ253" s="363">
        <v>187.02967529232365</v>
      </c>
      <c r="BR253" s="363">
        <v>186.43242900151083</v>
      </c>
      <c r="BS253" s="363">
        <v>185.83708991142072</v>
      </c>
      <c r="BT253" s="363">
        <v>187.21172088738922</v>
      </c>
      <c r="BU253" s="363">
        <v>188.59651996446709</v>
      </c>
      <c r="BV253" s="363">
        <v>189.99156235577115</v>
      </c>
      <c r="BW253" s="363">
        <v>191.39692383076729</v>
      </c>
      <c r="BX253" s="363">
        <v>192.81268071938544</v>
      </c>
      <c r="BY253" s="435">
        <v>193.58987332861531</v>
      </c>
      <c r="BZ253" s="435">
        <v>194.36706593784521</v>
      </c>
      <c r="CA253" s="435">
        <v>195.14425854707508</v>
      </c>
      <c r="CB253" s="435">
        <v>195.92145115630498</v>
      </c>
      <c r="CC253" s="363">
        <v>196.69864376553485</v>
      </c>
      <c r="CD253" s="435">
        <v>197.33571199300209</v>
      </c>
      <c r="CE253" s="435">
        <v>197.97278022046936</v>
      </c>
      <c r="CF253" s="435">
        <v>198.6098484479366</v>
      </c>
      <c r="CG253" s="435">
        <v>199.24691667540387</v>
      </c>
      <c r="CH253" s="363">
        <v>199.88398490287111</v>
      </c>
      <c r="CI253" s="362">
        <v>170.60225756271342</v>
      </c>
      <c r="CJ253" s="362">
        <v>172.21970583132787</v>
      </c>
      <c r="CK253" s="362">
        <v>173.85248882610026</v>
      </c>
      <c r="CL253" s="363">
        <v>172.70948498901035</v>
      </c>
      <c r="CM253" s="363">
        <v>171.57399590066188</v>
      </c>
      <c r="CN253" s="363">
        <v>171.02610459682765</v>
      </c>
      <c r="CO253" s="363">
        <v>170.47996288726753</v>
      </c>
      <c r="CP253" s="363">
        <v>169.93556518496072</v>
      </c>
      <c r="CQ253" s="363">
        <v>169.39290592072754</v>
      </c>
      <c r="CR253" s="363">
        <v>168.85197954317255</v>
      </c>
      <c r="CS253" s="363">
        <v>170.1009722041332</v>
      </c>
      <c r="CT253" s="363">
        <v>171.35920362362867</v>
      </c>
      <c r="CU253" s="363">
        <v>172.6267421404587</v>
      </c>
      <c r="CV253" s="363">
        <v>173.90365659892294</v>
      </c>
      <c r="CW253" s="363">
        <v>175.19001635255987</v>
      </c>
      <c r="CX253" s="435">
        <v>175.89617522868809</v>
      </c>
      <c r="CY253" s="435">
        <v>176.60233410481632</v>
      </c>
      <c r="CZ253" s="435">
        <v>177.30849298094455</v>
      </c>
      <c r="DA253" s="435">
        <v>178.01465185707278</v>
      </c>
      <c r="DB253" s="363">
        <v>178.72081073320101</v>
      </c>
      <c r="DC253" s="435">
        <v>179.29965229471694</v>
      </c>
      <c r="DD253" s="435">
        <v>179.87849385623289</v>
      </c>
      <c r="DE253" s="435">
        <v>180.45733541774882</v>
      </c>
      <c r="DF253" s="435">
        <v>181.03617697926478</v>
      </c>
      <c r="DG253" s="363">
        <v>181.61501854078071</v>
      </c>
      <c r="DH253" s="362">
        <v>0</v>
      </c>
      <c r="DI253" s="362">
        <v>0</v>
      </c>
      <c r="DJ253" s="362">
        <v>0</v>
      </c>
      <c r="DK253" s="363">
        <v>0</v>
      </c>
      <c r="DL253" s="363">
        <v>0</v>
      </c>
      <c r="DM253" s="363">
        <v>0</v>
      </c>
      <c r="DN253" s="363">
        <v>0</v>
      </c>
      <c r="DO253" s="363">
        <v>0</v>
      </c>
      <c r="DP253" s="363">
        <v>0</v>
      </c>
      <c r="DQ253" s="363">
        <v>0</v>
      </c>
      <c r="DR253" s="363">
        <v>0</v>
      </c>
      <c r="DS253" s="363">
        <v>0</v>
      </c>
      <c r="DT253" s="363">
        <v>0</v>
      </c>
      <c r="DU253" s="363">
        <v>0</v>
      </c>
      <c r="DV253" s="363">
        <v>0</v>
      </c>
      <c r="DW253" s="435">
        <v>0</v>
      </c>
      <c r="DX253" s="435">
        <v>0</v>
      </c>
      <c r="DY253" s="435">
        <v>0</v>
      </c>
      <c r="DZ253" s="435">
        <v>0</v>
      </c>
      <c r="EA253" s="363">
        <v>0</v>
      </c>
      <c r="EB253" s="435">
        <v>0</v>
      </c>
      <c r="EC253" s="435">
        <v>0</v>
      </c>
      <c r="ED253" s="435">
        <v>0</v>
      </c>
      <c r="EE253" s="435">
        <v>0</v>
      </c>
      <c r="EF253" s="363">
        <v>0</v>
      </c>
      <c r="EG253" s="364">
        <v>0</v>
      </c>
      <c r="EH253" s="364">
        <v>0</v>
      </c>
      <c r="EI253" s="364">
        <v>0</v>
      </c>
      <c r="EJ253" s="365">
        <v>0</v>
      </c>
      <c r="EK253" s="365">
        <v>0</v>
      </c>
      <c r="EL253" s="365">
        <v>0</v>
      </c>
      <c r="EM253" s="365">
        <v>0</v>
      </c>
      <c r="EN253" s="365">
        <v>0</v>
      </c>
      <c r="EO253" s="365">
        <v>0</v>
      </c>
      <c r="EP253" s="365">
        <v>0</v>
      </c>
      <c r="EQ253" s="365">
        <v>0</v>
      </c>
      <c r="ER253" s="365">
        <v>0</v>
      </c>
      <c r="ES253" s="365">
        <v>0</v>
      </c>
      <c r="ET253" s="365">
        <v>0</v>
      </c>
      <c r="EU253" s="365">
        <v>0</v>
      </c>
      <c r="EV253" s="436">
        <v>0</v>
      </c>
      <c r="EW253" s="436">
        <v>0</v>
      </c>
      <c r="EX253" s="436">
        <v>0</v>
      </c>
      <c r="EY253" s="436">
        <v>0</v>
      </c>
      <c r="EZ253" s="365">
        <v>0</v>
      </c>
      <c r="FA253" s="436">
        <v>0</v>
      </c>
      <c r="FB253" s="436">
        <v>0</v>
      </c>
      <c r="FC253" s="436">
        <v>0</v>
      </c>
      <c r="FD253" s="436">
        <v>0</v>
      </c>
      <c r="FE253" s="365">
        <v>0</v>
      </c>
      <c r="FF253" s="364">
        <v>0</v>
      </c>
      <c r="FG253" s="364">
        <v>0</v>
      </c>
      <c r="FH253" s="364">
        <v>0</v>
      </c>
      <c r="FI253" s="365">
        <v>0</v>
      </c>
      <c r="FJ253" s="365">
        <v>0</v>
      </c>
      <c r="FK253" s="365">
        <v>0</v>
      </c>
      <c r="FL253" s="365">
        <v>0</v>
      </c>
      <c r="FM253" s="365">
        <v>0</v>
      </c>
      <c r="FN253" s="365">
        <v>0</v>
      </c>
      <c r="FO253" s="365">
        <v>0</v>
      </c>
      <c r="FP253" s="365">
        <v>0</v>
      </c>
      <c r="FQ253" s="365">
        <v>0</v>
      </c>
      <c r="FR253" s="365">
        <v>0</v>
      </c>
      <c r="FS253" s="365">
        <v>0</v>
      </c>
      <c r="FT253" s="365">
        <v>0</v>
      </c>
      <c r="FU253" s="436">
        <v>0</v>
      </c>
      <c r="FV253" s="436">
        <v>0</v>
      </c>
      <c r="FW253" s="436">
        <v>0</v>
      </c>
      <c r="FX253" s="436">
        <v>0</v>
      </c>
      <c r="FY253" s="365">
        <v>0</v>
      </c>
      <c r="FZ253" s="436">
        <v>0</v>
      </c>
      <c r="GA253" s="436">
        <v>0</v>
      </c>
      <c r="GB253" s="436">
        <v>0</v>
      </c>
      <c r="GC253" s="436">
        <v>0</v>
      </c>
      <c r="GD253" s="365">
        <v>0</v>
      </c>
    </row>
    <row r="254" spans="1:186" ht="15" x14ac:dyDescent="0.25">
      <c r="A254" s="357">
        <v>107</v>
      </c>
      <c r="B254" s="357">
        <v>96</v>
      </c>
      <c r="C254" s="357" t="s">
        <v>1164</v>
      </c>
      <c r="D254" s="2">
        <v>99709</v>
      </c>
      <c r="E254" s="268" t="s">
        <v>1527</v>
      </c>
      <c r="F254" s="358" t="s">
        <v>985</v>
      </c>
      <c r="G254" s="49">
        <v>234</v>
      </c>
      <c r="H254" s="49">
        <v>105</v>
      </c>
      <c r="I254" s="49">
        <v>99</v>
      </c>
      <c r="J254" s="49">
        <v>6</v>
      </c>
      <c r="K254" s="49">
        <v>1</v>
      </c>
      <c r="L254" s="49">
        <v>92</v>
      </c>
      <c r="M254" s="49">
        <v>93</v>
      </c>
      <c r="N254" s="49">
        <v>10</v>
      </c>
      <c r="O254" s="49">
        <v>0</v>
      </c>
      <c r="P254" s="49">
        <v>0</v>
      </c>
      <c r="Q254" s="49">
        <v>103</v>
      </c>
      <c r="R254" s="49">
        <v>4272</v>
      </c>
      <c r="S254" s="49">
        <v>2161.413043478261</v>
      </c>
      <c r="T254" s="49">
        <v>2184.1075268817203</v>
      </c>
      <c r="U254" s="49">
        <v>4861.3</v>
      </c>
      <c r="V254" s="49">
        <v>0</v>
      </c>
      <c r="W254" s="49">
        <v>0</v>
      </c>
      <c r="X254" s="49">
        <v>2444.029126213592</v>
      </c>
      <c r="Y254" s="434">
        <v>203122</v>
      </c>
      <c r="Z254" s="434">
        <v>48613</v>
      </c>
      <c r="AA254" s="49">
        <v>1.1290322580645162</v>
      </c>
      <c r="AB254" s="49">
        <v>103.87096774193549</v>
      </c>
      <c r="AC254" s="49">
        <v>0</v>
      </c>
      <c r="AD254" s="285">
        <v>10</v>
      </c>
      <c r="AE254" s="285">
        <v>0</v>
      </c>
      <c r="AF254" s="359">
        <v>115</v>
      </c>
      <c r="AG254" s="360">
        <v>1.0645161290322582</v>
      </c>
      <c r="AH254" s="360">
        <v>97.935483870967744</v>
      </c>
      <c r="AI254" s="361">
        <v>99</v>
      </c>
      <c r="AJ254" s="360">
        <v>0</v>
      </c>
      <c r="AK254" s="360">
        <v>1.0750175427506736</v>
      </c>
      <c r="AL254" s="360">
        <v>98.901613933061967</v>
      </c>
      <c r="AM254" s="360">
        <v>99.976631475812638</v>
      </c>
      <c r="AN254" s="360">
        <v>0</v>
      </c>
      <c r="AO254" s="360">
        <v>1.0155000888268781</v>
      </c>
      <c r="AP254" s="360">
        <v>93.426008172072784</v>
      </c>
      <c r="AQ254" s="360">
        <v>94.441508260899667</v>
      </c>
      <c r="AR254" s="360">
        <v>0</v>
      </c>
      <c r="AS254" s="360">
        <v>9.5966573850124082</v>
      </c>
      <c r="AT254" s="360">
        <v>0</v>
      </c>
      <c r="AU254" s="360">
        <v>95.193588964289987</v>
      </c>
      <c r="AV254" s="360">
        <v>97.555801276719592</v>
      </c>
      <c r="AW254" s="360">
        <v>99.976631475812638</v>
      </c>
      <c r="AX254" s="360">
        <v>102.45753415420619</v>
      </c>
      <c r="AY254" s="360">
        <v>105</v>
      </c>
      <c r="AZ254" s="360">
        <v>90.092913965591691</v>
      </c>
      <c r="BA254" s="360">
        <v>92.241588660050468</v>
      </c>
      <c r="BB254" s="360">
        <v>94.441508260899653</v>
      </c>
      <c r="BC254" s="360">
        <v>96.693894935663153</v>
      </c>
      <c r="BD254" s="360">
        <v>99</v>
      </c>
      <c r="BE254" s="360">
        <v>9.2095832965313207</v>
      </c>
      <c r="BF254" s="360">
        <v>9.4011284192667119</v>
      </c>
      <c r="BG254" s="360">
        <v>9.5966573850124082</v>
      </c>
      <c r="BH254" s="360">
        <v>9.7962530515561959</v>
      </c>
      <c r="BI254" s="360">
        <v>10</v>
      </c>
      <c r="BJ254" s="362">
        <v>105.99548546795805</v>
      </c>
      <c r="BK254" s="362">
        <v>107.00040894845817</v>
      </c>
      <c r="BL254" s="362">
        <v>108.01485992154159</v>
      </c>
      <c r="BM254" s="363">
        <v>107.30470960855673</v>
      </c>
      <c r="BN254" s="363">
        <v>106.59922822230473</v>
      </c>
      <c r="BO254" s="363">
        <v>106.2588223826444</v>
      </c>
      <c r="BP254" s="363">
        <v>105.91950356901238</v>
      </c>
      <c r="BQ254" s="363">
        <v>105.58126831018271</v>
      </c>
      <c r="BR254" s="363">
        <v>105.24411314601416</v>
      </c>
      <c r="BS254" s="363">
        <v>104.90803462741491</v>
      </c>
      <c r="BT254" s="363">
        <v>105.68403598481649</v>
      </c>
      <c r="BU254" s="363">
        <v>106.46577739929593</v>
      </c>
      <c r="BV254" s="363">
        <v>107.25330132987081</v>
      </c>
      <c r="BW254" s="363">
        <v>108.04665054962669</v>
      </c>
      <c r="BX254" s="363">
        <v>108.84586814804017</v>
      </c>
      <c r="BY254" s="435">
        <v>109.2846059113151</v>
      </c>
      <c r="BZ254" s="435">
        <v>109.72334367459003</v>
      </c>
      <c r="CA254" s="435">
        <v>110.16208143786497</v>
      </c>
      <c r="CB254" s="435">
        <v>110.6008192011399</v>
      </c>
      <c r="CC254" s="363">
        <v>111.03955696441483</v>
      </c>
      <c r="CD254" s="435">
        <v>111.39919225411408</v>
      </c>
      <c r="CE254" s="435">
        <v>111.75882754381334</v>
      </c>
      <c r="CF254" s="435">
        <v>112.1184628335126</v>
      </c>
      <c r="CG254" s="435">
        <v>112.47809812321185</v>
      </c>
      <c r="CH254" s="363">
        <v>112.83773341291111</v>
      </c>
      <c r="CI254" s="362">
        <v>99.938600584074734</v>
      </c>
      <c r="CJ254" s="362">
        <v>100.88609986568913</v>
      </c>
      <c r="CK254" s="362">
        <v>101.84258221173921</v>
      </c>
      <c r="CL254" s="363">
        <v>101.17301191663921</v>
      </c>
      <c r="CM254" s="363">
        <v>100.50784375245875</v>
      </c>
      <c r="CN254" s="363">
        <v>100.18688967506472</v>
      </c>
      <c r="CO254" s="363">
        <v>99.866960507925967</v>
      </c>
      <c r="CP254" s="363">
        <v>99.548052978172265</v>
      </c>
      <c r="CQ254" s="363">
        <v>99.230163823384785</v>
      </c>
      <c r="CR254" s="363">
        <v>98.913289791562633</v>
      </c>
      <c r="CS254" s="363">
        <v>99.64494821425555</v>
      </c>
      <c r="CT254" s="363">
        <v>100.38201869076474</v>
      </c>
      <c r="CU254" s="363">
        <v>101.12454125387819</v>
      </c>
      <c r="CV254" s="363">
        <v>101.87255623250516</v>
      </c>
      <c r="CW254" s="363">
        <v>102.62610425386644</v>
      </c>
      <c r="CX254" s="435">
        <v>103.03977128781138</v>
      </c>
      <c r="CY254" s="435">
        <v>103.45343832175632</v>
      </c>
      <c r="CZ254" s="435">
        <v>103.86710535570126</v>
      </c>
      <c r="DA254" s="435">
        <v>104.2807723896462</v>
      </c>
      <c r="DB254" s="363">
        <v>104.69443942359113</v>
      </c>
      <c r="DC254" s="435">
        <v>105.03352412530758</v>
      </c>
      <c r="DD254" s="435">
        <v>105.37260882702401</v>
      </c>
      <c r="DE254" s="435">
        <v>105.71169352874045</v>
      </c>
      <c r="DF254" s="435">
        <v>106.05077823045688</v>
      </c>
      <c r="DG254" s="363">
        <v>106.38986293217333</v>
      </c>
      <c r="DH254" s="362">
        <v>10.094808139805529</v>
      </c>
      <c r="DI254" s="362">
        <v>10.190515137948397</v>
      </c>
      <c r="DJ254" s="362">
        <v>10.287129516337295</v>
      </c>
      <c r="DK254" s="363">
        <v>10.21949615319588</v>
      </c>
      <c r="DL254" s="363">
        <v>10.152307449743308</v>
      </c>
      <c r="DM254" s="363">
        <v>10.119887845966135</v>
      </c>
      <c r="DN254" s="363">
        <v>10.087571768477371</v>
      </c>
      <c r="DO254" s="363">
        <v>10.055358886684068</v>
      </c>
      <c r="DP254" s="363">
        <v>10.023248871048969</v>
      </c>
      <c r="DQ254" s="363">
        <v>9.9912413930871349</v>
      </c>
      <c r="DR254" s="363">
        <v>10.065146284268238</v>
      </c>
      <c r="DS254" s="363">
        <v>10.139597847551993</v>
      </c>
      <c r="DT254" s="363">
        <v>10.214600126654362</v>
      </c>
      <c r="DU254" s="363">
        <v>10.290157195202543</v>
      </c>
      <c r="DV254" s="363">
        <v>10.366273156956208</v>
      </c>
      <c r="DW254" s="435">
        <v>10.408057705839534</v>
      </c>
      <c r="DX254" s="435">
        <v>10.449842254722862</v>
      </c>
      <c r="DY254" s="435">
        <v>10.491626803606188</v>
      </c>
      <c r="DZ254" s="435">
        <v>10.533411352489516</v>
      </c>
      <c r="EA254" s="363">
        <v>10.575195901372842</v>
      </c>
      <c r="EB254" s="435">
        <v>10.6094468813442</v>
      </c>
      <c r="EC254" s="435">
        <v>10.643697861315557</v>
      </c>
      <c r="ED254" s="435">
        <v>10.677948841286915</v>
      </c>
      <c r="EE254" s="435">
        <v>10.712199821258272</v>
      </c>
      <c r="EF254" s="363">
        <v>10.74645080122963</v>
      </c>
      <c r="EG254" s="364">
        <v>0</v>
      </c>
      <c r="EH254" s="364">
        <v>0</v>
      </c>
      <c r="EI254" s="364">
        <v>0</v>
      </c>
      <c r="EJ254" s="365">
        <v>0</v>
      </c>
      <c r="EK254" s="365">
        <v>0</v>
      </c>
      <c r="EL254" s="365">
        <v>0</v>
      </c>
      <c r="EM254" s="365">
        <v>0</v>
      </c>
      <c r="EN254" s="365">
        <v>0</v>
      </c>
      <c r="EO254" s="365">
        <v>0</v>
      </c>
      <c r="EP254" s="365">
        <v>0</v>
      </c>
      <c r="EQ254" s="365">
        <v>0</v>
      </c>
      <c r="ER254" s="365">
        <v>0</v>
      </c>
      <c r="ES254" s="365">
        <v>0</v>
      </c>
      <c r="ET254" s="365">
        <v>0</v>
      </c>
      <c r="EU254" s="365">
        <v>0</v>
      </c>
      <c r="EV254" s="436">
        <v>0</v>
      </c>
      <c r="EW254" s="436">
        <v>0</v>
      </c>
      <c r="EX254" s="436">
        <v>0</v>
      </c>
      <c r="EY254" s="436">
        <v>0</v>
      </c>
      <c r="EZ254" s="365">
        <v>0</v>
      </c>
      <c r="FA254" s="436">
        <v>0</v>
      </c>
      <c r="FB254" s="436">
        <v>0</v>
      </c>
      <c r="FC254" s="436">
        <v>0</v>
      </c>
      <c r="FD254" s="436">
        <v>0</v>
      </c>
      <c r="FE254" s="365">
        <v>0</v>
      </c>
      <c r="FF254" s="364">
        <v>0</v>
      </c>
      <c r="FG254" s="364">
        <v>0</v>
      </c>
      <c r="FH254" s="364">
        <v>0</v>
      </c>
      <c r="FI254" s="365">
        <v>0</v>
      </c>
      <c r="FJ254" s="365">
        <v>0</v>
      </c>
      <c r="FK254" s="365">
        <v>0</v>
      </c>
      <c r="FL254" s="365">
        <v>0</v>
      </c>
      <c r="FM254" s="365">
        <v>0</v>
      </c>
      <c r="FN254" s="365">
        <v>0</v>
      </c>
      <c r="FO254" s="365">
        <v>0</v>
      </c>
      <c r="FP254" s="365">
        <v>0</v>
      </c>
      <c r="FQ254" s="365">
        <v>0</v>
      </c>
      <c r="FR254" s="365">
        <v>0</v>
      </c>
      <c r="FS254" s="365">
        <v>0</v>
      </c>
      <c r="FT254" s="365">
        <v>0</v>
      </c>
      <c r="FU254" s="436">
        <v>0</v>
      </c>
      <c r="FV254" s="436">
        <v>0</v>
      </c>
      <c r="FW254" s="436">
        <v>0</v>
      </c>
      <c r="FX254" s="436">
        <v>0</v>
      </c>
      <c r="FY254" s="365">
        <v>0</v>
      </c>
      <c r="FZ254" s="436">
        <v>0</v>
      </c>
      <c r="GA254" s="436">
        <v>0</v>
      </c>
      <c r="GB254" s="436">
        <v>0</v>
      </c>
      <c r="GC254" s="436">
        <v>0</v>
      </c>
      <c r="GD254" s="365">
        <v>0</v>
      </c>
    </row>
    <row r="255" spans="1:186" ht="15" x14ac:dyDescent="0.25">
      <c r="A255" s="357">
        <v>108</v>
      </c>
      <c r="B255" s="357">
        <v>96</v>
      </c>
      <c r="C255" s="357" t="s">
        <v>1165</v>
      </c>
      <c r="D255" s="2">
        <v>99709</v>
      </c>
      <c r="E255" s="268" t="s">
        <v>1527</v>
      </c>
      <c r="F255" s="358" t="s">
        <v>985</v>
      </c>
      <c r="G255" s="49">
        <v>613</v>
      </c>
      <c r="H255" s="49">
        <v>246</v>
      </c>
      <c r="I255" s="49">
        <v>235</v>
      </c>
      <c r="J255" s="49">
        <v>11</v>
      </c>
      <c r="K255" s="49">
        <v>6</v>
      </c>
      <c r="L255" s="49">
        <v>166</v>
      </c>
      <c r="M255" s="49">
        <v>172</v>
      </c>
      <c r="N255" s="49">
        <v>14</v>
      </c>
      <c r="O255" s="49">
        <v>0</v>
      </c>
      <c r="P255" s="49">
        <v>0</v>
      </c>
      <c r="Q255" s="49">
        <v>186</v>
      </c>
      <c r="R255" s="49">
        <v>4640.5</v>
      </c>
      <c r="S255" s="49">
        <v>2312.2831325301204</v>
      </c>
      <c r="T255" s="49">
        <v>2393.5</v>
      </c>
      <c r="U255" s="49">
        <v>4804.2857142857147</v>
      </c>
      <c r="V255" s="49">
        <v>0</v>
      </c>
      <c r="W255" s="49">
        <v>0</v>
      </c>
      <c r="X255" s="49">
        <v>2574.9569892473119</v>
      </c>
      <c r="Y255" s="434">
        <v>411682</v>
      </c>
      <c r="Z255" s="434">
        <v>67260</v>
      </c>
      <c r="AA255" s="49">
        <v>8.5813953488372086</v>
      </c>
      <c r="AB255" s="49">
        <v>237.41860465116278</v>
      </c>
      <c r="AC255" s="49">
        <v>0</v>
      </c>
      <c r="AD255" s="285">
        <v>14</v>
      </c>
      <c r="AE255" s="285">
        <v>0</v>
      </c>
      <c r="AF255" s="359">
        <v>260</v>
      </c>
      <c r="AG255" s="360">
        <v>8.1976744186046506</v>
      </c>
      <c r="AH255" s="360">
        <v>226.80232558139534</v>
      </c>
      <c r="AI255" s="361">
        <v>235</v>
      </c>
      <c r="AJ255" s="360">
        <v>0</v>
      </c>
      <c r="AK255" s="360">
        <v>8.1708476222757156</v>
      </c>
      <c r="AL255" s="360">
        <v>226.06011754962816</v>
      </c>
      <c r="AM255" s="360">
        <v>234.23096517190388</v>
      </c>
      <c r="AN255" s="360">
        <v>0</v>
      </c>
      <c r="AO255" s="360">
        <v>7.820209457826433</v>
      </c>
      <c r="AP255" s="360">
        <v>216.35912833319799</v>
      </c>
      <c r="AQ255" s="360">
        <v>224.17933779102441</v>
      </c>
      <c r="AR255" s="360">
        <v>0</v>
      </c>
      <c r="AS255" s="360">
        <v>13.435320339017371</v>
      </c>
      <c r="AT255" s="360">
        <v>0</v>
      </c>
      <c r="AU255" s="360">
        <v>223.02497985919368</v>
      </c>
      <c r="AV255" s="360">
        <v>228.55930584831447</v>
      </c>
      <c r="AW255" s="360">
        <v>234.23096517190388</v>
      </c>
      <c r="AX255" s="360">
        <v>240.04336573271164</v>
      </c>
      <c r="AY255" s="360">
        <v>246</v>
      </c>
      <c r="AZ255" s="360">
        <v>213.85691698903076</v>
      </c>
      <c r="BA255" s="360">
        <v>218.95730641527132</v>
      </c>
      <c r="BB255" s="360">
        <v>224.17933779102444</v>
      </c>
      <c r="BC255" s="360">
        <v>229.52591222101861</v>
      </c>
      <c r="BD255" s="360">
        <v>235</v>
      </c>
      <c r="BE255" s="360">
        <v>12.893416615143849</v>
      </c>
      <c r="BF255" s="360">
        <v>13.161579786973396</v>
      </c>
      <c r="BG255" s="360">
        <v>13.435320339017371</v>
      </c>
      <c r="BH255" s="360">
        <v>13.714754272178675</v>
      </c>
      <c r="BI255" s="360">
        <v>14</v>
      </c>
      <c r="BJ255" s="362">
        <v>248.332280239216</v>
      </c>
      <c r="BK255" s="362">
        <v>250.68667239353056</v>
      </c>
      <c r="BL255" s="362">
        <v>253.06338610189744</v>
      </c>
      <c r="BM255" s="363">
        <v>251.39960536861864</v>
      </c>
      <c r="BN255" s="363">
        <v>249.74676326368538</v>
      </c>
      <c r="BO255" s="363">
        <v>248.94924101076688</v>
      </c>
      <c r="BP255" s="363">
        <v>248.1542655045433</v>
      </c>
      <c r="BQ255" s="363">
        <v>247.36182861242804</v>
      </c>
      <c r="BR255" s="363">
        <v>246.57192222780461</v>
      </c>
      <c r="BS255" s="363">
        <v>245.78453826994351</v>
      </c>
      <c r="BT255" s="363">
        <v>247.60259859299862</v>
      </c>
      <c r="BU255" s="363">
        <v>249.43410704977904</v>
      </c>
      <c r="BV255" s="363">
        <v>251.27916311569732</v>
      </c>
      <c r="BW255" s="363">
        <v>253.13786700198253</v>
      </c>
      <c r="BX255" s="363">
        <v>255.01031966112268</v>
      </c>
      <c r="BY255" s="435">
        <v>256.03821956365255</v>
      </c>
      <c r="BZ255" s="435">
        <v>257.06611946618239</v>
      </c>
      <c r="CA255" s="435">
        <v>258.09401936871222</v>
      </c>
      <c r="CB255" s="435">
        <v>259.12191927124206</v>
      </c>
      <c r="CC255" s="363">
        <v>260.1498191737719</v>
      </c>
      <c r="CD255" s="435">
        <v>260.99239328106728</v>
      </c>
      <c r="CE255" s="435">
        <v>261.83496738836271</v>
      </c>
      <c r="CF255" s="435">
        <v>262.67754149565809</v>
      </c>
      <c r="CG255" s="435">
        <v>263.52011560295352</v>
      </c>
      <c r="CH255" s="363">
        <v>264.3626897102489</v>
      </c>
      <c r="CI255" s="362">
        <v>237.22799128542994</v>
      </c>
      <c r="CJ255" s="362">
        <v>239.47710574178734</v>
      </c>
      <c r="CK255" s="362">
        <v>241.74754363392643</v>
      </c>
      <c r="CL255" s="363">
        <v>240.1581596001032</v>
      </c>
      <c r="CM255" s="363">
        <v>238.57922506896776</v>
      </c>
      <c r="CN255" s="363">
        <v>237.81736438020414</v>
      </c>
      <c r="CO255" s="363">
        <v>237.05793655921821</v>
      </c>
      <c r="CP255" s="363">
        <v>236.30093383707558</v>
      </c>
      <c r="CQ255" s="363">
        <v>235.54634846965075</v>
      </c>
      <c r="CR255" s="363">
        <v>234.79417273754768</v>
      </c>
      <c r="CS255" s="363">
        <v>236.53093768030357</v>
      </c>
      <c r="CT255" s="363">
        <v>238.28054941747186</v>
      </c>
      <c r="CU255" s="363">
        <v>240.04310297637753</v>
      </c>
      <c r="CV255" s="363">
        <v>241.81869408725976</v>
      </c>
      <c r="CW255" s="363">
        <v>243.60741918847089</v>
      </c>
      <c r="CX255" s="435">
        <v>244.58935608722908</v>
      </c>
      <c r="CY255" s="435">
        <v>245.57129298598724</v>
      </c>
      <c r="CZ255" s="435">
        <v>246.55322988474543</v>
      </c>
      <c r="DA255" s="435">
        <v>247.5351667835036</v>
      </c>
      <c r="DB255" s="363">
        <v>248.51710368226179</v>
      </c>
      <c r="DC255" s="435">
        <v>249.32200171158868</v>
      </c>
      <c r="DD255" s="435">
        <v>250.1268997409156</v>
      </c>
      <c r="DE255" s="435">
        <v>250.9317977702425</v>
      </c>
      <c r="DF255" s="435">
        <v>251.73669579956942</v>
      </c>
      <c r="DG255" s="363">
        <v>252.54159382889631</v>
      </c>
      <c r="DH255" s="362">
        <v>14.13273139572774</v>
      </c>
      <c r="DI255" s="362">
        <v>14.266721193127756</v>
      </c>
      <c r="DJ255" s="362">
        <v>14.401981322872212</v>
      </c>
      <c r="DK255" s="363">
        <v>14.307294614474232</v>
      </c>
      <c r="DL255" s="363">
        <v>14.213230429640632</v>
      </c>
      <c r="DM255" s="363">
        <v>14.167842984352587</v>
      </c>
      <c r="DN255" s="363">
        <v>14.122600475868317</v>
      </c>
      <c r="DO255" s="363">
        <v>14.077502441357694</v>
      </c>
      <c r="DP255" s="363">
        <v>14.032548419468554</v>
      </c>
      <c r="DQ255" s="363">
        <v>13.987737950321987</v>
      </c>
      <c r="DR255" s="363">
        <v>14.091204797975532</v>
      </c>
      <c r="DS255" s="363">
        <v>14.195436986572791</v>
      </c>
      <c r="DT255" s="363">
        <v>14.300440177316107</v>
      </c>
      <c r="DU255" s="363">
        <v>14.406220073283558</v>
      </c>
      <c r="DV255" s="363">
        <v>14.51278241973869</v>
      </c>
      <c r="DW255" s="435">
        <v>14.571280788175347</v>
      </c>
      <c r="DX255" s="435">
        <v>14.629779156612004</v>
      </c>
      <c r="DY255" s="435">
        <v>14.688277525048663</v>
      </c>
      <c r="DZ255" s="435">
        <v>14.746775893485321</v>
      </c>
      <c r="EA255" s="363">
        <v>14.805274261921978</v>
      </c>
      <c r="EB255" s="435">
        <v>14.853225633881879</v>
      </c>
      <c r="EC255" s="435">
        <v>14.901177005841779</v>
      </c>
      <c r="ED255" s="435">
        <v>14.94912837780168</v>
      </c>
      <c r="EE255" s="435">
        <v>14.99707974976158</v>
      </c>
      <c r="EF255" s="363">
        <v>15.045031121721481</v>
      </c>
      <c r="EG255" s="364">
        <v>0</v>
      </c>
      <c r="EH255" s="364">
        <v>0</v>
      </c>
      <c r="EI255" s="364">
        <v>0</v>
      </c>
      <c r="EJ255" s="365">
        <v>0</v>
      </c>
      <c r="EK255" s="365">
        <v>0</v>
      </c>
      <c r="EL255" s="365">
        <v>0</v>
      </c>
      <c r="EM255" s="365">
        <v>0</v>
      </c>
      <c r="EN255" s="365">
        <v>0</v>
      </c>
      <c r="EO255" s="365">
        <v>0</v>
      </c>
      <c r="EP255" s="365">
        <v>0</v>
      </c>
      <c r="EQ255" s="365">
        <v>0</v>
      </c>
      <c r="ER255" s="365">
        <v>0</v>
      </c>
      <c r="ES255" s="365">
        <v>0</v>
      </c>
      <c r="ET255" s="365">
        <v>0</v>
      </c>
      <c r="EU255" s="365">
        <v>0</v>
      </c>
      <c r="EV255" s="436">
        <v>0</v>
      </c>
      <c r="EW255" s="436">
        <v>0</v>
      </c>
      <c r="EX255" s="436">
        <v>0</v>
      </c>
      <c r="EY255" s="436">
        <v>0</v>
      </c>
      <c r="EZ255" s="365">
        <v>0</v>
      </c>
      <c r="FA255" s="436">
        <v>0</v>
      </c>
      <c r="FB255" s="436">
        <v>0</v>
      </c>
      <c r="FC255" s="436">
        <v>0</v>
      </c>
      <c r="FD255" s="436">
        <v>0</v>
      </c>
      <c r="FE255" s="365">
        <v>0</v>
      </c>
      <c r="FF255" s="364">
        <v>0</v>
      </c>
      <c r="FG255" s="364">
        <v>0</v>
      </c>
      <c r="FH255" s="364">
        <v>0</v>
      </c>
      <c r="FI255" s="365">
        <v>0</v>
      </c>
      <c r="FJ255" s="365">
        <v>0</v>
      </c>
      <c r="FK255" s="365">
        <v>0</v>
      </c>
      <c r="FL255" s="365">
        <v>0</v>
      </c>
      <c r="FM255" s="365">
        <v>0</v>
      </c>
      <c r="FN255" s="365">
        <v>0</v>
      </c>
      <c r="FO255" s="365">
        <v>0</v>
      </c>
      <c r="FP255" s="365">
        <v>0</v>
      </c>
      <c r="FQ255" s="365">
        <v>0</v>
      </c>
      <c r="FR255" s="365">
        <v>0</v>
      </c>
      <c r="FS255" s="365">
        <v>0</v>
      </c>
      <c r="FT255" s="365">
        <v>0</v>
      </c>
      <c r="FU255" s="436">
        <v>0</v>
      </c>
      <c r="FV255" s="436">
        <v>0</v>
      </c>
      <c r="FW255" s="436">
        <v>0</v>
      </c>
      <c r="FX255" s="436">
        <v>0</v>
      </c>
      <c r="FY255" s="365">
        <v>0</v>
      </c>
      <c r="FZ255" s="436">
        <v>0</v>
      </c>
      <c r="GA255" s="436">
        <v>0</v>
      </c>
      <c r="GB255" s="436">
        <v>0</v>
      </c>
      <c r="GC255" s="436">
        <v>0</v>
      </c>
      <c r="GD255" s="365">
        <v>0</v>
      </c>
    </row>
    <row r="256" spans="1:186" ht="15" x14ac:dyDescent="0.25">
      <c r="A256" s="357">
        <v>109</v>
      </c>
      <c r="B256" s="357">
        <v>96</v>
      </c>
      <c r="C256" s="357" t="s">
        <v>1166</v>
      </c>
      <c r="D256" s="2">
        <v>99712</v>
      </c>
      <c r="E256" s="268" t="s">
        <v>1527</v>
      </c>
      <c r="F256" s="358" t="s">
        <v>985</v>
      </c>
      <c r="G256" s="49">
        <v>483</v>
      </c>
      <c r="H256" s="49">
        <v>385</v>
      </c>
      <c r="I256" s="49">
        <v>272</v>
      </c>
      <c r="J256" s="49">
        <v>113</v>
      </c>
      <c r="K256" s="49">
        <v>2</v>
      </c>
      <c r="L256" s="49">
        <v>0</v>
      </c>
      <c r="M256" s="49">
        <v>2</v>
      </c>
      <c r="N256" s="49">
        <v>2</v>
      </c>
      <c r="O256" s="49">
        <v>0</v>
      </c>
      <c r="P256" s="49">
        <v>0</v>
      </c>
      <c r="Q256" s="49">
        <v>4</v>
      </c>
      <c r="R256" s="49">
        <v>259074</v>
      </c>
      <c r="S256" s="49">
        <v>0</v>
      </c>
      <c r="T256" s="366">
        <v>1345.8389610389611</v>
      </c>
      <c r="U256" s="49">
        <v>66760</v>
      </c>
      <c r="V256" s="49">
        <v>0</v>
      </c>
      <c r="W256" s="49">
        <v>0</v>
      </c>
      <c r="X256" s="366">
        <v>1683.8966408268734</v>
      </c>
      <c r="Y256" s="434">
        <v>2691.6779220779222</v>
      </c>
      <c r="Z256" s="434">
        <v>133520</v>
      </c>
      <c r="AA256" s="49">
        <v>385</v>
      </c>
      <c r="AB256" s="49">
        <v>0</v>
      </c>
      <c r="AC256" s="49">
        <v>0</v>
      </c>
      <c r="AD256" s="285">
        <v>2</v>
      </c>
      <c r="AE256" s="285">
        <v>0</v>
      </c>
      <c r="AF256" s="359">
        <v>387</v>
      </c>
      <c r="AG256" s="360">
        <v>272</v>
      </c>
      <c r="AH256" s="360">
        <v>0</v>
      </c>
      <c r="AI256" s="361">
        <v>272</v>
      </c>
      <c r="AJ256" s="360">
        <v>0</v>
      </c>
      <c r="AK256" s="360">
        <v>350.0089843811092</v>
      </c>
      <c r="AL256" s="360">
        <v>0</v>
      </c>
      <c r="AM256" s="360">
        <v>350.0089843811092</v>
      </c>
      <c r="AN256" s="360">
        <v>0</v>
      </c>
      <c r="AO256" s="360">
        <v>248.18751802551131</v>
      </c>
      <c r="AP256" s="360">
        <v>0</v>
      </c>
      <c r="AQ256" s="360">
        <v>248.18751802551131</v>
      </c>
      <c r="AR256" s="360">
        <v>0</v>
      </c>
      <c r="AS256" s="360">
        <v>1.8596827016276773</v>
      </c>
      <c r="AT256" s="360">
        <v>0</v>
      </c>
      <c r="AU256" s="360">
        <v>318.19815362985861</v>
      </c>
      <c r="AV256" s="360">
        <v>333.72475572532971</v>
      </c>
      <c r="AW256" s="360">
        <v>350.0089843811092</v>
      </c>
      <c r="AX256" s="360">
        <v>367.08780827851945</v>
      </c>
      <c r="AY256" s="360">
        <v>385</v>
      </c>
      <c r="AZ256" s="360">
        <v>226.45972096935111</v>
      </c>
      <c r="BA256" s="360">
        <v>237.07483223685531</v>
      </c>
      <c r="BB256" s="360">
        <v>248.18751802551131</v>
      </c>
      <c r="BC256" s="360">
        <v>259.82110172759081</v>
      </c>
      <c r="BD256" s="360">
        <v>272</v>
      </c>
      <c r="BE256" s="360">
        <v>1.7292098753666085</v>
      </c>
      <c r="BF256" s="360">
        <v>1.7932600739165065</v>
      </c>
      <c r="BG256" s="360">
        <v>1.8596827016276773</v>
      </c>
      <c r="BH256" s="360">
        <v>1.9285656336395076</v>
      </c>
      <c r="BI256" s="360">
        <v>2</v>
      </c>
      <c r="BJ256" s="362">
        <v>388.65011338251287</v>
      </c>
      <c r="BK256" s="362">
        <v>392.33483281101331</v>
      </c>
      <c r="BL256" s="362">
        <v>396.05448637898581</v>
      </c>
      <c r="BM256" s="363">
        <v>393.45060189804138</v>
      </c>
      <c r="BN256" s="363">
        <v>390.86383681511734</v>
      </c>
      <c r="BO256" s="363">
        <v>389.61568206969611</v>
      </c>
      <c r="BP256" s="363">
        <v>388.37151308637874</v>
      </c>
      <c r="BQ256" s="363">
        <v>387.13131713733657</v>
      </c>
      <c r="BR256" s="363">
        <v>385.89508153538526</v>
      </c>
      <c r="BS256" s="363">
        <v>384.66279363385468</v>
      </c>
      <c r="BT256" s="363">
        <v>387.50813194432709</v>
      </c>
      <c r="BU256" s="363">
        <v>390.37451713075171</v>
      </c>
      <c r="BV256" s="363">
        <v>393.26210487619295</v>
      </c>
      <c r="BW256" s="363">
        <v>396.17105201529785</v>
      </c>
      <c r="BX256" s="363">
        <v>399.10151654281395</v>
      </c>
      <c r="BY256" s="435">
        <v>400.71022167482204</v>
      </c>
      <c r="BZ256" s="435">
        <v>402.31892680683012</v>
      </c>
      <c r="CA256" s="435">
        <v>403.9276319388382</v>
      </c>
      <c r="CB256" s="435">
        <v>405.53633707084629</v>
      </c>
      <c r="CC256" s="363">
        <v>407.14504220285437</v>
      </c>
      <c r="CD256" s="435">
        <v>408.46370493175164</v>
      </c>
      <c r="CE256" s="435">
        <v>409.7823676606489</v>
      </c>
      <c r="CF256" s="435">
        <v>411.10103038954617</v>
      </c>
      <c r="CG256" s="435">
        <v>412.41969311844343</v>
      </c>
      <c r="CH256" s="363">
        <v>413.7383558473407</v>
      </c>
      <c r="CI256" s="362">
        <v>274.57878140271038</v>
      </c>
      <c r="CJ256" s="362">
        <v>277.18201175219639</v>
      </c>
      <c r="CK256" s="362">
        <v>279.8099228443744</v>
      </c>
      <c r="CL256" s="363">
        <v>277.97029536692793</v>
      </c>
      <c r="CM256" s="363">
        <v>276.14276263301798</v>
      </c>
      <c r="CN256" s="363">
        <v>275.26094941027884</v>
      </c>
      <c r="CO256" s="363">
        <v>274.38195210258448</v>
      </c>
      <c r="CP256" s="363">
        <v>273.50576171780665</v>
      </c>
      <c r="CQ256" s="363">
        <v>272.63236929253191</v>
      </c>
      <c r="CR256" s="363">
        <v>271.76176589197007</v>
      </c>
      <c r="CS256" s="363">
        <v>273.77197893209603</v>
      </c>
      <c r="CT256" s="363">
        <v>275.79706145341419</v>
      </c>
      <c r="CU256" s="363">
        <v>277.83712344499867</v>
      </c>
      <c r="CV256" s="363">
        <v>279.89227570950914</v>
      </c>
      <c r="CW256" s="363">
        <v>281.9626298692088</v>
      </c>
      <c r="CX256" s="435">
        <v>283.09916959883532</v>
      </c>
      <c r="CY256" s="435">
        <v>284.23570932846178</v>
      </c>
      <c r="CZ256" s="435">
        <v>285.3722490580883</v>
      </c>
      <c r="DA256" s="435">
        <v>286.50878878771476</v>
      </c>
      <c r="DB256" s="363">
        <v>287.64532851734128</v>
      </c>
      <c r="DC256" s="435">
        <v>288.57695517256224</v>
      </c>
      <c r="DD256" s="435">
        <v>289.50858182778313</v>
      </c>
      <c r="DE256" s="435">
        <v>290.44020848300408</v>
      </c>
      <c r="DF256" s="435">
        <v>291.37183513822498</v>
      </c>
      <c r="DG256" s="363">
        <v>292.30346179344593</v>
      </c>
      <c r="DH256" s="362">
        <v>2.0189616279611058</v>
      </c>
      <c r="DI256" s="362">
        <v>2.0381030275896794</v>
      </c>
      <c r="DJ256" s="362">
        <v>2.0574259032674589</v>
      </c>
      <c r="DK256" s="363">
        <v>2.0438992306391759</v>
      </c>
      <c r="DL256" s="363">
        <v>2.0304614899486615</v>
      </c>
      <c r="DM256" s="363">
        <v>2.0239775691932267</v>
      </c>
      <c r="DN256" s="363">
        <v>2.017514353695474</v>
      </c>
      <c r="DO256" s="363">
        <v>2.0110717773368134</v>
      </c>
      <c r="DP256" s="363">
        <v>2.0046497742097937</v>
      </c>
      <c r="DQ256" s="363">
        <v>1.9982482786174269</v>
      </c>
      <c r="DR256" s="363">
        <v>2.0130292568536472</v>
      </c>
      <c r="DS256" s="363">
        <v>2.0279195695103986</v>
      </c>
      <c r="DT256" s="363">
        <v>2.0429200253308726</v>
      </c>
      <c r="DU256" s="363">
        <v>2.0580314390405086</v>
      </c>
      <c r="DV256" s="363">
        <v>2.0732546313912414</v>
      </c>
      <c r="DW256" s="435">
        <v>2.081611541167907</v>
      </c>
      <c r="DX256" s="435">
        <v>2.0899684509445722</v>
      </c>
      <c r="DY256" s="435">
        <v>2.0983253607212378</v>
      </c>
      <c r="DZ256" s="435">
        <v>2.1066822704979029</v>
      </c>
      <c r="EA256" s="363">
        <v>2.1150391802745685</v>
      </c>
      <c r="EB256" s="435">
        <v>2.12188937626884</v>
      </c>
      <c r="EC256" s="435">
        <v>2.1287395722631115</v>
      </c>
      <c r="ED256" s="435">
        <v>2.135589768257383</v>
      </c>
      <c r="EE256" s="435">
        <v>2.1424399642516545</v>
      </c>
      <c r="EF256" s="363">
        <v>2.149290160245926</v>
      </c>
      <c r="EG256" s="364">
        <v>0</v>
      </c>
      <c r="EH256" s="364">
        <v>0</v>
      </c>
      <c r="EI256" s="364">
        <v>0</v>
      </c>
      <c r="EJ256" s="365">
        <v>0</v>
      </c>
      <c r="EK256" s="365">
        <v>0</v>
      </c>
      <c r="EL256" s="365">
        <v>0</v>
      </c>
      <c r="EM256" s="365">
        <v>0</v>
      </c>
      <c r="EN256" s="365">
        <v>0</v>
      </c>
      <c r="EO256" s="365">
        <v>0</v>
      </c>
      <c r="EP256" s="365">
        <v>0</v>
      </c>
      <c r="EQ256" s="365">
        <v>0</v>
      </c>
      <c r="ER256" s="365">
        <v>0</v>
      </c>
      <c r="ES256" s="365">
        <v>0</v>
      </c>
      <c r="ET256" s="365">
        <v>0</v>
      </c>
      <c r="EU256" s="365">
        <v>0</v>
      </c>
      <c r="EV256" s="436">
        <v>0</v>
      </c>
      <c r="EW256" s="436">
        <v>0</v>
      </c>
      <c r="EX256" s="436">
        <v>0</v>
      </c>
      <c r="EY256" s="436">
        <v>0</v>
      </c>
      <c r="EZ256" s="365">
        <v>0</v>
      </c>
      <c r="FA256" s="436">
        <v>0</v>
      </c>
      <c r="FB256" s="436">
        <v>0</v>
      </c>
      <c r="FC256" s="436">
        <v>0</v>
      </c>
      <c r="FD256" s="436">
        <v>0</v>
      </c>
      <c r="FE256" s="365">
        <v>0</v>
      </c>
      <c r="FF256" s="364">
        <v>0</v>
      </c>
      <c r="FG256" s="364">
        <v>0</v>
      </c>
      <c r="FH256" s="364">
        <v>0</v>
      </c>
      <c r="FI256" s="365">
        <v>0</v>
      </c>
      <c r="FJ256" s="365">
        <v>0</v>
      </c>
      <c r="FK256" s="365">
        <v>0</v>
      </c>
      <c r="FL256" s="365">
        <v>0</v>
      </c>
      <c r="FM256" s="365">
        <v>0</v>
      </c>
      <c r="FN256" s="365">
        <v>0</v>
      </c>
      <c r="FO256" s="365">
        <v>0</v>
      </c>
      <c r="FP256" s="365">
        <v>0</v>
      </c>
      <c r="FQ256" s="365">
        <v>0</v>
      </c>
      <c r="FR256" s="365">
        <v>0</v>
      </c>
      <c r="FS256" s="365">
        <v>0</v>
      </c>
      <c r="FT256" s="365">
        <v>0</v>
      </c>
      <c r="FU256" s="436">
        <v>0</v>
      </c>
      <c r="FV256" s="436">
        <v>0</v>
      </c>
      <c r="FW256" s="436">
        <v>0</v>
      </c>
      <c r="FX256" s="436">
        <v>0</v>
      </c>
      <c r="FY256" s="365">
        <v>0</v>
      </c>
      <c r="FZ256" s="436">
        <v>0</v>
      </c>
      <c r="GA256" s="436">
        <v>0</v>
      </c>
      <c r="GB256" s="436">
        <v>0</v>
      </c>
      <c r="GC256" s="436">
        <v>0</v>
      </c>
      <c r="GD256" s="365">
        <v>0</v>
      </c>
    </row>
    <row r="257" spans="1:186" ht="15" x14ac:dyDescent="0.25">
      <c r="A257" s="357">
        <v>111</v>
      </c>
      <c r="B257" s="357">
        <v>96</v>
      </c>
      <c r="C257" s="357" t="s">
        <v>1167</v>
      </c>
      <c r="D257" s="2">
        <v>99712</v>
      </c>
      <c r="E257" s="268" t="s">
        <v>1527</v>
      </c>
      <c r="F257" s="358" t="s">
        <v>985</v>
      </c>
      <c r="G257" s="49">
        <v>142</v>
      </c>
      <c r="H257" s="49">
        <v>61</v>
      </c>
      <c r="I257" s="49">
        <v>56</v>
      </c>
      <c r="J257" s="49">
        <v>5</v>
      </c>
      <c r="K257" s="49">
        <v>0</v>
      </c>
      <c r="L257" s="49">
        <v>67</v>
      </c>
      <c r="M257" s="49">
        <v>67</v>
      </c>
      <c r="N257" s="49">
        <v>5</v>
      </c>
      <c r="O257" s="49">
        <v>0</v>
      </c>
      <c r="P257" s="49">
        <v>0</v>
      </c>
      <c r="Q257" s="49">
        <v>72</v>
      </c>
      <c r="R257" s="49">
        <v>0</v>
      </c>
      <c r="S257" s="49">
        <v>2531.4626865671644</v>
      </c>
      <c r="T257" s="49">
        <v>2531.4626865671644</v>
      </c>
      <c r="U257" s="49">
        <v>9182</v>
      </c>
      <c r="V257" s="49">
        <v>0</v>
      </c>
      <c r="W257" s="49">
        <v>0</v>
      </c>
      <c r="X257" s="49">
        <v>2993.3055555555557</v>
      </c>
      <c r="Y257" s="434">
        <v>169608</v>
      </c>
      <c r="Z257" s="434">
        <v>45910</v>
      </c>
      <c r="AA257" s="49">
        <v>0</v>
      </c>
      <c r="AB257" s="49">
        <v>61</v>
      </c>
      <c r="AC257" s="49">
        <v>0</v>
      </c>
      <c r="AD257" s="285">
        <v>5</v>
      </c>
      <c r="AE257" s="285">
        <v>0</v>
      </c>
      <c r="AF257" s="359">
        <v>66</v>
      </c>
      <c r="AG257" s="360">
        <v>0</v>
      </c>
      <c r="AH257" s="360">
        <v>56</v>
      </c>
      <c r="AI257" s="361">
        <v>56</v>
      </c>
      <c r="AJ257" s="360">
        <v>0</v>
      </c>
      <c r="AK257" s="360">
        <v>0</v>
      </c>
      <c r="AL257" s="360">
        <v>55.455968953890029</v>
      </c>
      <c r="AM257" s="360">
        <v>55.455968953890029</v>
      </c>
      <c r="AN257" s="360">
        <v>0</v>
      </c>
      <c r="AO257" s="360">
        <v>0</v>
      </c>
      <c r="AP257" s="360">
        <v>51.09743018172292</v>
      </c>
      <c r="AQ257" s="360">
        <v>51.09743018172292</v>
      </c>
      <c r="AR257" s="360">
        <v>0</v>
      </c>
      <c r="AS257" s="360">
        <v>4.6492067540691933</v>
      </c>
      <c r="AT257" s="360">
        <v>0</v>
      </c>
      <c r="AU257" s="360">
        <v>50.41581135434123</v>
      </c>
      <c r="AV257" s="360">
        <v>52.875870387649641</v>
      </c>
      <c r="AW257" s="360">
        <v>55.455968953890029</v>
      </c>
      <c r="AX257" s="360">
        <v>58.161964428544643</v>
      </c>
      <c r="AY257" s="360">
        <v>61</v>
      </c>
      <c r="AZ257" s="360">
        <v>46.624060199572291</v>
      </c>
      <c r="BA257" s="360">
        <v>48.809524284058448</v>
      </c>
      <c r="BB257" s="360">
        <v>51.09743018172292</v>
      </c>
      <c r="BC257" s="360">
        <v>53.492579767445164</v>
      </c>
      <c r="BD257" s="360">
        <v>56</v>
      </c>
      <c r="BE257" s="360">
        <v>4.3230246884165213</v>
      </c>
      <c r="BF257" s="360">
        <v>4.483150184791266</v>
      </c>
      <c r="BG257" s="360">
        <v>4.6492067540691933</v>
      </c>
      <c r="BH257" s="360">
        <v>4.8214140840987687</v>
      </c>
      <c r="BI257" s="360">
        <v>5</v>
      </c>
      <c r="BJ257" s="362">
        <v>61.577627137757396</v>
      </c>
      <c r="BK257" s="362">
        <v>62.16072399863404</v>
      </c>
      <c r="BL257" s="362">
        <v>62.749342377064515</v>
      </c>
      <c r="BM257" s="363">
        <v>62.336792981906903</v>
      </c>
      <c r="BN257" s="363">
        <v>61.926955918018393</v>
      </c>
      <c r="BO257" s="363">
        <v>61.729203103308329</v>
      </c>
      <c r="BP257" s="363">
        <v>61.532081777344104</v>
      </c>
      <c r="BQ257" s="363">
        <v>61.335589923577729</v>
      </c>
      <c r="BR257" s="363">
        <v>61.139725531900751</v>
      </c>
      <c r="BS257" s="363">
        <v>60.944486598623612</v>
      </c>
      <c r="BT257" s="363">
        <v>61.395291005498997</v>
      </c>
      <c r="BU257" s="363">
        <v>61.84942999807032</v>
      </c>
      <c r="BV257" s="363">
        <v>62.306928242160708</v>
      </c>
      <c r="BW257" s="363">
        <v>62.767810586045599</v>
      </c>
      <c r="BX257" s="363">
        <v>63.232102061802273</v>
      </c>
      <c r="BY257" s="435">
        <v>63.486979086514275</v>
      </c>
      <c r="BZ257" s="435">
        <v>63.741856111226276</v>
      </c>
      <c r="CA257" s="435">
        <v>63.996733135938285</v>
      </c>
      <c r="CB257" s="435">
        <v>64.251610160650287</v>
      </c>
      <c r="CC257" s="363">
        <v>64.506487185362289</v>
      </c>
      <c r="CD257" s="435">
        <v>64.715411012515375</v>
      </c>
      <c r="CE257" s="435">
        <v>64.924334839668461</v>
      </c>
      <c r="CF257" s="435">
        <v>65.133258666821561</v>
      </c>
      <c r="CG257" s="435">
        <v>65.342182493974647</v>
      </c>
      <c r="CH257" s="363">
        <v>65.551106321127733</v>
      </c>
      <c r="CI257" s="362">
        <v>56.530280651055975</v>
      </c>
      <c r="CJ257" s="362">
        <v>57.065582687270592</v>
      </c>
      <c r="CK257" s="362">
        <v>57.605953657632995</v>
      </c>
      <c r="CL257" s="363">
        <v>57.227219786668634</v>
      </c>
      <c r="CM257" s="363">
        <v>56.850975924738201</v>
      </c>
      <c r="CN257" s="363">
        <v>56.669432357135513</v>
      </c>
      <c r="CO257" s="363">
        <v>56.48846851690606</v>
      </c>
      <c r="CP257" s="363">
        <v>56.308082552792669</v>
      </c>
      <c r="CQ257" s="363">
        <v>56.128272619449866</v>
      </c>
      <c r="CR257" s="363">
        <v>55.949036877424952</v>
      </c>
      <c r="CS257" s="363">
        <v>56.362890103408908</v>
      </c>
      <c r="CT257" s="363">
        <v>56.779804588392416</v>
      </c>
      <c r="CU257" s="363">
        <v>57.199802976409828</v>
      </c>
      <c r="CV257" s="363">
        <v>57.62290807899268</v>
      </c>
      <c r="CW257" s="363">
        <v>58.049142876408645</v>
      </c>
      <c r="CX257" s="435">
        <v>58.283128341718026</v>
      </c>
      <c r="CY257" s="435">
        <v>58.517113807027407</v>
      </c>
      <c r="CZ257" s="435">
        <v>58.751099272336781</v>
      </c>
      <c r="DA257" s="435">
        <v>58.985084737646162</v>
      </c>
      <c r="DB257" s="363">
        <v>59.219070202955542</v>
      </c>
      <c r="DC257" s="435">
        <v>59.410869126243625</v>
      </c>
      <c r="DD257" s="435">
        <v>59.602668049531708</v>
      </c>
      <c r="DE257" s="435">
        <v>59.794466972819784</v>
      </c>
      <c r="DF257" s="435">
        <v>59.986265896107867</v>
      </c>
      <c r="DG257" s="363">
        <v>60.178064819395949</v>
      </c>
      <c r="DH257" s="362">
        <v>5.0473464867014259</v>
      </c>
      <c r="DI257" s="362">
        <v>5.0951413113634461</v>
      </c>
      <c r="DJ257" s="362">
        <v>5.1433887194315178</v>
      </c>
      <c r="DK257" s="363">
        <v>5.109573195238271</v>
      </c>
      <c r="DL257" s="363">
        <v>5.0759799932801961</v>
      </c>
      <c r="DM257" s="363">
        <v>5.0597707461728145</v>
      </c>
      <c r="DN257" s="363">
        <v>5.0436132604380415</v>
      </c>
      <c r="DO257" s="363">
        <v>5.0275073707850604</v>
      </c>
      <c r="DP257" s="363">
        <v>5.0114529124508813</v>
      </c>
      <c r="DQ257" s="363">
        <v>4.995449721198657</v>
      </c>
      <c r="DR257" s="363">
        <v>5.0324009020900817</v>
      </c>
      <c r="DS257" s="363">
        <v>5.0696254096778945</v>
      </c>
      <c r="DT257" s="363">
        <v>5.1071252657508772</v>
      </c>
      <c r="DU257" s="363">
        <v>5.144902507052918</v>
      </c>
      <c r="DV257" s="363">
        <v>5.1829591853936297</v>
      </c>
      <c r="DW257" s="435">
        <v>5.2038507447962523</v>
      </c>
      <c r="DX257" s="435">
        <v>5.2247423041988759</v>
      </c>
      <c r="DY257" s="435">
        <v>5.2456338636014985</v>
      </c>
      <c r="DZ257" s="435">
        <v>5.2665254230041221</v>
      </c>
      <c r="EA257" s="363">
        <v>5.2874169824067447</v>
      </c>
      <c r="EB257" s="435">
        <v>5.3045418862717524</v>
      </c>
      <c r="EC257" s="435">
        <v>5.3216667901367591</v>
      </c>
      <c r="ED257" s="435">
        <v>5.3387916940017668</v>
      </c>
      <c r="EE257" s="435">
        <v>5.3559165978667735</v>
      </c>
      <c r="EF257" s="363">
        <v>5.3730415017317812</v>
      </c>
      <c r="EG257" s="364">
        <v>0</v>
      </c>
      <c r="EH257" s="364">
        <v>0</v>
      </c>
      <c r="EI257" s="364">
        <v>0</v>
      </c>
      <c r="EJ257" s="365">
        <v>0</v>
      </c>
      <c r="EK257" s="365">
        <v>0</v>
      </c>
      <c r="EL257" s="365">
        <v>0</v>
      </c>
      <c r="EM257" s="365">
        <v>0</v>
      </c>
      <c r="EN257" s="365">
        <v>0</v>
      </c>
      <c r="EO257" s="365">
        <v>0</v>
      </c>
      <c r="EP257" s="365">
        <v>0</v>
      </c>
      <c r="EQ257" s="365">
        <v>0</v>
      </c>
      <c r="ER257" s="365">
        <v>0</v>
      </c>
      <c r="ES257" s="365">
        <v>0</v>
      </c>
      <c r="ET257" s="365">
        <v>0</v>
      </c>
      <c r="EU257" s="365">
        <v>0</v>
      </c>
      <c r="EV257" s="436">
        <v>0</v>
      </c>
      <c r="EW257" s="436">
        <v>0</v>
      </c>
      <c r="EX257" s="436">
        <v>0</v>
      </c>
      <c r="EY257" s="436">
        <v>0</v>
      </c>
      <c r="EZ257" s="365">
        <v>0</v>
      </c>
      <c r="FA257" s="436">
        <v>0</v>
      </c>
      <c r="FB257" s="436">
        <v>0</v>
      </c>
      <c r="FC257" s="436">
        <v>0</v>
      </c>
      <c r="FD257" s="436">
        <v>0</v>
      </c>
      <c r="FE257" s="365">
        <v>0</v>
      </c>
      <c r="FF257" s="364">
        <v>0</v>
      </c>
      <c r="FG257" s="364">
        <v>0</v>
      </c>
      <c r="FH257" s="364">
        <v>0</v>
      </c>
      <c r="FI257" s="365">
        <v>0</v>
      </c>
      <c r="FJ257" s="365">
        <v>0</v>
      </c>
      <c r="FK257" s="365">
        <v>0</v>
      </c>
      <c r="FL257" s="365">
        <v>0</v>
      </c>
      <c r="FM257" s="365">
        <v>0</v>
      </c>
      <c r="FN257" s="365">
        <v>0</v>
      </c>
      <c r="FO257" s="365">
        <v>0</v>
      </c>
      <c r="FP257" s="365">
        <v>0</v>
      </c>
      <c r="FQ257" s="365">
        <v>0</v>
      </c>
      <c r="FR257" s="365">
        <v>0</v>
      </c>
      <c r="FS257" s="365">
        <v>0</v>
      </c>
      <c r="FT257" s="365">
        <v>0</v>
      </c>
      <c r="FU257" s="436">
        <v>0</v>
      </c>
      <c r="FV257" s="436">
        <v>0</v>
      </c>
      <c r="FW257" s="436">
        <v>0</v>
      </c>
      <c r="FX257" s="436">
        <v>0</v>
      </c>
      <c r="FY257" s="365">
        <v>0</v>
      </c>
      <c r="FZ257" s="436">
        <v>0</v>
      </c>
      <c r="GA257" s="436">
        <v>0</v>
      </c>
      <c r="GB257" s="436">
        <v>0</v>
      </c>
      <c r="GC257" s="436">
        <v>0</v>
      </c>
      <c r="GD257" s="365">
        <v>0</v>
      </c>
    </row>
    <row r="258" spans="1:186" ht="15" x14ac:dyDescent="0.25">
      <c r="A258" s="357">
        <v>112</v>
      </c>
      <c r="B258" s="357">
        <v>96</v>
      </c>
      <c r="C258" s="357" t="s">
        <v>1168</v>
      </c>
      <c r="D258" s="2">
        <v>99712</v>
      </c>
      <c r="E258" s="268" t="s">
        <v>1527</v>
      </c>
      <c r="F258" s="358" t="s">
        <v>985</v>
      </c>
      <c r="G258" s="49">
        <v>53</v>
      </c>
      <c r="H258" s="49">
        <v>17</v>
      </c>
      <c r="I258" s="49">
        <v>15</v>
      </c>
      <c r="J258" s="49">
        <v>2</v>
      </c>
      <c r="K258" s="49">
        <v>0</v>
      </c>
      <c r="L258" s="49">
        <v>13</v>
      </c>
      <c r="M258" s="49">
        <v>13</v>
      </c>
      <c r="N258" s="49">
        <v>0</v>
      </c>
      <c r="O258" s="49">
        <v>0</v>
      </c>
      <c r="P258" s="49">
        <v>0</v>
      </c>
      <c r="Q258" s="49">
        <v>13</v>
      </c>
      <c r="R258" s="49">
        <v>0</v>
      </c>
      <c r="S258" s="49">
        <v>2751.6923076923076</v>
      </c>
      <c r="T258" s="49">
        <v>2751.6923076923076</v>
      </c>
      <c r="U258" s="49">
        <v>0</v>
      </c>
      <c r="V258" s="49">
        <v>0</v>
      </c>
      <c r="W258" s="49">
        <v>0</v>
      </c>
      <c r="X258" s="49">
        <v>2751.6923076923076</v>
      </c>
      <c r="Y258" s="434">
        <v>35772</v>
      </c>
      <c r="Z258" s="434">
        <v>0</v>
      </c>
      <c r="AA258" s="49">
        <v>0</v>
      </c>
      <c r="AB258" s="49">
        <v>17</v>
      </c>
      <c r="AC258" s="49">
        <v>0</v>
      </c>
      <c r="AD258" s="285">
        <v>0</v>
      </c>
      <c r="AE258" s="285">
        <v>0</v>
      </c>
      <c r="AF258" s="359">
        <v>17</v>
      </c>
      <c r="AG258" s="360">
        <v>0</v>
      </c>
      <c r="AH258" s="360">
        <v>15</v>
      </c>
      <c r="AI258" s="361">
        <v>15</v>
      </c>
      <c r="AJ258" s="360">
        <v>0</v>
      </c>
      <c r="AK258" s="360">
        <v>0</v>
      </c>
      <c r="AL258" s="360">
        <v>15.454942167477549</v>
      </c>
      <c r="AM258" s="360">
        <v>15.454942167477549</v>
      </c>
      <c r="AN258" s="360">
        <v>0</v>
      </c>
      <c r="AO258" s="360">
        <v>0</v>
      </c>
      <c r="AP258" s="360">
        <v>13.686811655818639</v>
      </c>
      <c r="AQ258" s="360">
        <v>13.686811655818639</v>
      </c>
      <c r="AR258" s="360">
        <v>0</v>
      </c>
      <c r="AS258" s="360">
        <v>0</v>
      </c>
      <c r="AT258" s="360">
        <v>0</v>
      </c>
      <c r="AU258" s="360">
        <v>14.050308082357391</v>
      </c>
      <c r="AV258" s="360">
        <v>14.735898304754819</v>
      </c>
      <c r="AW258" s="360">
        <v>15.454942167477549</v>
      </c>
      <c r="AX258" s="360">
        <v>16.209072053856705</v>
      </c>
      <c r="AY258" s="360">
        <v>17</v>
      </c>
      <c r="AZ258" s="360">
        <v>12.488587553456863</v>
      </c>
      <c r="BA258" s="360">
        <v>13.073979718944226</v>
      </c>
      <c r="BB258" s="360">
        <v>13.686811655818639</v>
      </c>
      <c r="BC258" s="360">
        <v>14.328369580565669</v>
      </c>
      <c r="BD258" s="360">
        <v>15</v>
      </c>
      <c r="BE258" s="360">
        <v>0</v>
      </c>
      <c r="BF258" s="360">
        <v>0</v>
      </c>
      <c r="BG258" s="360">
        <v>0</v>
      </c>
      <c r="BH258" s="360">
        <v>0</v>
      </c>
      <c r="BI258" s="360">
        <v>0</v>
      </c>
      <c r="BJ258" s="362">
        <v>17.160978054784849</v>
      </c>
      <c r="BK258" s="362">
        <v>17.323480458635714</v>
      </c>
      <c r="BL258" s="362">
        <v>17.487521646067158</v>
      </c>
      <c r="BM258" s="363">
        <v>17.37254886381012</v>
      </c>
      <c r="BN258" s="363">
        <v>17.258331977152665</v>
      </c>
      <c r="BO258" s="363">
        <v>17.203220536987565</v>
      </c>
      <c r="BP258" s="363">
        <v>17.148285085489338</v>
      </c>
      <c r="BQ258" s="363">
        <v>17.093525060669201</v>
      </c>
      <c r="BR258" s="363">
        <v>17.038939902332995</v>
      </c>
      <c r="BS258" s="363">
        <v>16.98452905207543</v>
      </c>
      <c r="BT258" s="363">
        <v>17.110163067106274</v>
      </c>
      <c r="BU258" s="363">
        <v>17.236726392904842</v>
      </c>
      <c r="BV258" s="363">
        <v>17.364225903552981</v>
      </c>
      <c r="BW258" s="363">
        <v>17.492668523979919</v>
      </c>
      <c r="BX258" s="363">
        <v>17.622061230338335</v>
      </c>
      <c r="BY258" s="435">
        <v>17.693092532307254</v>
      </c>
      <c r="BZ258" s="435">
        <v>17.764123834276173</v>
      </c>
      <c r="CA258" s="435">
        <v>17.835155136245092</v>
      </c>
      <c r="CB258" s="435">
        <v>17.906186438214011</v>
      </c>
      <c r="CC258" s="363">
        <v>17.97721774018293</v>
      </c>
      <c r="CD258" s="435">
        <v>18.035442413323956</v>
      </c>
      <c r="CE258" s="435">
        <v>18.093667086464979</v>
      </c>
      <c r="CF258" s="435">
        <v>18.151891759606006</v>
      </c>
      <c r="CG258" s="435">
        <v>18.210116432747029</v>
      </c>
      <c r="CH258" s="363">
        <v>18.268341105888055</v>
      </c>
      <c r="CI258" s="362">
        <v>15.142039460104279</v>
      </c>
      <c r="CJ258" s="362">
        <v>15.285423934090337</v>
      </c>
      <c r="CK258" s="362">
        <v>15.430166158294552</v>
      </c>
      <c r="CL258" s="363">
        <v>15.328719585714813</v>
      </c>
      <c r="CM258" s="363">
        <v>15.227939979840588</v>
      </c>
      <c r="CN258" s="363">
        <v>15.179312238518442</v>
      </c>
      <c r="CO258" s="363">
        <v>15.130839781314123</v>
      </c>
      <c r="CP258" s="363">
        <v>15.082522112355178</v>
      </c>
      <c r="CQ258" s="363">
        <v>15.034358737352642</v>
      </c>
      <c r="CR258" s="363">
        <v>14.986349163595969</v>
      </c>
      <c r="CS258" s="363">
        <v>15.097202706270245</v>
      </c>
      <c r="CT258" s="363">
        <v>15.208876229033685</v>
      </c>
      <c r="CU258" s="363">
        <v>15.321375797252632</v>
      </c>
      <c r="CV258" s="363">
        <v>15.434707521158755</v>
      </c>
      <c r="CW258" s="363">
        <v>15.548877556180887</v>
      </c>
      <c r="CX258" s="435">
        <v>15.611552234388757</v>
      </c>
      <c r="CY258" s="435">
        <v>15.674226912596627</v>
      </c>
      <c r="CZ258" s="435">
        <v>15.736901590804495</v>
      </c>
      <c r="DA258" s="435">
        <v>15.799576269012364</v>
      </c>
      <c r="DB258" s="363">
        <v>15.862250947220234</v>
      </c>
      <c r="DC258" s="435">
        <v>15.913625658815256</v>
      </c>
      <c r="DD258" s="435">
        <v>15.965000370410278</v>
      </c>
      <c r="DE258" s="435">
        <v>16.0163750820053</v>
      </c>
      <c r="DF258" s="435">
        <v>16.067749793600321</v>
      </c>
      <c r="DG258" s="363">
        <v>16.119124505195344</v>
      </c>
      <c r="DH258" s="362">
        <v>0</v>
      </c>
      <c r="DI258" s="362">
        <v>0</v>
      </c>
      <c r="DJ258" s="362">
        <v>0</v>
      </c>
      <c r="DK258" s="363">
        <v>0</v>
      </c>
      <c r="DL258" s="363">
        <v>0</v>
      </c>
      <c r="DM258" s="363">
        <v>0</v>
      </c>
      <c r="DN258" s="363">
        <v>0</v>
      </c>
      <c r="DO258" s="363">
        <v>0</v>
      </c>
      <c r="DP258" s="363">
        <v>0</v>
      </c>
      <c r="DQ258" s="363">
        <v>0</v>
      </c>
      <c r="DR258" s="363">
        <v>0</v>
      </c>
      <c r="DS258" s="363">
        <v>0</v>
      </c>
      <c r="DT258" s="363">
        <v>0</v>
      </c>
      <c r="DU258" s="363">
        <v>0</v>
      </c>
      <c r="DV258" s="363">
        <v>0</v>
      </c>
      <c r="DW258" s="435">
        <v>0</v>
      </c>
      <c r="DX258" s="435">
        <v>0</v>
      </c>
      <c r="DY258" s="435">
        <v>0</v>
      </c>
      <c r="DZ258" s="435">
        <v>0</v>
      </c>
      <c r="EA258" s="363">
        <v>0</v>
      </c>
      <c r="EB258" s="435">
        <v>0</v>
      </c>
      <c r="EC258" s="435">
        <v>0</v>
      </c>
      <c r="ED258" s="435">
        <v>0</v>
      </c>
      <c r="EE258" s="435">
        <v>0</v>
      </c>
      <c r="EF258" s="363">
        <v>0</v>
      </c>
      <c r="EG258" s="364">
        <v>0</v>
      </c>
      <c r="EH258" s="364">
        <v>0</v>
      </c>
      <c r="EI258" s="364">
        <v>0</v>
      </c>
      <c r="EJ258" s="365">
        <v>0</v>
      </c>
      <c r="EK258" s="365">
        <v>0</v>
      </c>
      <c r="EL258" s="365">
        <v>0</v>
      </c>
      <c r="EM258" s="365">
        <v>0</v>
      </c>
      <c r="EN258" s="365">
        <v>0</v>
      </c>
      <c r="EO258" s="365">
        <v>0</v>
      </c>
      <c r="EP258" s="365">
        <v>0</v>
      </c>
      <c r="EQ258" s="365">
        <v>0</v>
      </c>
      <c r="ER258" s="365">
        <v>0</v>
      </c>
      <c r="ES258" s="365">
        <v>0</v>
      </c>
      <c r="ET258" s="365">
        <v>0</v>
      </c>
      <c r="EU258" s="365">
        <v>0</v>
      </c>
      <c r="EV258" s="436">
        <v>0</v>
      </c>
      <c r="EW258" s="436">
        <v>0</v>
      </c>
      <c r="EX258" s="436">
        <v>0</v>
      </c>
      <c r="EY258" s="436">
        <v>0</v>
      </c>
      <c r="EZ258" s="365">
        <v>0</v>
      </c>
      <c r="FA258" s="436">
        <v>0</v>
      </c>
      <c r="FB258" s="436">
        <v>0</v>
      </c>
      <c r="FC258" s="436">
        <v>0</v>
      </c>
      <c r="FD258" s="436">
        <v>0</v>
      </c>
      <c r="FE258" s="365">
        <v>0</v>
      </c>
      <c r="FF258" s="364">
        <v>0</v>
      </c>
      <c r="FG258" s="364">
        <v>0</v>
      </c>
      <c r="FH258" s="364">
        <v>0</v>
      </c>
      <c r="FI258" s="365">
        <v>0</v>
      </c>
      <c r="FJ258" s="365">
        <v>0</v>
      </c>
      <c r="FK258" s="365">
        <v>0</v>
      </c>
      <c r="FL258" s="365">
        <v>0</v>
      </c>
      <c r="FM258" s="365">
        <v>0</v>
      </c>
      <c r="FN258" s="365">
        <v>0</v>
      </c>
      <c r="FO258" s="365">
        <v>0</v>
      </c>
      <c r="FP258" s="365">
        <v>0</v>
      </c>
      <c r="FQ258" s="365">
        <v>0</v>
      </c>
      <c r="FR258" s="365">
        <v>0</v>
      </c>
      <c r="FS258" s="365">
        <v>0</v>
      </c>
      <c r="FT258" s="365">
        <v>0</v>
      </c>
      <c r="FU258" s="436">
        <v>0</v>
      </c>
      <c r="FV258" s="436">
        <v>0</v>
      </c>
      <c r="FW258" s="436">
        <v>0</v>
      </c>
      <c r="FX258" s="436">
        <v>0</v>
      </c>
      <c r="FY258" s="365">
        <v>0</v>
      </c>
      <c r="FZ258" s="436">
        <v>0</v>
      </c>
      <c r="GA258" s="436">
        <v>0</v>
      </c>
      <c r="GB258" s="436">
        <v>0</v>
      </c>
      <c r="GC258" s="436">
        <v>0</v>
      </c>
      <c r="GD258" s="365">
        <v>0</v>
      </c>
    </row>
    <row r="259" spans="1:186" ht="15" x14ac:dyDescent="0.25">
      <c r="A259" s="357">
        <v>115</v>
      </c>
      <c r="B259" s="357">
        <v>96</v>
      </c>
      <c r="C259" s="357" t="s">
        <v>1169</v>
      </c>
      <c r="D259" s="2">
        <v>99701</v>
      </c>
      <c r="E259" s="268" t="s">
        <v>1527</v>
      </c>
      <c r="F259" s="358" t="s">
        <v>985</v>
      </c>
      <c r="G259" s="49">
        <v>10</v>
      </c>
      <c r="H259" s="49">
        <v>2</v>
      </c>
      <c r="I259" s="49">
        <v>2</v>
      </c>
      <c r="J259" s="49">
        <v>0</v>
      </c>
      <c r="K259" s="49">
        <v>0</v>
      </c>
      <c r="L259" s="49">
        <v>0</v>
      </c>
      <c r="M259" s="49">
        <v>0</v>
      </c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49">
        <v>834.49503068156923</v>
      </c>
      <c r="T259" s="49">
        <v>834.49503068156923</v>
      </c>
      <c r="U259" s="49">
        <v>1408.3846153846155</v>
      </c>
      <c r="V259" s="49">
        <v>0</v>
      </c>
      <c r="W259" s="49">
        <v>0</v>
      </c>
      <c r="X259" s="49">
        <v>1365.173957061457</v>
      </c>
      <c r="Y259" s="434">
        <v>0</v>
      </c>
      <c r="Z259" s="434">
        <v>0</v>
      </c>
      <c r="AA259" s="49">
        <v>4.5824670824670823E-2</v>
      </c>
      <c r="AB259" s="49">
        <v>1.9515765765765767</v>
      </c>
      <c r="AC259" s="49">
        <v>2.5987525987525989E-3</v>
      </c>
      <c r="AD259" s="285">
        <v>0</v>
      </c>
      <c r="AE259" s="285">
        <v>0</v>
      </c>
      <c r="AF259" s="359">
        <v>2</v>
      </c>
      <c r="AG259" s="360">
        <v>4.5824670824670823E-2</v>
      </c>
      <c r="AH259" s="360">
        <v>1.9515765765765767</v>
      </c>
      <c r="AI259" s="361">
        <v>1.9974012474012475</v>
      </c>
      <c r="AJ259" s="360">
        <v>2.5987525987525989E-3</v>
      </c>
      <c r="AK259" s="360">
        <v>4.5316017727981564E-2</v>
      </c>
      <c r="AL259" s="360">
        <v>1.9299141084947009</v>
      </c>
      <c r="AM259" s="360">
        <v>1.9752301262226826</v>
      </c>
      <c r="AN259" s="360">
        <v>2.5699064874091628E-3</v>
      </c>
      <c r="AO259" s="360">
        <v>4.5399475445597207E-2</v>
      </c>
      <c r="AP259" s="360">
        <v>1.9334683975687328</v>
      </c>
      <c r="AQ259" s="360">
        <v>1.9788678730143301</v>
      </c>
      <c r="AR259" s="360">
        <v>2.5746394392588213E-3</v>
      </c>
      <c r="AS259" s="360">
        <v>0</v>
      </c>
      <c r="AT259" s="360">
        <v>0</v>
      </c>
      <c r="AU259" s="360">
        <v>1.9533051041265896</v>
      </c>
      <c r="AV259" s="360">
        <v>1.9642370242349503</v>
      </c>
      <c r="AW259" s="360">
        <v>1.9752301262226823</v>
      </c>
      <c r="AX259" s="360">
        <v>1.986284752501944</v>
      </c>
      <c r="AY259" s="360">
        <v>1.9974012474012475</v>
      </c>
      <c r="AZ259" s="360">
        <v>1.9605064650596014</v>
      </c>
      <c r="BA259" s="360">
        <v>1.9696657733085927</v>
      </c>
      <c r="BB259" s="360">
        <v>1.9788678730143299</v>
      </c>
      <c r="BC259" s="360">
        <v>1.9881129640946149</v>
      </c>
      <c r="BD259" s="360">
        <v>1.9974012474012475</v>
      </c>
      <c r="BE259" s="360">
        <v>0</v>
      </c>
      <c r="BF259" s="360">
        <v>0</v>
      </c>
      <c r="BG259" s="360">
        <v>0</v>
      </c>
      <c r="BH259" s="360">
        <v>0</v>
      </c>
      <c r="BI259" s="360">
        <v>0</v>
      </c>
      <c r="BJ259" s="362">
        <v>2.005700798179324</v>
      </c>
      <c r="BK259" s="362">
        <v>2.0140348350393569</v>
      </c>
      <c r="BL259" s="362">
        <v>2.0224035012770352</v>
      </c>
      <c r="BM259" s="363">
        <v>2.0091070855759292</v>
      </c>
      <c r="BN259" s="363">
        <v>1.9958980879743198</v>
      </c>
      <c r="BO259" s="363">
        <v>1.9895245393488412</v>
      </c>
      <c r="BP259" s="363">
        <v>1.9831713435271086</v>
      </c>
      <c r="BQ259" s="363">
        <v>1.9768384355160316</v>
      </c>
      <c r="BR259" s="363">
        <v>1.9705257505300642</v>
      </c>
      <c r="BS259" s="363">
        <v>1.9642332239905416</v>
      </c>
      <c r="BT259" s="363">
        <v>1.9787625939619014</v>
      </c>
      <c r="BU259" s="363">
        <v>1.9933994372155506</v>
      </c>
      <c r="BV259" s="363">
        <v>2.0081445487279015</v>
      </c>
      <c r="BW259" s="363">
        <v>2.022998729355781</v>
      </c>
      <c r="BX259" s="363">
        <v>2.0379627858799267</v>
      </c>
      <c r="BY259" s="435">
        <v>2.0461774406897759</v>
      </c>
      <c r="BZ259" s="435">
        <v>2.0543920954996251</v>
      </c>
      <c r="CA259" s="435">
        <v>2.0626067503094747</v>
      </c>
      <c r="CB259" s="435">
        <v>2.0708214051193239</v>
      </c>
      <c r="CC259" s="363">
        <v>2.0790360599291731</v>
      </c>
      <c r="CD259" s="435">
        <v>2.0857696488964583</v>
      </c>
      <c r="CE259" s="435">
        <v>2.0925032378637436</v>
      </c>
      <c r="CF259" s="435">
        <v>2.0992368268310284</v>
      </c>
      <c r="CG259" s="435">
        <v>2.1059704157983137</v>
      </c>
      <c r="CH259" s="363">
        <v>2.1127040047655989</v>
      </c>
      <c r="CI259" s="362">
        <v>2.005700798179324</v>
      </c>
      <c r="CJ259" s="362">
        <v>2.0140348350393569</v>
      </c>
      <c r="CK259" s="362">
        <v>2.0224035012770352</v>
      </c>
      <c r="CL259" s="363">
        <v>2.0091070855759292</v>
      </c>
      <c r="CM259" s="363">
        <v>1.9958980879743198</v>
      </c>
      <c r="CN259" s="363">
        <v>1.9895245393488412</v>
      </c>
      <c r="CO259" s="363">
        <v>1.9831713435271086</v>
      </c>
      <c r="CP259" s="363">
        <v>1.9768384355160316</v>
      </c>
      <c r="CQ259" s="363">
        <v>1.9705257505300642</v>
      </c>
      <c r="CR259" s="363">
        <v>1.9642332239905416</v>
      </c>
      <c r="CS259" s="363">
        <v>1.9787625939619014</v>
      </c>
      <c r="CT259" s="363">
        <v>1.9933994372155506</v>
      </c>
      <c r="CU259" s="363">
        <v>2.0081445487279015</v>
      </c>
      <c r="CV259" s="363">
        <v>2.022998729355781</v>
      </c>
      <c r="CW259" s="363">
        <v>2.0379627858799267</v>
      </c>
      <c r="CX259" s="435">
        <v>2.0461774406897759</v>
      </c>
      <c r="CY259" s="435">
        <v>2.0543920954996251</v>
      </c>
      <c r="CZ259" s="435">
        <v>2.0626067503094747</v>
      </c>
      <c r="DA259" s="435">
        <v>2.0708214051193239</v>
      </c>
      <c r="DB259" s="363">
        <v>2.0790360599291731</v>
      </c>
      <c r="DC259" s="435">
        <v>2.0857696488964583</v>
      </c>
      <c r="DD259" s="435">
        <v>2.0925032378637436</v>
      </c>
      <c r="DE259" s="435">
        <v>2.0992368268310284</v>
      </c>
      <c r="DF259" s="435">
        <v>2.1059704157983137</v>
      </c>
      <c r="DG259" s="363">
        <v>2.1127040047655989</v>
      </c>
      <c r="DH259" s="362">
        <v>0</v>
      </c>
      <c r="DI259" s="362">
        <v>0</v>
      </c>
      <c r="DJ259" s="362">
        <v>0</v>
      </c>
      <c r="DK259" s="363">
        <v>0</v>
      </c>
      <c r="DL259" s="363">
        <v>0</v>
      </c>
      <c r="DM259" s="363">
        <v>0</v>
      </c>
      <c r="DN259" s="363">
        <v>0</v>
      </c>
      <c r="DO259" s="363">
        <v>0</v>
      </c>
      <c r="DP259" s="363">
        <v>0</v>
      </c>
      <c r="DQ259" s="363">
        <v>0</v>
      </c>
      <c r="DR259" s="363">
        <v>0</v>
      </c>
      <c r="DS259" s="363">
        <v>0</v>
      </c>
      <c r="DT259" s="363">
        <v>0</v>
      </c>
      <c r="DU259" s="363">
        <v>0</v>
      </c>
      <c r="DV259" s="363">
        <v>0</v>
      </c>
      <c r="DW259" s="435">
        <v>0</v>
      </c>
      <c r="DX259" s="435">
        <v>0</v>
      </c>
      <c r="DY259" s="435">
        <v>0</v>
      </c>
      <c r="DZ259" s="435">
        <v>0</v>
      </c>
      <c r="EA259" s="363">
        <v>0</v>
      </c>
      <c r="EB259" s="435">
        <v>0</v>
      </c>
      <c r="EC259" s="435">
        <v>0</v>
      </c>
      <c r="ED259" s="435">
        <v>0</v>
      </c>
      <c r="EE259" s="435">
        <v>0</v>
      </c>
      <c r="EF259" s="363">
        <v>0</v>
      </c>
      <c r="EG259" s="364">
        <v>2.6095508693459849E-3</v>
      </c>
      <c r="EH259" s="364">
        <v>2.6203940086382471E-3</v>
      </c>
      <c r="EI259" s="364">
        <v>2.6312822030666607E-3</v>
      </c>
      <c r="EJ259" s="365">
        <v>2.6139826770438844E-3</v>
      </c>
      <c r="EK259" s="365">
        <v>2.5967968878146241E-3</v>
      </c>
      <c r="EL259" s="365">
        <v>2.5885044748228483E-3</v>
      </c>
      <c r="EM259" s="365">
        <v>2.5802385421898372E-3</v>
      </c>
      <c r="EN259" s="365">
        <v>2.5719990053552325E-3</v>
      </c>
      <c r="EO259" s="365">
        <v>2.5637857800287073E-3</v>
      </c>
      <c r="EP259" s="365">
        <v>2.5555987821890992E-3</v>
      </c>
      <c r="EQ259" s="365">
        <v>2.5745024641710924E-3</v>
      </c>
      <c r="ER259" s="365">
        <v>2.5935459760806022E-3</v>
      </c>
      <c r="ES259" s="365">
        <v>2.612730352235105E-3</v>
      </c>
      <c r="ET259" s="365">
        <v>2.63205663460289E-3</v>
      </c>
      <c r="EU259" s="365">
        <v>2.6515258728596501E-3</v>
      </c>
      <c r="EV259" s="436">
        <v>2.6622136881209683E-3</v>
      </c>
      <c r="EW259" s="436">
        <v>2.6729015033822865E-3</v>
      </c>
      <c r="EX259" s="436">
        <v>2.6835893186436051E-3</v>
      </c>
      <c r="EY259" s="436">
        <v>2.6942771339049233E-3</v>
      </c>
      <c r="EZ259" s="365">
        <v>2.7049649491662415E-3</v>
      </c>
      <c r="FA259" s="436">
        <v>2.7137257987203465E-3</v>
      </c>
      <c r="FB259" s="436">
        <v>2.722486648274452E-3</v>
      </c>
      <c r="FC259" s="436">
        <v>2.731247497828557E-3</v>
      </c>
      <c r="FD259" s="436">
        <v>2.7400083473826625E-3</v>
      </c>
      <c r="FE259" s="365">
        <v>2.7487691969367675E-3</v>
      </c>
      <c r="FF259" s="364">
        <v>0</v>
      </c>
      <c r="FG259" s="364">
        <v>0</v>
      </c>
      <c r="FH259" s="364">
        <v>0</v>
      </c>
      <c r="FI259" s="365">
        <v>0</v>
      </c>
      <c r="FJ259" s="365">
        <v>0</v>
      </c>
      <c r="FK259" s="365">
        <v>0</v>
      </c>
      <c r="FL259" s="365">
        <v>0</v>
      </c>
      <c r="FM259" s="365">
        <v>0</v>
      </c>
      <c r="FN259" s="365">
        <v>0</v>
      </c>
      <c r="FO259" s="365">
        <v>0</v>
      </c>
      <c r="FP259" s="365">
        <v>0</v>
      </c>
      <c r="FQ259" s="365">
        <v>0</v>
      </c>
      <c r="FR259" s="365">
        <v>0</v>
      </c>
      <c r="FS259" s="365">
        <v>0</v>
      </c>
      <c r="FT259" s="365">
        <v>0</v>
      </c>
      <c r="FU259" s="436">
        <v>0</v>
      </c>
      <c r="FV259" s="436">
        <v>0</v>
      </c>
      <c r="FW259" s="436">
        <v>0</v>
      </c>
      <c r="FX259" s="436">
        <v>0</v>
      </c>
      <c r="FY259" s="365">
        <v>0</v>
      </c>
      <c r="FZ259" s="436">
        <v>0</v>
      </c>
      <c r="GA259" s="436">
        <v>0</v>
      </c>
      <c r="GB259" s="436">
        <v>0</v>
      </c>
      <c r="GC259" s="436">
        <v>0</v>
      </c>
      <c r="GD259" s="365">
        <v>0</v>
      </c>
    </row>
    <row r="260" spans="1:186" ht="15" x14ac:dyDescent="0.25">
      <c r="A260" s="357">
        <v>128</v>
      </c>
      <c r="B260" s="357">
        <v>96</v>
      </c>
      <c r="C260" s="357" t="s">
        <v>1170</v>
      </c>
      <c r="D260" s="2">
        <v>99712</v>
      </c>
      <c r="E260" s="268" t="s">
        <v>19</v>
      </c>
      <c r="F260" s="358" t="s">
        <v>915</v>
      </c>
      <c r="G260" s="49">
        <v>134</v>
      </c>
      <c r="H260" s="49">
        <v>65</v>
      </c>
      <c r="I260" s="49">
        <v>53</v>
      </c>
      <c r="J260" s="49">
        <v>12</v>
      </c>
      <c r="K260" s="49">
        <v>0</v>
      </c>
      <c r="L260" s="49">
        <v>20</v>
      </c>
      <c r="M260" s="49">
        <v>20</v>
      </c>
      <c r="N260" s="49">
        <v>0</v>
      </c>
      <c r="O260" s="49">
        <v>0</v>
      </c>
      <c r="P260" s="49">
        <v>0</v>
      </c>
      <c r="Q260" s="49">
        <v>20</v>
      </c>
      <c r="R260" s="49">
        <v>0</v>
      </c>
      <c r="S260" s="49">
        <v>1263.8499999999999</v>
      </c>
      <c r="T260" s="49">
        <v>1263.8499999999999</v>
      </c>
      <c r="U260" s="49">
        <v>0</v>
      </c>
      <c r="V260" s="49">
        <v>0</v>
      </c>
      <c r="W260" s="49">
        <v>0</v>
      </c>
      <c r="X260" s="49">
        <v>1263.8499999999999</v>
      </c>
      <c r="Y260" s="434">
        <v>25277</v>
      </c>
      <c r="Z260" s="434">
        <v>0</v>
      </c>
      <c r="AA260" s="49">
        <v>0</v>
      </c>
      <c r="AB260" s="49">
        <v>65</v>
      </c>
      <c r="AC260" s="49">
        <v>0</v>
      </c>
      <c r="AD260" s="285">
        <v>0</v>
      </c>
      <c r="AE260" s="285">
        <v>0</v>
      </c>
      <c r="AF260" s="359">
        <v>65</v>
      </c>
      <c r="AG260" s="360">
        <v>0</v>
      </c>
      <c r="AH260" s="360">
        <v>53</v>
      </c>
      <c r="AI260" s="361">
        <v>53</v>
      </c>
      <c r="AJ260" s="360">
        <v>0</v>
      </c>
      <c r="AK260" s="360">
        <v>0</v>
      </c>
      <c r="AL260" s="360">
        <v>59.092425934472985</v>
      </c>
      <c r="AM260" s="360">
        <v>59.092425934472985</v>
      </c>
      <c r="AN260" s="360">
        <v>0</v>
      </c>
      <c r="AO260" s="360">
        <v>0</v>
      </c>
      <c r="AP260" s="360">
        <v>48.36006785055919</v>
      </c>
      <c r="AQ260" s="360">
        <v>48.36006785055919</v>
      </c>
      <c r="AR260" s="360">
        <v>0</v>
      </c>
      <c r="AS260" s="360">
        <v>0</v>
      </c>
      <c r="AT260" s="360">
        <v>0</v>
      </c>
      <c r="AU260" s="360">
        <v>53.721766197248854</v>
      </c>
      <c r="AV260" s="360">
        <v>56.343140577003716</v>
      </c>
      <c r="AW260" s="360">
        <v>59.092425934472985</v>
      </c>
      <c r="AX260" s="360">
        <v>61.975863735334457</v>
      </c>
      <c r="AY260" s="360">
        <v>65</v>
      </c>
      <c r="AZ260" s="360">
        <v>44.126342688880918</v>
      </c>
      <c r="BA260" s="360">
        <v>46.194728340269599</v>
      </c>
      <c r="BB260" s="360">
        <v>48.36006785055919</v>
      </c>
      <c r="BC260" s="360">
        <v>50.626905851332026</v>
      </c>
      <c r="BD260" s="360">
        <v>53</v>
      </c>
      <c r="BE260" s="360">
        <v>0</v>
      </c>
      <c r="BF260" s="360">
        <v>0</v>
      </c>
      <c r="BG260" s="360">
        <v>0</v>
      </c>
      <c r="BH260" s="360">
        <v>0</v>
      </c>
      <c r="BI260" s="360">
        <v>0</v>
      </c>
      <c r="BJ260" s="362">
        <v>65.822755328451677</v>
      </c>
      <c r="BK260" s="362">
        <v>66.655924908141756</v>
      </c>
      <c r="BL260" s="362">
        <v>67.499640560311747</v>
      </c>
      <c r="BM260" s="363">
        <v>67.055860038769723</v>
      </c>
      <c r="BN260" s="363">
        <v>66.61499717945027</v>
      </c>
      <c r="BO260" s="363">
        <v>66.402273931571287</v>
      </c>
      <c r="BP260" s="363">
        <v>66.190229977876868</v>
      </c>
      <c r="BQ260" s="363">
        <v>65.978863149160802</v>
      </c>
      <c r="BR260" s="363">
        <v>65.768171283143843</v>
      </c>
      <c r="BS260" s="363">
        <v>65.558152224451646</v>
      </c>
      <c r="BT260" s="363">
        <v>66.043083767546435</v>
      </c>
      <c r="BU260" s="363">
        <v>66.531602333665944</v>
      </c>
      <c r="BV260" s="363">
        <v>67.023734455904133</v>
      </c>
      <c r="BW260" s="363">
        <v>67.519506863619355</v>
      </c>
      <c r="BX260" s="363">
        <v>68.018946483886154</v>
      </c>
      <c r="BY260" s="435">
        <v>68.293118401924133</v>
      </c>
      <c r="BZ260" s="435">
        <v>68.567290319962112</v>
      </c>
      <c r="CA260" s="435">
        <v>68.841462238000105</v>
      </c>
      <c r="CB260" s="435">
        <v>69.115634156038084</v>
      </c>
      <c r="CC260" s="363">
        <v>69.389806074076063</v>
      </c>
      <c r="CD260" s="435">
        <v>69.614546010832328</v>
      </c>
      <c r="CE260" s="435">
        <v>69.839285947588579</v>
      </c>
      <c r="CF260" s="435">
        <v>70.064025884344844</v>
      </c>
      <c r="CG260" s="435">
        <v>70.288765821101094</v>
      </c>
      <c r="CH260" s="363">
        <v>70.513505757857359</v>
      </c>
      <c r="CI260" s="362">
        <v>53.670862037045218</v>
      </c>
      <c r="CJ260" s="362">
        <v>54.35021569433097</v>
      </c>
      <c r="CK260" s="362">
        <v>55.03816845686957</v>
      </c>
      <c r="CL260" s="363">
        <v>54.676316646996845</v>
      </c>
      <c r="CM260" s="363">
        <v>54.316843854013293</v>
      </c>
      <c r="CN260" s="363">
        <v>54.143392590358125</v>
      </c>
      <c r="CO260" s="363">
        <v>53.970495212730363</v>
      </c>
      <c r="CP260" s="363">
        <v>53.798149952392642</v>
      </c>
      <c r="CQ260" s="363">
        <v>53.626355046255739</v>
      </c>
      <c r="CR260" s="363">
        <v>53.455108736860566</v>
      </c>
      <c r="CS260" s="363">
        <v>53.850514456614775</v>
      </c>
      <c r="CT260" s="363">
        <v>54.248844979758381</v>
      </c>
      <c r="CU260" s="363">
        <v>54.650121940967978</v>
      </c>
      <c r="CV260" s="363">
        <v>55.054367134951164</v>
      </c>
      <c r="CW260" s="363">
        <v>55.46160251763024</v>
      </c>
      <c r="CX260" s="435">
        <v>55.6851580815689</v>
      </c>
      <c r="CY260" s="435">
        <v>55.908713645507568</v>
      </c>
      <c r="CZ260" s="435">
        <v>56.132269209446228</v>
      </c>
      <c r="DA260" s="435">
        <v>56.355824773384896</v>
      </c>
      <c r="DB260" s="363">
        <v>56.579380337323556</v>
      </c>
      <c r="DC260" s="435">
        <v>56.762629824217122</v>
      </c>
      <c r="DD260" s="435">
        <v>56.945879311110687</v>
      </c>
      <c r="DE260" s="435">
        <v>57.129128798004245</v>
      </c>
      <c r="DF260" s="435">
        <v>57.312378284897811</v>
      </c>
      <c r="DG260" s="363">
        <v>57.495627771791376</v>
      </c>
      <c r="DH260" s="362">
        <v>0</v>
      </c>
      <c r="DI260" s="362">
        <v>0</v>
      </c>
      <c r="DJ260" s="362">
        <v>0</v>
      </c>
      <c r="DK260" s="363">
        <v>0</v>
      </c>
      <c r="DL260" s="363">
        <v>0</v>
      </c>
      <c r="DM260" s="363">
        <v>0</v>
      </c>
      <c r="DN260" s="363">
        <v>0</v>
      </c>
      <c r="DO260" s="363">
        <v>0</v>
      </c>
      <c r="DP260" s="363">
        <v>0</v>
      </c>
      <c r="DQ260" s="363">
        <v>0</v>
      </c>
      <c r="DR260" s="363">
        <v>0</v>
      </c>
      <c r="DS260" s="363">
        <v>0</v>
      </c>
      <c r="DT260" s="363">
        <v>0</v>
      </c>
      <c r="DU260" s="363">
        <v>0</v>
      </c>
      <c r="DV260" s="363">
        <v>0</v>
      </c>
      <c r="DW260" s="435">
        <v>0</v>
      </c>
      <c r="DX260" s="435">
        <v>0</v>
      </c>
      <c r="DY260" s="435">
        <v>0</v>
      </c>
      <c r="DZ260" s="435">
        <v>0</v>
      </c>
      <c r="EA260" s="363">
        <v>0</v>
      </c>
      <c r="EB260" s="435">
        <v>0</v>
      </c>
      <c r="EC260" s="435">
        <v>0</v>
      </c>
      <c r="ED260" s="435">
        <v>0</v>
      </c>
      <c r="EE260" s="435">
        <v>0</v>
      </c>
      <c r="EF260" s="363">
        <v>0</v>
      </c>
      <c r="EG260" s="364">
        <v>0</v>
      </c>
      <c r="EH260" s="364">
        <v>0</v>
      </c>
      <c r="EI260" s="364">
        <v>0</v>
      </c>
      <c r="EJ260" s="365">
        <v>0</v>
      </c>
      <c r="EK260" s="365">
        <v>0</v>
      </c>
      <c r="EL260" s="365">
        <v>0</v>
      </c>
      <c r="EM260" s="365">
        <v>0</v>
      </c>
      <c r="EN260" s="365">
        <v>0</v>
      </c>
      <c r="EO260" s="365">
        <v>0</v>
      </c>
      <c r="EP260" s="365">
        <v>0</v>
      </c>
      <c r="EQ260" s="365">
        <v>0</v>
      </c>
      <c r="ER260" s="365">
        <v>0</v>
      </c>
      <c r="ES260" s="365">
        <v>0</v>
      </c>
      <c r="ET260" s="365">
        <v>0</v>
      </c>
      <c r="EU260" s="365">
        <v>0</v>
      </c>
      <c r="EV260" s="436">
        <v>0</v>
      </c>
      <c r="EW260" s="436">
        <v>0</v>
      </c>
      <c r="EX260" s="436">
        <v>0</v>
      </c>
      <c r="EY260" s="436">
        <v>0</v>
      </c>
      <c r="EZ260" s="365">
        <v>0</v>
      </c>
      <c r="FA260" s="436">
        <v>0</v>
      </c>
      <c r="FB260" s="436">
        <v>0</v>
      </c>
      <c r="FC260" s="436">
        <v>0</v>
      </c>
      <c r="FD260" s="436">
        <v>0</v>
      </c>
      <c r="FE260" s="365">
        <v>0</v>
      </c>
      <c r="FF260" s="364">
        <v>0</v>
      </c>
      <c r="FG260" s="364">
        <v>0</v>
      </c>
      <c r="FH260" s="364">
        <v>0</v>
      </c>
      <c r="FI260" s="365">
        <v>0</v>
      </c>
      <c r="FJ260" s="365">
        <v>0</v>
      </c>
      <c r="FK260" s="365">
        <v>0</v>
      </c>
      <c r="FL260" s="365">
        <v>0</v>
      </c>
      <c r="FM260" s="365">
        <v>0</v>
      </c>
      <c r="FN260" s="365">
        <v>0</v>
      </c>
      <c r="FO260" s="365">
        <v>0</v>
      </c>
      <c r="FP260" s="365">
        <v>0</v>
      </c>
      <c r="FQ260" s="365">
        <v>0</v>
      </c>
      <c r="FR260" s="365">
        <v>0</v>
      </c>
      <c r="FS260" s="365">
        <v>0</v>
      </c>
      <c r="FT260" s="365">
        <v>0</v>
      </c>
      <c r="FU260" s="436">
        <v>0</v>
      </c>
      <c r="FV260" s="436">
        <v>0</v>
      </c>
      <c r="FW260" s="436">
        <v>0</v>
      </c>
      <c r="FX260" s="436">
        <v>0</v>
      </c>
      <c r="FY260" s="365">
        <v>0</v>
      </c>
      <c r="FZ260" s="436">
        <v>0</v>
      </c>
      <c r="GA260" s="436">
        <v>0</v>
      </c>
      <c r="GB260" s="436">
        <v>0</v>
      </c>
      <c r="GC260" s="436">
        <v>0</v>
      </c>
      <c r="GD260" s="365">
        <v>0</v>
      </c>
    </row>
    <row r="261" spans="1:186" ht="15" x14ac:dyDescent="0.25">
      <c r="A261" s="357">
        <v>131</v>
      </c>
      <c r="B261" s="357">
        <v>96</v>
      </c>
      <c r="C261" s="357" t="s">
        <v>1171</v>
      </c>
      <c r="D261" s="2">
        <v>99712</v>
      </c>
      <c r="E261" s="268" t="s">
        <v>19</v>
      </c>
      <c r="F261" s="358" t="s">
        <v>915</v>
      </c>
      <c r="G261" s="49">
        <v>40</v>
      </c>
      <c r="H261" s="49">
        <v>19</v>
      </c>
      <c r="I261" s="49">
        <v>16</v>
      </c>
      <c r="J261" s="49">
        <v>3</v>
      </c>
      <c r="K261" s="49">
        <v>0</v>
      </c>
      <c r="L261" s="49">
        <v>21</v>
      </c>
      <c r="M261" s="49">
        <v>21</v>
      </c>
      <c r="N261" s="49">
        <v>0</v>
      </c>
      <c r="O261" s="49">
        <v>0</v>
      </c>
      <c r="P261" s="49">
        <v>0</v>
      </c>
      <c r="Q261" s="49">
        <v>21</v>
      </c>
      <c r="R261" s="49">
        <v>0</v>
      </c>
      <c r="S261" s="49">
        <v>1460.0952380952381</v>
      </c>
      <c r="T261" s="49">
        <v>1460.0952380952381</v>
      </c>
      <c r="U261" s="49">
        <v>0</v>
      </c>
      <c r="V261" s="49">
        <v>0</v>
      </c>
      <c r="W261" s="49">
        <v>0</v>
      </c>
      <c r="X261" s="49">
        <v>1460.0952380952381</v>
      </c>
      <c r="Y261" s="434">
        <v>30662</v>
      </c>
      <c r="Z261" s="434">
        <v>0</v>
      </c>
      <c r="AA261" s="49">
        <v>0</v>
      </c>
      <c r="AB261" s="49">
        <v>19</v>
      </c>
      <c r="AC261" s="49">
        <v>0</v>
      </c>
      <c r="AD261" s="285">
        <v>0</v>
      </c>
      <c r="AE261" s="285">
        <v>0</v>
      </c>
      <c r="AF261" s="359">
        <v>19</v>
      </c>
      <c r="AG261" s="360">
        <v>0</v>
      </c>
      <c r="AH261" s="360">
        <v>16</v>
      </c>
      <c r="AI261" s="361">
        <v>16</v>
      </c>
      <c r="AJ261" s="360">
        <v>0</v>
      </c>
      <c r="AK261" s="360">
        <v>0</v>
      </c>
      <c r="AL261" s="360">
        <v>17.273170657769025</v>
      </c>
      <c r="AM261" s="360">
        <v>17.273170657769025</v>
      </c>
      <c r="AN261" s="360">
        <v>0</v>
      </c>
      <c r="AO261" s="360">
        <v>0</v>
      </c>
      <c r="AP261" s="360">
        <v>14.599265766206548</v>
      </c>
      <c r="AQ261" s="360">
        <v>14.599265766206548</v>
      </c>
      <c r="AR261" s="360">
        <v>0</v>
      </c>
      <c r="AS261" s="360">
        <v>0</v>
      </c>
      <c r="AT261" s="360">
        <v>0</v>
      </c>
      <c r="AU261" s="360">
        <v>15.703285503811204</v>
      </c>
      <c r="AV261" s="360">
        <v>16.469533399431857</v>
      </c>
      <c r="AW261" s="360">
        <v>17.273170657769025</v>
      </c>
      <c r="AX261" s="360">
        <v>18.116021707251608</v>
      </c>
      <c r="AY261" s="360">
        <v>19</v>
      </c>
      <c r="AZ261" s="360">
        <v>13.321160057020654</v>
      </c>
      <c r="BA261" s="360">
        <v>13.945578366873843</v>
      </c>
      <c r="BB261" s="360">
        <v>14.599265766206548</v>
      </c>
      <c r="BC261" s="360">
        <v>15.283594219270046</v>
      </c>
      <c r="BD261" s="360">
        <v>16</v>
      </c>
      <c r="BE261" s="360">
        <v>0</v>
      </c>
      <c r="BF261" s="360">
        <v>0</v>
      </c>
      <c r="BG261" s="360">
        <v>0</v>
      </c>
      <c r="BH261" s="360">
        <v>0</v>
      </c>
      <c r="BI261" s="360">
        <v>0</v>
      </c>
      <c r="BJ261" s="362">
        <v>19.240497711393569</v>
      </c>
      <c r="BK261" s="362">
        <v>19.484039588533744</v>
      </c>
      <c r="BL261" s="362">
        <v>19.73066416378343</v>
      </c>
      <c r="BM261" s="363">
        <v>19.600943703640379</v>
      </c>
      <c r="BN261" s="363">
        <v>19.472076098608539</v>
      </c>
      <c r="BO261" s="363">
        <v>19.409895456920836</v>
      </c>
      <c r="BP261" s="363">
        <v>19.347913378148622</v>
      </c>
      <c r="BQ261" s="363">
        <v>19.286129228216229</v>
      </c>
      <c r="BR261" s="363">
        <v>19.224542375072811</v>
      </c>
      <c r="BS261" s="363">
        <v>19.163152188685864</v>
      </c>
      <c r="BT261" s="363">
        <v>19.304901408975109</v>
      </c>
      <c r="BU261" s="363">
        <v>19.447699143686968</v>
      </c>
      <c r="BV261" s="363">
        <v>19.591553148648895</v>
      </c>
      <c r="BW261" s="363">
        <v>19.736471237057962</v>
      </c>
      <c r="BX261" s="363">
        <v>19.882461279905179</v>
      </c>
      <c r="BY261" s="435">
        <v>19.962603840562437</v>
      </c>
      <c r="BZ261" s="435">
        <v>20.042746401219691</v>
      </c>
      <c r="CA261" s="435">
        <v>20.122888961876949</v>
      </c>
      <c r="CB261" s="435">
        <v>20.203031522534204</v>
      </c>
      <c r="CC261" s="363">
        <v>20.283174083191462</v>
      </c>
      <c r="CD261" s="435">
        <v>20.348867295474061</v>
      </c>
      <c r="CE261" s="435">
        <v>20.414560507756658</v>
      </c>
      <c r="CF261" s="435">
        <v>20.480253720039258</v>
      </c>
      <c r="CG261" s="435">
        <v>20.545946932321854</v>
      </c>
      <c r="CH261" s="363">
        <v>20.611640144604454</v>
      </c>
      <c r="CI261" s="362">
        <v>16.202524388541953</v>
      </c>
      <c r="CJ261" s="362">
        <v>16.407612285081047</v>
      </c>
      <c r="CK261" s="362">
        <v>16.61529613792289</v>
      </c>
      <c r="CL261" s="363">
        <v>16.506057855697161</v>
      </c>
      <c r="CM261" s="363">
        <v>16.397537767249297</v>
      </c>
      <c r="CN261" s="363">
        <v>16.345175121617547</v>
      </c>
      <c r="CO261" s="363">
        <v>16.292979686861997</v>
      </c>
      <c r="CP261" s="363">
        <v>16.240950929024194</v>
      </c>
      <c r="CQ261" s="363">
        <v>16.189088315850789</v>
      </c>
      <c r="CR261" s="363">
        <v>16.137391316788097</v>
      </c>
      <c r="CS261" s="363">
        <v>16.256759081242198</v>
      </c>
      <c r="CT261" s="363">
        <v>16.377009805210079</v>
      </c>
      <c r="CU261" s="363">
        <v>16.49815001991486</v>
      </c>
      <c r="CV261" s="363">
        <v>16.620186304890918</v>
      </c>
      <c r="CW261" s="363">
        <v>16.743125288341204</v>
      </c>
      <c r="CX261" s="435">
        <v>16.810613760473633</v>
      </c>
      <c r="CY261" s="435">
        <v>16.878102232606057</v>
      </c>
      <c r="CZ261" s="435">
        <v>16.945590704738485</v>
      </c>
      <c r="DA261" s="435">
        <v>17.01307917687091</v>
      </c>
      <c r="DB261" s="363">
        <v>17.080567649003338</v>
      </c>
      <c r="DC261" s="435">
        <v>17.135888248820262</v>
      </c>
      <c r="DD261" s="435">
        <v>17.191208848637189</v>
      </c>
      <c r="DE261" s="435">
        <v>17.246529448454112</v>
      </c>
      <c r="DF261" s="435">
        <v>17.301850048271039</v>
      </c>
      <c r="DG261" s="363">
        <v>17.357170648087962</v>
      </c>
      <c r="DH261" s="362">
        <v>0</v>
      </c>
      <c r="DI261" s="362">
        <v>0</v>
      </c>
      <c r="DJ261" s="362">
        <v>0</v>
      </c>
      <c r="DK261" s="363">
        <v>0</v>
      </c>
      <c r="DL261" s="363">
        <v>0</v>
      </c>
      <c r="DM261" s="363">
        <v>0</v>
      </c>
      <c r="DN261" s="363">
        <v>0</v>
      </c>
      <c r="DO261" s="363">
        <v>0</v>
      </c>
      <c r="DP261" s="363">
        <v>0</v>
      </c>
      <c r="DQ261" s="363">
        <v>0</v>
      </c>
      <c r="DR261" s="363">
        <v>0</v>
      </c>
      <c r="DS261" s="363">
        <v>0</v>
      </c>
      <c r="DT261" s="363">
        <v>0</v>
      </c>
      <c r="DU261" s="363">
        <v>0</v>
      </c>
      <c r="DV261" s="363">
        <v>0</v>
      </c>
      <c r="DW261" s="435">
        <v>0</v>
      </c>
      <c r="DX261" s="435">
        <v>0</v>
      </c>
      <c r="DY261" s="435">
        <v>0</v>
      </c>
      <c r="DZ261" s="435">
        <v>0</v>
      </c>
      <c r="EA261" s="363">
        <v>0</v>
      </c>
      <c r="EB261" s="435">
        <v>0</v>
      </c>
      <c r="EC261" s="435">
        <v>0</v>
      </c>
      <c r="ED261" s="435">
        <v>0</v>
      </c>
      <c r="EE261" s="435">
        <v>0</v>
      </c>
      <c r="EF261" s="363">
        <v>0</v>
      </c>
      <c r="EG261" s="364">
        <v>0</v>
      </c>
      <c r="EH261" s="364">
        <v>0</v>
      </c>
      <c r="EI261" s="364">
        <v>0</v>
      </c>
      <c r="EJ261" s="365">
        <v>0</v>
      </c>
      <c r="EK261" s="365">
        <v>0</v>
      </c>
      <c r="EL261" s="365">
        <v>0</v>
      </c>
      <c r="EM261" s="365">
        <v>0</v>
      </c>
      <c r="EN261" s="365">
        <v>0</v>
      </c>
      <c r="EO261" s="365">
        <v>0</v>
      </c>
      <c r="EP261" s="365">
        <v>0</v>
      </c>
      <c r="EQ261" s="365">
        <v>0</v>
      </c>
      <c r="ER261" s="365">
        <v>0</v>
      </c>
      <c r="ES261" s="365">
        <v>0</v>
      </c>
      <c r="ET261" s="365">
        <v>0</v>
      </c>
      <c r="EU261" s="365">
        <v>0</v>
      </c>
      <c r="EV261" s="436">
        <v>0</v>
      </c>
      <c r="EW261" s="436">
        <v>0</v>
      </c>
      <c r="EX261" s="436">
        <v>0</v>
      </c>
      <c r="EY261" s="436">
        <v>0</v>
      </c>
      <c r="EZ261" s="365">
        <v>0</v>
      </c>
      <c r="FA261" s="436">
        <v>0</v>
      </c>
      <c r="FB261" s="436">
        <v>0</v>
      </c>
      <c r="FC261" s="436">
        <v>0</v>
      </c>
      <c r="FD261" s="436">
        <v>0</v>
      </c>
      <c r="FE261" s="365">
        <v>0</v>
      </c>
      <c r="FF261" s="364">
        <v>0</v>
      </c>
      <c r="FG261" s="364">
        <v>0</v>
      </c>
      <c r="FH261" s="364">
        <v>0</v>
      </c>
      <c r="FI261" s="365">
        <v>0</v>
      </c>
      <c r="FJ261" s="365">
        <v>0</v>
      </c>
      <c r="FK261" s="365">
        <v>0</v>
      </c>
      <c r="FL261" s="365">
        <v>0</v>
      </c>
      <c r="FM261" s="365">
        <v>0</v>
      </c>
      <c r="FN261" s="365">
        <v>0</v>
      </c>
      <c r="FO261" s="365">
        <v>0</v>
      </c>
      <c r="FP261" s="365">
        <v>0</v>
      </c>
      <c r="FQ261" s="365">
        <v>0</v>
      </c>
      <c r="FR261" s="365">
        <v>0</v>
      </c>
      <c r="FS261" s="365">
        <v>0</v>
      </c>
      <c r="FT261" s="365">
        <v>0</v>
      </c>
      <c r="FU261" s="436">
        <v>0</v>
      </c>
      <c r="FV261" s="436">
        <v>0</v>
      </c>
      <c r="FW261" s="436">
        <v>0</v>
      </c>
      <c r="FX261" s="436">
        <v>0</v>
      </c>
      <c r="FY261" s="365">
        <v>0</v>
      </c>
      <c r="FZ261" s="436">
        <v>0</v>
      </c>
      <c r="GA261" s="436">
        <v>0</v>
      </c>
      <c r="GB261" s="436">
        <v>0</v>
      </c>
      <c r="GC261" s="436">
        <v>0</v>
      </c>
      <c r="GD261" s="365">
        <v>0</v>
      </c>
    </row>
    <row r="262" spans="1:186" ht="15" x14ac:dyDescent="0.25">
      <c r="A262" s="357">
        <v>132</v>
      </c>
      <c r="B262" s="357">
        <v>96</v>
      </c>
      <c r="C262" s="357" t="s">
        <v>1172</v>
      </c>
      <c r="D262" s="2">
        <v>99712</v>
      </c>
      <c r="E262" s="268" t="s">
        <v>19</v>
      </c>
      <c r="F262" s="358" t="s">
        <v>915</v>
      </c>
      <c r="G262" s="49">
        <v>19</v>
      </c>
      <c r="H262" s="49">
        <v>10</v>
      </c>
      <c r="I262" s="49">
        <v>8</v>
      </c>
      <c r="J262" s="49">
        <v>2</v>
      </c>
      <c r="K262" s="49">
        <v>0</v>
      </c>
      <c r="L262" s="49">
        <v>5</v>
      </c>
      <c r="M262" s="49">
        <v>5</v>
      </c>
      <c r="N262" s="49">
        <v>0</v>
      </c>
      <c r="O262" s="49">
        <v>0</v>
      </c>
      <c r="P262" s="49">
        <v>0</v>
      </c>
      <c r="Q262" s="49">
        <v>5</v>
      </c>
      <c r="R262" s="49">
        <v>0</v>
      </c>
      <c r="S262" s="49">
        <v>1197</v>
      </c>
      <c r="T262" s="49">
        <v>1197</v>
      </c>
      <c r="U262" s="49">
        <v>0</v>
      </c>
      <c r="V262" s="49">
        <v>0</v>
      </c>
      <c r="W262" s="49">
        <v>0</v>
      </c>
      <c r="X262" s="49">
        <v>1197</v>
      </c>
      <c r="Y262" s="434">
        <v>5985</v>
      </c>
      <c r="Z262" s="434">
        <v>0</v>
      </c>
      <c r="AA262" s="49">
        <v>0</v>
      </c>
      <c r="AB262" s="49">
        <v>10</v>
      </c>
      <c r="AC262" s="49">
        <v>0</v>
      </c>
      <c r="AD262" s="285">
        <v>0</v>
      </c>
      <c r="AE262" s="285">
        <v>0</v>
      </c>
      <c r="AF262" s="359">
        <v>10</v>
      </c>
      <c r="AG262" s="360">
        <v>0</v>
      </c>
      <c r="AH262" s="360">
        <v>8</v>
      </c>
      <c r="AI262" s="361">
        <v>8</v>
      </c>
      <c r="AJ262" s="360">
        <v>0</v>
      </c>
      <c r="AK262" s="360">
        <v>0</v>
      </c>
      <c r="AL262" s="360">
        <v>9.0911424514573813</v>
      </c>
      <c r="AM262" s="360">
        <v>9.0911424514573813</v>
      </c>
      <c r="AN262" s="360">
        <v>0</v>
      </c>
      <c r="AO262" s="360">
        <v>0</v>
      </c>
      <c r="AP262" s="360">
        <v>7.299632883103274</v>
      </c>
      <c r="AQ262" s="360">
        <v>7.299632883103274</v>
      </c>
      <c r="AR262" s="360">
        <v>0</v>
      </c>
      <c r="AS262" s="360">
        <v>0</v>
      </c>
      <c r="AT262" s="360">
        <v>0</v>
      </c>
      <c r="AU262" s="360">
        <v>8.264887107269054</v>
      </c>
      <c r="AV262" s="360">
        <v>8.6681754733851868</v>
      </c>
      <c r="AW262" s="360">
        <v>9.0911424514573813</v>
      </c>
      <c r="AX262" s="360">
        <v>9.5347482669745318</v>
      </c>
      <c r="AY262" s="360">
        <v>10</v>
      </c>
      <c r="AZ262" s="360">
        <v>6.6605800285103269</v>
      </c>
      <c r="BA262" s="360">
        <v>6.9727891834369213</v>
      </c>
      <c r="BB262" s="360">
        <v>7.299632883103274</v>
      </c>
      <c r="BC262" s="360">
        <v>7.6417971096350232</v>
      </c>
      <c r="BD262" s="360">
        <v>8</v>
      </c>
      <c r="BE262" s="360">
        <v>0</v>
      </c>
      <c r="BF262" s="360">
        <v>0</v>
      </c>
      <c r="BG262" s="360">
        <v>0</v>
      </c>
      <c r="BH262" s="360">
        <v>0</v>
      </c>
      <c r="BI262" s="360">
        <v>0</v>
      </c>
      <c r="BJ262" s="362">
        <v>10.12657774283872</v>
      </c>
      <c r="BK262" s="362">
        <v>10.254757678175654</v>
      </c>
      <c r="BL262" s="362">
        <v>10.384560086201805</v>
      </c>
      <c r="BM262" s="363">
        <v>10.316286159810724</v>
      </c>
      <c r="BN262" s="363">
        <v>10.24846110453081</v>
      </c>
      <c r="BO262" s="363">
        <v>10.215734451010967</v>
      </c>
      <c r="BP262" s="363">
        <v>10.183112304288748</v>
      </c>
      <c r="BQ262" s="363">
        <v>10.150594330640121</v>
      </c>
      <c r="BR262" s="363">
        <v>10.118180197406744</v>
      </c>
      <c r="BS262" s="363">
        <v>10.085869572992559</v>
      </c>
      <c r="BT262" s="363">
        <v>10.160474425776373</v>
      </c>
      <c r="BU262" s="363">
        <v>10.235631128256298</v>
      </c>
      <c r="BV262" s="363">
        <v>10.311343762446787</v>
      </c>
      <c r="BW262" s="363">
        <v>10.387616440556823</v>
      </c>
      <c r="BX262" s="363">
        <v>10.464453305213253</v>
      </c>
      <c r="BY262" s="435">
        <v>10.50663360029602</v>
      </c>
      <c r="BZ262" s="435">
        <v>10.548813895378785</v>
      </c>
      <c r="CA262" s="435">
        <v>10.590994190461553</v>
      </c>
      <c r="CB262" s="435">
        <v>10.633174485544318</v>
      </c>
      <c r="CC262" s="363">
        <v>10.675354780627085</v>
      </c>
      <c r="CD262" s="435">
        <v>10.709930155512664</v>
      </c>
      <c r="CE262" s="435">
        <v>10.744505530398241</v>
      </c>
      <c r="CF262" s="435">
        <v>10.77908090528382</v>
      </c>
      <c r="CG262" s="435">
        <v>10.813656280169397</v>
      </c>
      <c r="CH262" s="363">
        <v>10.848231655054976</v>
      </c>
      <c r="CI262" s="362">
        <v>8.1012621942709764</v>
      </c>
      <c r="CJ262" s="362">
        <v>8.2038061425405235</v>
      </c>
      <c r="CK262" s="362">
        <v>8.3076480689614449</v>
      </c>
      <c r="CL262" s="363">
        <v>8.2530289278485807</v>
      </c>
      <c r="CM262" s="363">
        <v>8.1987688836246484</v>
      </c>
      <c r="CN262" s="363">
        <v>8.1725875608087737</v>
      </c>
      <c r="CO262" s="363">
        <v>8.1464898434309987</v>
      </c>
      <c r="CP262" s="363">
        <v>8.1204754645120971</v>
      </c>
      <c r="CQ262" s="363">
        <v>8.0945441579253945</v>
      </c>
      <c r="CR262" s="363">
        <v>8.0686956583940486</v>
      </c>
      <c r="CS262" s="363">
        <v>8.1283795406210988</v>
      </c>
      <c r="CT262" s="363">
        <v>8.1885049026050396</v>
      </c>
      <c r="CU262" s="363">
        <v>8.2490750099574299</v>
      </c>
      <c r="CV262" s="363">
        <v>8.3100931524454591</v>
      </c>
      <c r="CW262" s="363">
        <v>8.3715626441706021</v>
      </c>
      <c r="CX262" s="435">
        <v>8.4053068802368163</v>
      </c>
      <c r="CY262" s="435">
        <v>8.4390511163030286</v>
      </c>
      <c r="CZ262" s="435">
        <v>8.4727953523692427</v>
      </c>
      <c r="DA262" s="435">
        <v>8.5065395884354551</v>
      </c>
      <c r="DB262" s="363">
        <v>8.5402838245016692</v>
      </c>
      <c r="DC262" s="435">
        <v>8.5679441244101309</v>
      </c>
      <c r="DD262" s="435">
        <v>8.5956044243185943</v>
      </c>
      <c r="DE262" s="435">
        <v>8.6232647242270559</v>
      </c>
      <c r="DF262" s="435">
        <v>8.6509250241355193</v>
      </c>
      <c r="DG262" s="363">
        <v>8.678585324043981</v>
      </c>
      <c r="DH262" s="362">
        <v>0</v>
      </c>
      <c r="DI262" s="362">
        <v>0</v>
      </c>
      <c r="DJ262" s="362">
        <v>0</v>
      </c>
      <c r="DK262" s="363">
        <v>0</v>
      </c>
      <c r="DL262" s="363">
        <v>0</v>
      </c>
      <c r="DM262" s="363">
        <v>0</v>
      </c>
      <c r="DN262" s="363">
        <v>0</v>
      </c>
      <c r="DO262" s="363">
        <v>0</v>
      </c>
      <c r="DP262" s="363">
        <v>0</v>
      </c>
      <c r="DQ262" s="363">
        <v>0</v>
      </c>
      <c r="DR262" s="363">
        <v>0</v>
      </c>
      <c r="DS262" s="363">
        <v>0</v>
      </c>
      <c r="DT262" s="363">
        <v>0</v>
      </c>
      <c r="DU262" s="363">
        <v>0</v>
      </c>
      <c r="DV262" s="363">
        <v>0</v>
      </c>
      <c r="DW262" s="435">
        <v>0</v>
      </c>
      <c r="DX262" s="435">
        <v>0</v>
      </c>
      <c r="DY262" s="435">
        <v>0</v>
      </c>
      <c r="DZ262" s="435">
        <v>0</v>
      </c>
      <c r="EA262" s="363">
        <v>0</v>
      </c>
      <c r="EB262" s="435">
        <v>0</v>
      </c>
      <c r="EC262" s="435">
        <v>0</v>
      </c>
      <c r="ED262" s="435">
        <v>0</v>
      </c>
      <c r="EE262" s="435">
        <v>0</v>
      </c>
      <c r="EF262" s="363">
        <v>0</v>
      </c>
      <c r="EG262" s="364">
        <v>0</v>
      </c>
      <c r="EH262" s="364">
        <v>0</v>
      </c>
      <c r="EI262" s="364">
        <v>0</v>
      </c>
      <c r="EJ262" s="365">
        <v>0</v>
      </c>
      <c r="EK262" s="365">
        <v>0</v>
      </c>
      <c r="EL262" s="365">
        <v>0</v>
      </c>
      <c r="EM262" s="365">
        <v>0</v>
      </c>
      <c r="EN262" s="365">
        <v>0</v>
      </c>
      <c r="EO262" s="365">
        <v>0</v>
      </c>
      <c r="EP262" s="365">
        <v>0</v>
      </c>
      <c r="EQ262" s="365">
        <v>0</v>
      </c>
      <c r="ER262" s="365">
        <v>0</v>
      </c>
      <c r="ES262" s="365">
        <v>0</v>
      </c>
      <c r="ET262" s="365">
        <v>0</v>
      </c>
      <c r="EU262" s="365">
        <v>0</v>
      </c>
      <c r="EV262" s="436">
        <v>0</v>
      </c>
      <c r="EW262" s="436">
        <v>0</v>
      </c>
      <c r="EX262" s="436">
        <v>0</v>
      </c>
      <c r="EY262" s="436">
        <v>0</v>
      </c>
      <c r="EZ262" s="365">
        <v>0</v>
      </c>
      <c r="FA262" s="436">
        <v>0</v>
      </c>
      <c r="FB262" s="436">
        <v>0</v>
      </c>
      <c r="FC262" s="436">
        <v>0</v>
      </c>
      <c r="FD262" s="436">
        <v>0</v>
      </c>
      <c r="FE262" s="365">
        <v>0</v>
      </c>
      <c r="FF262" s="364">
        <v>0</v>
      </c>
      <c r="FG262" s="364">
        <v>0</v>
      </c>
      <c r="FH262" s="364">
        <v>0</v>
      </c>
      <c r="FI262" s="365">
        <v>0</v>
      </c>
      <c r="FJ262" s="365">
        <v>0</v>
      </c>
      <c r="FK262" s="365">
        <v>0</v>
      </c>
      <c r="FL262" s="365">
        <v>0</v>
      </c>
      <c r="FM262" s="365">
        <v>0</v>
      </c>
      <c r="FN262" s="365">
        <v>0</v>
      </c>
      <c r="FO262" s="365">
        <v>0</v>
      </c>
      <c r="FP262" s="365">
        <v>0</v>
      </c>
      <c r="FQ262" s="365">
        <v>0</v>
      </c>
      <c r="FR262" s="365">
        <v>0</v>
      </c>
      <c r="FS262" s="365">
        <v>0</v>
      </c>
      <c r="FT262" s="365">
        <v>0</v>
      </c>
      <c r="FU262" s="436">
        <v>0</v>
      </c>
      <c r="FV262" s="436">
        <v>0</v>
      </c>
      <c r="FW262" s="436">
        <v>0</v>
      </c>
      <c r="FX262" s="436">
        <v>0</v>
      </c>
      <c r="FY262" s="365">
        <v>0</v>
      </c>
      <c r="FZ262" s="436">
        <v>0</v>
      </c>
      <c r="GA262" s="436">
        <v>0</v>
      </c>
      <c r="GB262" s="436">
        <v>0</v>
      </c>
      <c r="GC262" s="436">
        <v>0</v>
      </c>
      <c r="GD262" s="365">
        <v>0</v>
      </c>
    </row>
    <row r="263" spans="1:186" ht="15" x14ac:dyDescent="0.25">
      <c r="A263" s="357">
        <v>138</v>
      </c>
      <c r="B263" s="357">
        <v>96</v>
      </c>
      <c r="C263" s="357" t="s">
        <v>1173</v>
      </c>
      <c r="D263" s="2">
        <v>99712</v>
      </c>
      <c r="E263" s="268" t="s">
        <v>19</v>
      </c>
      <c r="F263" s="358" t="s">
        <v>915</v>
      </c>
      <c r="G263" s="49">
        <v>482</v>
      </c>
      <c r="H263" s="49">
        <v>272</v>
      </c>
      <c r="I263" s="49">
        <v>205</v>
      </c>
      <c r="J263" s="49">
        <v>67</v>
      </c>
      <c r="K263" s="49">
        <v>0</v>
      </c>
      <c r="L263" s="49">
        <v>8</v>
      </c>
      <c r="M263" s="49">
        <v>8</v>
      </c>
      <c r="N263" s="49">
        <v>0</v>
      </c>
      <c r="O263" s="49">
        <v>0</v>
      </c>
      <c r="P263" s="49">
        <v>0</v>
      </c>
      <c r="Q263" s="49">
        <v>8</v>
      </c>
      <c r="R263" s="49">
        <v>0</v>
      </c>
      <c r="S263" s="49">
        <v>1442.375</v>
      </c>
      <c r="T263" s="49">
        <v>1442.375</v>
      </c>
      <c r="U263" s="49">
        <v>0</v>
      </c>
      <c r="V263" s="49">
        <v>0</v>
      </c>
      <c r="W263" s="49">
        <v>0</v>
      </c>
      <c r="X263" s="49">
        <v>1442.375</v>
      </c>
      <c r="Y263" s="434">
        <v>11539</v>
      </c>
      <c r="Z263" s="434">
        <v>0</v>
      </c>
      <c r="AA263" s="49">
        <v>0</v>
      </c>
      <c r="AB263" s="49">
        <v>272</v>
      </c>
      <c r="AC263" s="49">
        <v>0</v>
      </c>
      <c r="AD263" s="285">
        <v>0</v>
      </c>
      <c r="AE263" s="285">
        <v>0</v>
      </c>
      <c r="AF263" s="359">
        <v>272</v>
      </c>
      <c r="AG263" s="360">
        <v>0</v>
      </c>
      <c r="AH263" s="360">
        <v>205</v>
      </c>
      <c r="AI263" s="361">
        <v>205</v>
      </c>
      <c r="AJ263" s="360">
        <v>0</v>
      </c>
      <c r="AK263" s="360">
        <v>0</v>
      </c>
      <c r="AL263" s="360">
        <v>247.27907467964079</v>
      </c>
      <c r="AM263" s="360">
        <v>247.27907467964079</v>
      </c>
      <c r="AN263" s="360">
        <v>0</v>
      </c>
      <c r="AO263" s="360">
        <v>0</v>
      </c>
      <c r="AP263" s="360">
        <v>187.05309262952139</v>
      </c>
      <c r="AQ263" s="360">
        <v>187.05309262952139</v>
      </c>
      <c r="AR263" s="360">
        <v>0</v>
      </c>
      <c r="AS263" s="360">
        <v>0</v>
      </c>
      <c r="AT263" s="360">
        <v>0</v>
      </c>
      <c r="AU263" s="360">
        <v>224.80492931771826</v>
      </c>
      <c r="AV263" s="360">
        <v>235.77437287607711</v>
      </c>
      <c r="AW263" s="360">
        <v>247.27907467964079</v>
      </c>
      <c r="AX263" s="360">
        <v>259.34515286170728</v>
      </c>
      <c r="AY263" s="360">
        <v>272</v>
      </c>
      <c r="AZ263" s="360">
        <v>170.67736323057713</v>
      </c>
      <c r="BA263" s="360">
        <v>178.6777228255711</v>
      </c>
      <c r="BB263" s="360">
        <v>187.05309262952139</v>
      </c>
      <c r="BC263" s="360">
        <v>195.82105093439748</v>
      </c>
      <c r="BD263" s="360">
        <v>205</v>
      </c>
      <c r="BE263" s="360">
        <v>0</v>
      </c>
      <c r="BF263" s="360">
        <v>0</v>
      </c>
      <c r="BG263" s="360">
        <v>0</v>
      </c>
      <c r="BH263" s="360">
        <v>0</v>
      </c>
      <c r="BI263" s="360">
        <v>0</v>
      </c>
      <c r="BJ263" s="362">
        <v>275.44291460521322</v>
      </c>
      <c r="BK263" s="362">
        <v>278.92940884637778</v>
      </c>
      <c r="BL263" s="362">
        <v>282.46003434468912</v>
      </c>
      <c r="BM263" s="363">
        <v>280.60298354685176</v>
      </c>
      <c r="BN263" s="363">
        <v>278.75814204323802</v>
      </c>
      <c r="BO263" s="363">
        <v>277.86797706749832</v>
      </c>
      <c r="BP263" s="363">
        <v>276.98065467665396</v>
      </c>
      <c r="BQ263" s="363">
        <v>276.09616579341127</v>
      </c>
      <c r="BR263" s="363">
        <v>275.21450136946345</v>
      </c>
      <c r="BS263" s="363">
        <v>274.33565238539762</v>
      </c>
      <c r="BT263" s="363">
        <v>276.36490438111736</v>
      </c>
      <c r="BU263" s="363">
        <v>278.4091666885713</v>
      </c>
      <c r="BV263" s="363">
        <v>280.46855033855263</v>
      </c>
      <c r="BW263" s="363">
        <v>282.54316718314561</v>
      </c>
      <c r="BX263" s="363">
        <v>284.63312990180049</v>
      </c>
      <c r="BY263" s="435">
        <v>285.78043392805176</v>
      </c>
      <c r="BZ263" s="435">
        <v>286.92773795430298</v>
      </c>
      <c r="CA263" s="435">
        <v>288.07504198055426</v>
      </c>
      <c r="CB263" s="435">
        <v>289.22234600680548</v>
      </c>
      <c r="CC263" s="363">
        <v>290.36965003305676</v>
      </c>
      <c r="CD263" s="435">
        <v>291.31010022994445</v>
      </c>
      <c r="CE263" s="435">
        <v>292.25055042683221</v>
      </c>
      <c r="CF263" s="435">
        <v>293.1910006237199</v>
      </c>
      <c r="CG263" s="435">
        <v>294.13145082060765</v>
      </c>
      <c r="CH263" s="363">
        <v>295.07190101749535</v>
      </c>
      <c r="CI263" s="362">
        <v>207.59484372819378</v>
      </c>
      <c r="CJ263" s="362">
        <v>210.2225324026009</v>
      </c>
      <c r="CK263" s="362">
        <v>212.88348176713703</v>
      </c>
      <c r="CL263" s="363">
        <v>211.48386627611987</v>
      </c>
      <c r="CM263" s="363">
        <v>210.0934526428816</v>
      </c>
      <c r="CN263" s="363">
        <v>209.42255624572482</v>
      </c>
      <c r="CO263" s="363">
        <v>208.75380223791933</v>
      </c>
      <c r="CP263" s="363">
        <v>208.08718377812249</v>
      </c>
      <c r="CQ263" s="363">
        <v>207.42269404683825</v>
      </c>
      <c r="CR263" s="363">
        <v>206.76032624634749</v>
      </c>
      <c r="CS263" s="363">
        <v>208.28972572841565</v>
      </c>
      <c r="CT263" s="363">
        <v>209.83043812925413</v>
      </c>
      <c r="CU263" s="363">
        <v>211.38254713015917</v>
      </c>
      <c r="CV263" s="363">
        <v>212.94613703141488</v>
      </c>
      <c r="CW263" s="363">
        <v>214.5212927568717</v>
      </c>
      <c r="CX263" s="435">
        <v>215.38598880606841</v>
      </c>
      <c r="CY263" s="435">
        <v>216.25068485526512</v>
      </c>
      <c r="CZ263" s="435">
        <v>217.11538090446186</v>
      </c>
      <c r="DA263" s="435">
        <v>217.98007695365857</v>
      </c>
      <c r="DB263" s="363">
        <v>218.84477300285528</v>
      </c>
      <c r="DC263" s="435">
        <v>219.55356818800962</v>
      </c>
      <c r="DD263" s="435">
        <v>220.26236337316396</v>
      </c>
      <c r="DE263" s="435">
        <v>220.97115855831834</v>
      </c>
      <c r="DF263" s="435">
        <v>221.67995374347268</v>
      </c>
      <c r="DG263" s="363">
        <v>222.38874892862702</v>
      </c>
      <c r="DH263" s="362">
        <v>0</v>
      </c>
      <c r="DI263" s="362">
        <v>0</v>
      </c>
      <c r="DJ263" s="362">
        <v>0</v>
      </c>
      <c r="DK263" s="363">
        <v>0</v>
      </c>
      <c r="DL263" s="363">
        <v>0</v>
      </c>
      <c r="DM263" s="363">
        <v>0</v>
      </c>
      <c r="DN263" s="363">
        <v>0</v>
      </c>
      <c r="DO263" s="363">
        <v>0</v>
      </c>
      <c r="DP263" s="363">
        <v>0</v>
      </c>
      <c r="DQ263" s="363">
        <v>0</v>
      </c>
      <c r="DR263" s="363">
        <v>0</v>
      </c>
      <c r="DS263" s="363">
        <v>0</v>
      </c>
      <c r="DT263" s="363">
        <v>0</v>
      </c>
      <c r="DU263" s="363">
        <v>0</v>
      </c>
      <c r="DV263" s="363">
        <v>0</v>
      </c>
      <c r="DW263" s="435">
        <v>0</v>
      </c>
      <c r="DX263" s="435">
        <v>0</v>
      </c>
      <c r="DY263" s="435">
        <v>0</v>
      </c>
      <c r="DZ263" s="435">
        <v>0</v>
      </c>
      <c r="EA263" s="363">
        <v>0</v>
      </c>
      <c r="EB263" s="435">
        <v>0</v>
      </c>
      <c r="EC263" s="435">
        <v>0</v>
      </c>
      <c r="ED263" s="435">
        <v>0</v>
      </c>
      <c r="EE263" s="435">
        <v>0</v>
      </c>
      <c r="EF263" s="363">
        <v>0</v>
      </c>
      <c r="EG263" s="364">
        <v>0</v>
      </c>
      <c r="EH263" s="364">
        <v>0</v>
      </c>
      <c r="EI263" s="364">
        <v>0</v>
      </c>
      <c r="EJ263" s="365">
        <v>0</v>
      </c>
      <c r="EK263" s="365">
        <v>0</v>
      </c>
      <c r="EL263" s="365">
        <v>0</v>
      </c>
      <c r="EM263" s="365">
        <v>0</v>
      </c>
      <c r="EN263" s="365">
        <v>0</v>
      </c>
      <c r="EO263" s="365">
        <v>0</v>
      </c>
      <c r="EP263" s="365">
        <v>0</v>
      </c>
      <c r="EQ263" s="365">
        <v>0</v>
      </c>
      <c r="ER263" s="365">
        <v>0</v>
      </c>
      <c r="ES263" s="365">
        <v>0</v>
      </c>
      <c r="ET263" s="365">
        <v>0</v>
      </c>
      <c r="EU263" s="365">
        <v>0</v>
      </c>
      <c r="EV263" s="436">
        <v>0</v>
      </c>
      <c r="EW263" s="436">
        <v>0</v>
      </c>
      <c r="EX263" s="436">
        <v>0</v>
      </c>
      <c r="EY263" s="436">
        <v>0</v>
      </c>
      <c r="EZ263" s="365">
        <v>0</v>
      </c>
      <c r="FA263" s="436">
        <v>0</v>
      </c>
      <c r="FB263" s="436">
        <v>0</v>
      </c>
      <c r="FC263" s="436">
        <v>0</v>
      </c>
      <c r="FD263" s="436">
        <v>0</v>
      </c>
      <c r="FE263" s="365">
        <v>0</v>
      </c>
      <c r="FF263" s="364">
        <v>0</v>
      </c>
      <c r="FG263" s="364">
        <v>0</v>
      </c>
      <c r="FH263" s="364">
        <v>0</v>
      </c>
      <c r="FI263" s="365">
        <v>0</v>
      </c>
      <c r="FJ263" s="365">
        <v>0</v>
      </c>
      <c r="FK263" s="365">
        <v>0</v>
      </c>
      <c r="FL263" s="365">
        <v>0</v>
      </c>
      <c r="FM263" s="365">
        <v>0</v>
      </c>
      <c r="FN263" s="365">
        <v>0</v>
      </c>
      <c r="FO263" s="365">
        <v>0</v>
      </c>
      <c r="FP263" s="365">
        <v>0</v>
      </c>
      <c r="FQ263" s="365">
        <v>0</v>
      </c>
      <c r="FR263" s="365">
        <v>0</v>
      </c>
      <c r="FS263" s="365">
        <v>0</v>
      </c>
      <c r="FT263" s="365">
        <v>0</v>
      </c>
      <c r="FU263" s="436">
        <v>0</v>
      </c>
      <c r="FV263" s="436">
        <v>0</v>
      </c>
      <c r="FW263" s="436">
        <v>0</v>
      </c>
      <c r="FX263" s="436">
        <v>0</v>
      </c>
      <c r="FY263" s="365">
        <v>0</v>
      </c>
      <c r="FZ263" s="436">
        <v>0</v>
      </c>
      <c r="GA263" s="436">
        <v>0</v>
      </c>
      <c r="GB263" s="436">
        <v>0</v>
      </c>
      <c r="GC263" s="436">
        <v>0</v>
      </c>
      <c r="GD263" s="365">
        <v>0</v>
      </c>
    </row>
    <row r="264" spans="1:186" ht="15" x14ac:dyDescent="0.25">
      <c r="A264" s="357">
        <v>100</v>
      </c>
      <c r="B264" s="357">
        <v>97</v>
      </c>
      <c r="C264" s="357" t="s">
        <v>1174</v>
      </c>
      <c r="D264" s="2">
        <v>99709</v>
      </c>
      <c r="E264" s="268" t="s">
        <v>1527</v>
      </c>
      <c r="F264" s="358" t="s">
        <v>985</v>
      </c>
      <c r="G264" s="49">
        <v>6</v>
      </c>
      <c r="H264" s="49">
        <v>7</v>
      </c>
      <c r="I264" s="49">
        <v>3</v>
      </c>
      <c r="J264" s="49">
        <v>4</v>
      </c>
      <c r="K264" s="49">
        <v>0</v>
      </c>
      <c r="L264" s="49">
        <v>0</v>
      </c>
      <c r="M264" s="49">
        <v>0</v>
      </c>
      <c r="N264" s="49">
        <v>0</v>
      </c>
      <c r="O264" s="49">
        <v>0</v>
      </c>
      <c r="P264" s="49">
        <v>0</v>
      </c>
      <c r="Q264" s="49">
        <v>0</v>
      </c>
      <c r="R264" s="49">
        <v>0</v>
      </c>
      <c r="S264" s="49">
        <v>834.49503068156923</v>
      </c>
      <c r="T264" s="49">
        <v>834.49503068156923</v>
      </c>
      <c r="U264" s="49">
        <v>1408.3846153846155</v>
      </c>
      <c r="V264" s="49">
        <v>0</v>
      </c>
      <c r="W264" s="49">
        <v>0</v>
      </c>
      <c r="X264" s="49">
        <v>1365.173957061457</v>
      </c>
      <c r="Y264" s="434">
        <v>0</v>
      </c>
      <c r="Z264" s="434">
        <v>0</v>
      </c>
      <c r="AA264" s="49">
        <v>0.1603863478863479</v>
      </c>
      <c r="AB264" s="49">
        <v>6.8305180180180178</v>
      </c>
      <c r="AC264" s="49">
        <v>9.0956340956340961E-3</v>
      </c>
      <c r="AD264" s="285">
        <v>0</v>
      </c>
      <c r="AE264" s="285">
        <v>0</v>
      </c>
      <c r="AF264" s="359">
        <v>7</v>
      </c>
      <c r="AG264" s="360">
        <v>6.8737006237006251E-2</v>
      </c>
      <c r="AH264" s="360">
        <v>2.9273648648648645</v>
      </c>
      <c r="AI264" s="361">
        <v>2.9961018711018705</v>
      </c>
      <c r="AJ264" s="360">
        <v>3.8981288981288983E-3</v>
      </c>
      <c r="AK264" s="360">
        <v>0.15271320758461795</v>
      </c>
      <c r="AL264" s="360">
        <v>6.5037350731074808</v>
      </c>
      <c r="AM264" s="360">
        <v>6.656448280692099</v>
      </c>
      <c r="AN264" s="360">
        <v>8.6604843620766321E-3</v>
      </c>
      <c r="AO264" s="360">
        <v>6.5571985276381181E-2</v>
      </c>
      <c r="AP264" s="360">
        <v>2.7925732633111364</v>
      </c>
      <c r="AQ264" s="360">
        <v>2.8581452485875176</v>
      </c>
      <c r="AR264" s="360">
        <v>3.7186381064110304E-3</v>
      </c>
      <c r="AS264" s="360">
        <v>0</v>
      </c>
      <c r="AT264" s="360">
        <v>0</v>
      </c>
      <c r="AU264" s="360">
        <v>6.3379931113958152</v>
      </c>
      <c r="AV264" s="360">
        <v>6.4952693053782635</v>
      </c>
      <c r="AW264" s="360">
        <v>6.656448280692099</v>
      </c>
      <c r="AX264" s="360">
        <v>6.8216268841755774</v>
      </c>
      <c r="AY264" s="360">
        <v>6.9909043659043659</v>
      </c>
      <c r="AZ264" s="360">
        <v>2.7265408899528194</v>
      </c>
      <c r="BA264" s="360">
        <v>2.7915676401796596</v>
      </c>
      <c r="BB264" s="360">
        <v>2.8581452485875172</v>
      </c>
      <c r="BC264" s="360">
        <v>2.9263107024330108</v>
      </c>
      <c r="BD264" s="360">
        <v>2.9961018711018705</v>
      </c>
      <c r="BE264" s="360">
        <v>0</v>
      </c>
      <c r="BF264" s="360">
        <v>0</v>
      </c>
      <c r="BG264" s="360">
        <v>0</v>
      </c>
      <c r="BH264" s="360">
        <v>0</v>
      </c>
      <c r="BI264" s="360">
        <v>0</v>
      </c>
      <c r="BJ264" s="362">
        <v>7.0636365727993464</v>
      </c>
      <c r="BK264" s="362">
        <v>7.137125473484276</v>
      </c>
      <c r="BL264" s="362">
        <v>7.2113789404755577</v>
      </c>
      <c r="BM264" s="363">
        <v>7.1639672878996912</v>
      </c>
      <c r="BN264" s="363">
        <v>7.1168673461378757</v>
      </c>
      <c r="BO264" s="363">
        <v>7.0941408851201553</v>
      </c>
      <c r="BP264" s="363">
        <v>7.071486997048547</v>
      </c>
      <c r="BQ264" s="363">
        <v>7.0489054501741411</v>
      </c>
      <c r="BR264" s="363">
        <v>7.026396013488081</v>
      </c>
      <c r="BS264" s="363">
        <v>7.0039584567191948</v>
      </c>
      <c r="BT264" s="363">
        <v>7.055766512116489</v>
      </c>
      <c r="BU264" s="363">
        <v>7.1079577900329669</v>
      </c>
      <c r="BV264" s="363">
        <v>7.1605351251532765</v>
      </c>
      <c r="BW264" s="363">
        <v>7.2135013731301383</v>
      </c>
      <c r="BX264" s="363">
        <v>7.2668594107394338</v>
      </c>
      <c r="BY264" s="435">
        <v>7.2961507903585927</v>
      </c>
      <c r="BZ264" s="435">
        <v>7.3254421699777525</v>
      </c>
      <c r="CA264" s="435">
        <v>7.3547335495969115</v>
      </c>
      <c r="CB264" s="435">
        <v>7.3840249292160713</v>
      </c>
      <c r="CC264" s="363">
        <v>7.4133163088352303</v>
      </c>
      <c r="CD264" s="435">
        <v>7.4373265825723145</v>
      </c>
      <c r="CE264" s="435">
        <v>7.4613368563093987</v>
      </c>
      <c r="CF264" s="435">
        <v>7.4853471300464838</v>
      </c>
      <c r="CG264" s="435">
        <v>7.509357403783568</v>
      </c>
      <c r="CH264" s="363">
        <v>7.5333676775206522</v>
      </c>
      <c r="CI264" s="362">
        <v>3.0272728169140048</v>
      </c>
      <c r="CJ264" s="362">
        <v>3.0587680600646889</v>
      </c>
      <c r="CK264" s="362">
        <v>3.0905909744895244</v>
      </c>
      <c r="CL264" s="363">
        <v>3.0702716948141529</v>
      </c>
      <c r="CM264" s="363">
        <v>3.0500860054876604</v>
      </c>
      <c r="CN264" s="363">
        <v>3.0403460936229236</v>
      </c>
      <c r="CO264" s="363">
        <v>3.030637284449377</v>
      </c>
      <c r="CP264" s="363">
        <v>3.0209594786460601</v>
      </c>
      <c r="CQ264" s="363">
        <v>3.0113125772091771</v>
      </c>
      <c r="CR264" s="363">
        <v>3.0016964814510834</v>
      </c>
      <c r="CS264" s="363">
        <v>3.0238999337642092</v>
      </c>
      <c r="CT264" s="363">
        <v>3.0462676242998428</v>
      </c>
      <c r="CU264" s="363">
        <v>3.0688007679228324</v>
      </c>
      <c r="CV264" s="363">
        <v>3.0915005884843443</v>
      </c>
      <c r="CW264" s="363">
        <v>3.1143683188883284</v>
      </c>
      <c r="CX264" s="435">
        <v>3.1269217672965395</v>
      </c>
      <c r="CY264" s="435">
        <v>3.1394752157047505</v>
      </c>
      <c r="CZ264" s="435">
        <v>3.152028664112962</v>
      </c>
      <c r="DA264" s="435">
        <v>3.1645821125211731</v>
      </c>
      <c r="DB264" s="363">
        <v>3.1771355609293841</v>
      </c>
      <c r="DC264" s="435">
        <v>3.1874256782452774</v>
      </c>
      <c r="DD264" s="435">
        <v>3.1977157955611708</v>
      </c>
      <c r="DE264" s="435">
        <v>3.2080059128770637</v>
      </c>
      <c r="DF264" s="435">
        <v>3.2182960301929571</v>
      </c>
      <c r="DG264" s="363">
        <v>3.2285861475088504</v>
      </c>
      <c r="DH264" s="362">
        <v>0</v>
      </c>
      <c r="DI264" s="362">
        <v>0</v>
      </c>
      <c r="DJ264" s="362">
        <v>0</v>
      </c>
      <c r="DK264" s="363">
        <v>0</v>
      </c>
      <c r="DL264" s="363">
        <v>0</v>
      </c>
      <c r="DM264" s="363">
        <v>0</v>
      </c>
      <c r="DN264" s="363">
        <v>0</v>
      </c>
      <c r="DO264" s="363">
        <v>0</v>
      </c>
      <c r="DP264" s="363">
        <v>0</v>
      </c>
      <c r="DQ264" s="363">
        <v>0</v>
      </c>
      <c r="DR264" s="363">
        <v>0</v>
      </c>
      <c r="DS264" s="363">
        <v>0</v>
      </c>
      <c r="DT264" s="363">
        <v>0</v>
      </c>
      <c r="DU264" s="363">
        <v>0</v>
      </c>
      <c r="DV264" s="363">
        <v>0</v>
      </c>
      <c r="DW264" s="435">
        <v>0</v>
      </c>
      <c r="DX264" s="435">
        <v>0</v>
      </c>
      <c r="DY264" s="435">
        <v>0</v>
      </c>
      <c r="DZ264" s="435">
        <v>0</v>
      </c>
      <c r="EA264" s="363">
        <v>0</v>
      </c>
      <c r="EB264" s="435">
        <v>0</v>
      </c>
      <c r="EC264" s="435">
        <v>0</v>
      </c>
      <c r="ED264" s="435">
        <v>0</v>
      </c>
      <c r="EE264" s="435">
        <v>0</v>
      </c>
      <c r="EF264" s="363">
        <v>0</v>
      </c>
      <c r="EG264" s="364">
        <v>9.1902635607589728E-3</v>
      </c>
      <c r="EH264" s="364">
        <v>9.2858775351083479E-3</v>
      </c>
      <c r="EI264" s="364">
        <v>9.3824862613525357E-3</v>
      </c>
      <c r="EJ264" s="365">
        <v>9.3208005307047776E-3</v>
      </c>
      <c r="EK264" s="365">
        <v>9.2595203566717115E-3</v>
      </c>
      <c r="EL264" s="365">
        <v>9.2299517110592724E-3</v>
      </c>
      <c r="EM264" s="365">
        <v>9.2004774877030293E-3</v>
      </c>
      <c r="EN264" s="365">
        <v>9.1710973850821532E-3</v>
      </c>
      <c r="EO264" s="365">
        <v>9.1418111026386716E-3</v>
      </c>
      <c r="EP264" s="365">
        <v>9.1126183407743908E-3</v>
      </c>
      <c r="EQ264" s="365">
        <v>9.1800240855015487E-3</v>
      </c>
      <c r="ER264" s="365">
        <v>9.2479284283541099E-3</v>
      </c>
      <c r="ES264" s="365">
        <v>9.3163350574463673E-3</v>
      </c>
      <c r="ET264" s="365">
        <v>9.3852476881734828E-3</v>
      </c>
      <c r="EU264" s="365">
        <v>9.4546700634132643E-3</v>
      </c>
      <c r="EV264" s="436">
        <v>9.4927801071540384E-3</v>
      </c>
      <c r="EW264" s="436">
        <v>9.5308901508948142E-3</v>
      </c>
      <c r="EX264" s="436">
        <v>9.5690001946355883E-3</v>
      </c>
      <c r="EY264" s="436">
        <v>9.6071102383763641E-3</v>
      </c>
      <c r="EZ264" s="365">
        <v>9.6452202821171382E-3</v>
      </c>
      <c r="FA264" s="436">
        <v>9.6764592539322365E-3</v>
      </c>
      <c r="FB264" s="436">
        <v>9.7076982257473347E-3</v>
      </c>
      <c r="FC264" s="436">
        <v>9.7389371975624313E-3</v>
      </c>
      <c r="FD264" s="436">
        <v>9.7701761693775296E-3</v>
      </c>
      <c r="FE264" s="365">
        <v>9.8014151411926279E-3</v>
      </c>
      <c r="FF264" s="364">
        <v>0</v>
      </c>
      <c r="FG264" s="364">
        <v>0</v>
      </c>
      <c r="FH264" s="364">
        <v>0</v>
      </c>
      <c r="FI264" s="365">
        <v>0</v>
      </c>
      <c r="FJ264" s="365">
        <v>0</v>
      </c>
      <c r="FK264" s="365">
        <v>0</v>
      </c>
      <c r="FL264" s="365">
        <v>0</v>
      </c>
      <c r="FM264" s="365">
        <v>0</v>
      </c>
      <c r="FN264" s="365">
        <v>0</v>
      </c>
      <c r="FO264" s="365">
        <v>0</v>
      </c>
      <c r="FP264" s="365">
        <v>0</v>
      </c>
      <c r="FQ264" s="365">
        <v>0</v>
      </c>
      <c r="FR264" s="365">
        <v>0</v>
      </c>
      <c r="FS264" s="365">
        <v>0</v>
      </c>
      <c r="FT264" s="365">
        <v>0</v>
      </c>
      <c r="FU264" s="436">
        <v>0</v>
      </c>
      <c r="FV264" s="436">
        <v>0</v>
      </c>
      <c r="FW264" s="436">
        <v>0</v>
      </c>
      <c r="FX264" s="436">
        <v>0</v>
      </c>
      <c r="FY264" s="365">
        <v>0</v>
      </c>
      <c r="FZ264" s="436">
        <v>0</v>
      </c>
      <c r="GA264" s="436">
        <v>0</v>
      </c>
      <c r="GB264" s="436">
        <v>0</v>
      </c>
      <c r="GC264" s="436">
        <v>0</v>
      </c>
      <c r="GD264" s="365">
        <v>0</v>
      </c>
    </row>
    <row r="265" spans="1:186" ht="15" x14ac:dyDescent="0.25">
      <c r="A265" s="357">
        <v>101</v>
      </c>
      <c r="B265" s="357">
        <v>97</v>
      </c>
      <c r="C265" s="357" t="s">
        <v>1175</v>
      </c>
      <c r="D265" s="2">
        <v>99709</v>
      </c>
      <c r="E265" s="268" t="s">
        <v>1527</v>
      </c>
      <c r="F265" s="358" t="s">
        <v>985</v>
      </c>
      <c r="G265" s="49">
        <v>8</v>
      </c>
      <c r="H265" s="49">
        <v>13</v>
      </c>
      <c r="I265" s="49">
        <v>5</v>
      </c>
      <c r="J265" s="49">
        <v>8</v>
      </c>
      <c r="K265" s="49">
        <v>0</v>
      </c>
      <c r="L265" s="49">
        <v>2</v>
      </c>
      <c r="M265" s="49">
        <v>2</v>
      </c>
      <c r="N265" s="49">
        <v>0</v>
      </c>
      <c r="O265" s="49">
        <v>0</v>
      </c>
      <c r="P265" s="49">
        <v>0</v>
      </c>
      <c r="Q265" s="49">
        <v>2</v>
      </c>
      <c r="R265" s="49">
        <v>0</v>
      </c>
      <c r="S265" s="49">
        <v>2530</v>
      </c>
      <c r="T265" s="49">
        <v>2530</v>
      </c>
      <c r="U265" s="49">
        <v>0</v>
      </c>
      <c r="V265" s="49">
        <v>0</v>
      </c>
      <c r="W265" s="49">
        <v>0</v>
      </c>
      <c r="X265" s="49">
        <v>2530</v>
      </c>
      <c r="Y265" s="434">
        <v>5060</v>
      </c>
      <c r="Z265" s="434">
        <v>0</v>
      </c>
      <c r="AA265" s="49">
        <v>0</v>
      </c>
      <c r="AB265" s="49">
        <v>13</v>
      </c>
      <c r="AC265" s="49">
        <v>0</v>
      </c>
      <c r="AD265" s="285">
        <v>0</v>
      </c>
      <c r="AE265" s="285">
        <v>0</v>
      </c>
      <c r="AF265" s="359">
        <v>13</v>
      </c>
      <c r="AG265" s="360">
        <v>0</v>
      </c>
      <c r="AH265" s="360">
        <v>5</v>
      </c>
      <c r="AI265" s="361">
        <v>5</v>
      </c>
      <c r="AJ265" s="360">
        <v>0</v>
      </c>
      <c r="AK265" s="360">
        <v>0</v>
      </c>
      <c r="AL265" s="360">
        <v>12.378059135100612</v>
      </c>
      <c r="AM265" s="360">
        <v>12.378059135100612</v>
      </c>
      <c r="AN265" s="360">
        <v>0</v>
      </c>
      <c r="AO265" s="360">
        <v>0</v>
      </c>
      <c r="AP265" s="360">
        <v>4.7697731444898812</v>
      </c>
      <c r="AQ265" s="360">
        <v>4.7697731444898812</v>
      </c>
      <c r="AR265" s="360">
        <v>0</v>
      </c>
      <c r="AS265" s="360">
        <v>0</v>
      </c>
      <c r="AT265" s="360">
        <v>0</v>
      </c>
      <c r="AU265" s="360">
        <v>11.785872919388284</v>
      </c>
      <c r="AV265" s="360">
        <v>12.078337300927188</v>
      </c>
      <c r="AW265" s="360">
        <v>12.378059135100612</v>
      </c>
      <c r="AX265" s="360">
        <v>12.685218514330289</v>
      </c>
      <c r="AY265" s="360">
        <v>13</v>
      </c>
      <c r="AZ265" s="360">
        <v>4.5501471699793781</v>
      </c>
      <c r="BA265" s="360">
        <v>4.6586660939419424</v>
      </c>
      <c r="BB265" s="360">
        <v>4.7697731444898812</v>
      </c>
      <c r="BC265" s="360">
        <v>4.8835300472557153</v>
      </c>
      <c r="BD265" s="360">
        <v>5</v>
      </c>
      <c r="BE265" s="360">
        <v>0</v>
      </c>
      <c r="BF265" s="360">
        <v>0</v>
      </c>
      <c r="BG265" s="360">
        <v>0</v>
      </c>
      <c r="BH265" s="360">
        <v>0</v>
      </c>
      <c r="BI265" s="360">
        <v>0</v>
      </c>
      <c r="BJ265" s="362">
        <v>13.135249838954481</v>
      </c>
      <c r="BK265" s="362">
        <v>13.271906794750285</v>
      </c>
      <c r="BL265" s="362">
        <v>13.409985506797119</v>
      </c>
      <c r="BM265" s="363">
        <v>13.321820735656448</v>
      </c>
      <c r="BN265" s="363">
        <v>13.234235609204159</v>
      </c>
      <c r="BO265" s="363">
        <v>13.19197441125797</v>
      </c>
      <c r="BP265" s="363">
        <v>13.149848166995893</v>
      </c>
      <c r="BQ265" s="363">
        <v>13.10785644546713</v>
      </c>
      <c r="BR265" s="363">
        <v>13.06599881709705</v>
      </c>
      <c r="BS265" s="363">
        <v>13.024274853682799</v>
      </c>
      <c r="BT265" s="363">
        <v>13.120614995803697</v>
      </c>
      <c r="BU265" s="363">
        <v>13.217667762856738</v>
      </c>
      <c r="BV265" s="363">
        <v>13.315438426105628</v>
      </c>
      <c r="BW265" s="363">
        <v>13.413932295805434</v>
      </c>
      <c r="BX265" s="363">
        <v>13.513154721491</v>
      </c>
      <c r="BY265" s="435">
        <v>13.567623773722101</v>
      </c>
      <c r="BZ265" s="435">
        <v>13.622092825953201</v>
      </c>
      <c r="CA265" s="435">
        <v>13.676561878184302</v>
      </c>
      <c r="CB265" s="435">
        <v>13.731030930415402</v>
      </c>
      <c r="CC265" s="363">
        <v>13.785499982646503</v>
      </c>
      <c r="CD265" s="435">
        <v>13.830148506248744</v>
      </c>
      <c r="CE265" s="435">
        <v>13.874797029850987</v>
      </c>
      <c r="CF265" s="435">
        <v>13.919445553453228</v>
      </c>
      <c r="CG265" s="435">
        <v>13.964094077055471</v>
      </c>
      <c r="CH265" s="363">
        <v>14.008742600657712</v>
      </c>
      <c r="CI265" s="362">
        <v>5.0520191688286467</v>
      </c>
      <c r="CJ265" s="362">
        <v>5.1045795364424169</v>
      </c>
      <c r="CK265" s="362">
        <v>5.1576867333835077</v>
      </c>
      <c r="CL265" s="363">
        <v>5.1237772060217113</v>
      </c>
      <c r="CM265" s="363">
        <v>5.0900906189246768</v>
      </c>
      <c r="CN265" s="363">
        <v>5.0738363120222969</v>
      </c>
      <c r="CO265" s="363">
        <v>5.0576339103830357</v>
      </c>
      <c r="CP265" s="363">
        <v>5.041483248256589</v>
      </c>
      <c r="CQ265" s="363">
        <v>5.0253841604219431</v>
      </c>
      <c r="CR265" s="363">
        <v>5.0093364821856925</v>
      </c>
      <c r="CS265" s="363">
        <v>5.0463903830014223</v>
      </c>
      <c r="CT265" s="363">
        <v>5.0837183703295157</v>
      </c>
      <c r="CU265" s="363">
        <v>5.1213224715790879</v>
      </c>
      <c r="CV265" s="363">
        <v>5.1592047291559373</v>
      </c>
      <c r="CW265" s="363">
        <v>5.1973672005734626</v>
      </c>
      <c r="CX265" s="435">
        <v>5.2183168360469629</v>
      </c>
      <c r="CY265" s="435">
        <v>5.2392664715204633</v>
      </c>
      <c r="CZ265" s="435">
        <v>5.2602161069939628</v>
      </c>
      <c r="DA265" s="435">
        <v>5.2811657424674632</v>
      </c>
      <c r="DB265" s="363">
        <v>5.3021153779409635</v>
      </c>
      <c r="DC265" s="435">
        <v>5.3192878870187483</v>
      </c>
      <c r="DD265" s="435">
        <v>5.336460396096534</v>
      </c>
      <c r="DE265" s="435">
        <v>5.3536329051743188</v>
      </c>
      <c r="DF265" s="435">
        <v>5.3708054142521044</v>
      </c>
      <c r="DG265" s="363">
        <v>5.3879779233298892</v>
      </c>
      <c r="DH265" s="362">
        <v>0</v>
      </c>
      <c r="DI265" s="362">
        <v>0</v>
      </c>
      <c r="DJ265" s="362">
        <v>0</v>
      </c>
      <c r="DK265" s="363">
        <v>0</v>
      </c>
      <c r="DL265" s="363">
        <v>0</v>
      </c>
      <c r="DM265" s="363">
        <v>0</v>
      </c>
      <c r="DN265" s="363">
        <v>0</v>
      </c>
      <c r="DO265" s="363">
        <v>0</v>
      </c>
      <c r="DP265" s="363">
        <v>0</v>
      </c>
      <c r="DQ265" s="363">
        <v>0</v>
      </c>
      <c r="DR265" s="363">
        <v>0</v>
      </c>
      <c r="DS265" s="363">
        <v>0</v>
      </c>
      <c r="DT265" s="363">
        <v>0</v>
      </c>
      <c r="DU265" s="363">
        <v>0</v>
      </c>
      <c r="DV265" s="363">
        <v>0</v>
      </c>
      <c r="DW265" s="435">
        <v>0</v>
      </c>
      <c r="DX265" s="435">
        <v>0</v>
      </c>
      <c r="DY265" s="435">
        <v>0</v>
      </c>
      <c r="DZ265" s="435">
        <v>0</v>
      </c>
      <c r="EA265" s="363">
        <v>0</v>
      </c>
      <c r="EB265" s="435">
        <v>0</v>
      </c>
      <c r="EC265" s="435">
        <v>0</v>
      </c>
      <c r="ED265" s="435">
        <v>0</v>
      </c>
      <c r="EE265" s="435">
        <v>0</v>
      </c>
      <c r="EF265" s="363">
        <v>0</v>
      </c>
      <c r="EG265" s="364">
        <v>0</v>
      </c>
      <c r="EH265" s="364">
        <v>0</v>
      </c>
      <c r="EI265" s="364">
        <v>0</v>
      </c>
      <c r="EJ265" s="365">
        <v>0</v>
      </c>
      <c r="EK265" s="365">
        <v>0</v>
      </c>
      <c r="EL265" s="365">
        <v>0</v>
      </c>
      <c r="EM265" s="365">
        <v>0</v>
      </c>
      <c r="EN265" s="365">
        <v>0</v>
      </c>
      <c r="EO265" s="365">
        <v>0</v>
      </c>
      <c r="EP265" s="365">
        <v>0</v>
      </c>
      <c r="EQ265" s="365">
        <v>0</v>
      </c>
      <c r="ER265" s="365">
        <v>0</v>
      </c>
      <c r="ES265" s="365">
        <v>0</v>
      </c>
      <c r="ET265" s="365">
        <v>0</v>
      </c>
      <c r="EU265" s="365">
        <v>0</v>
      </c>
      <c r="EV265" s="436">
        <v>0</v>
      </c>
      <c r="EW265" s="436">
        <v>0</v>
      </c>
      <c r="EX265" s="436">
        <v>0</v>
      </c>
      <c r="EY265" s="436">
        <v>0</v>
      </c>
      <c r="EZ265" s="365">
        <v>0</v>
      </c>
      <c r="FA265" s="436">
        <v>0</v>
      </c>
      <c r="FB265" s="436">
        <v>0</v>
      </c>
      <c r="FC265" s="436">
        <v>0</v>
      </c>
      <c r="FD265" s="436">
        <v>0</v>
      </c>
      <c r="FE265" s="365">
        <v>0</v>
      </c>
      <c r="FF265" s="364">
        <v>0</v>
      </c>
      <c r="FG265" s="364">
        <v>0</v>
      </c>
      <c r="FH265" s="364">
        <v>0</v>
      </c>
      <c r="FI265" s="365">
        <v>0</v>
      </c>
      <c r="FJ265" s="365">
        <v>0</v>
      </c>
      <c r="FK265" s="365">
        <v>0</v>
      </c>
      <c r="FL265" s="365">
        <v>0</v>
      </c>
      <c r="FM265" s="365">
        <v>0</v>
      </c>
      <c r="FN265" s="365">
        <v>0</v>
      </c>
      <c r="FO265" s="365">
        <v>0</v>
      </c>
      <c r="FP265" s="365">
        <v>0</v>
      </c>
      <c r="FQ265" s="365">
        <v>0</v>
      </c>
      <c r="FR265" s="365">
        <v>0</v>
      </c>
      <c r="FS265" s="365">
        <v>0</v>
      </c>
      <c r="FT265" s="365">
        <v>0</v>
      </c>
      <c r="FU265" s="436">
        <v>0</v>
      </c>
      <c r="FV265" s="436">
        <v>0</v>
      </c>
      <c r="FW265" s="436">
        <v>0</v>
      </c>
      <c r="FX265" s="436">
        <v>0</v>
      </c>
      <c r="FY265" s="365">
        <v>0</v>
      </c>
      <c r="FZ265" s="436">
        <v>0</v>
      </c>
      <c r="GA265" s="436">
        <v>0</v>
      </c>
      <c r="GB265" s="436">
        <v>0</v>
      </c>
      <c r="GC265" s="436">
        <v>0</v>
      </c>
      <c r="GD265" s="365">
        <v>0</v>
      </c>
    </row>
    <row r="266" spans="1:186" ht="15" x14ac:dyDescent="0.25">
      <c r="A266" s="357">
        <v>102</v>
      </c>
      <c r="B266" s="357">
        <v>97</v>
      </c>
      <c r="C266" s="357" t="s">
        <v>1176</v>
      </c>
      <c r="D266" s="2">
        <v>99709</v>
      </c>
      <c r="E266" s="268" t="s">
        <v>1527</v>
      </c>
      <c r="F266" s="358" t="s">
        <v>985</v>
      </c>
      <c r="G266" s="49">
        <v>22</v>
      </c>
      <c r="H266" s="49">
        <v>17</v>
      </c>
      <c r="I266" s="49">
        <v>14</v>
      </c>
      <c r="J266" s="49">
        <v>3</v>
      </c>
      <c r="K266" s="49">
        <v>0</v>
      </c>
      <c r="L266" s="49">
        <v>9</v>
      </c>
      <c r="M266" s="49">
        <v>9</v>
      </c>
      <c r="N266" s="49">
        <v>1</v>
      </c>
      <c r="O266" s="49">
        <v>0</v>
      </c>
      <c r="P266" s="49">
        <v>0</v>
      </c>
      <c r="Q266" s="49">
        <v>10</v>
      </c>
      <c r="R266" s="49">
        <v>0</v>
      </c>
      <c r="S266" s="49">
        <v>1240.2222222222222</v>
      </c>
      <c r="T266" s="49">
        <v>1240.2222222222222</v>
      </c>
      <c r="U266" s="49">
        <v>4120</v>
      </c>
      <c r="V266" s="49">
        <v>0</v>
      </c>
      <c r="W266" s="49">
        <v>0</v>
      </c>
      <c r="X266" s="49">
        <v>1528.2</v>
      </c>
      <c r="Y266" s="434">
        <v>11162</v>
      </c>
      <c r="Z266" s="434">
        <v>4120</v>
      </c>
      <c r="AA266" s="49">
        <v>0</v>
      </c>
      <c r="AB266" s="49">
        <v>17</v>
      </c>
      <c r="AC266" s="49">
        <v>0</v>
      </c>
      <c r="AD266" s="285">
        <v>1</v>
      </c>
      <c r="AE266" s="285">
        <v>0</v>
      </c>
      <c r="AF266" s="359">
        <v>18</v>
      </c>
      <c r="AG266" s="360">
        <v>0</v>
      </c>
      <c r="AH266" s="360">
        <v>14</v>
      </c>
      <c r="AI266" s="361">
        <v>14</v>
      </c>
      <c r="AJ266" s="360">
        <v>0</v>
      </c>
      <c r="AK266" s="360">
        <v>0</v>
      </c>
      <c r="AL266" s="360">
        <v>16.186692715131567</v>
      </c>
      <c r="AM266" s="360">
        <v>16.186692715131567</v>
      </c>
      <c r="AN266" s="360">
        <v>0</v>
      </c>
      <c r="AO266" s="360">
        <v>0</v>
      </c>
      <c r="AP266" s="360">
        <v>13.355364804571668</v>
      </c>
      <c r="AQ266" s="360">
        <v>13.355364804571668</v>
      </c>
      <c r="AR266" s="360">
        <v>0</v>
      </c>
      <c r="AS266" s="360">
        <v>0.95966573850124082</v>
      </c>
      <c r="AT266" s="360">
        <v>0</v>
      </c>
      <c r="AU266" s="360">
        <v>15.412295356123142</v>
      </c>
      <c r="AV266" s="360">
        <v>15.794748778135553</v>
      </c>
      <c r="AW266" s="360">
        <v>16.186692715131567</v>
      </c>
      <c r="AX266" s="360">
        <v>16.588362672585763</v>
      </c>
      <c r="AY266" s="360">
        <v>17</v>
      </c>
      <c r="AZ266" s="360">
        <v>12.74041207594226</v>
      </c>
      <c r="BA266" s="360">
        <v>13.044265063037439</v>
      </c>
      <c r="BB266" s="360">
        <v>13.355364804571668</v>
      </c>
      <c r="BC266" s="360">
        <v>13.673884132316003</v>
      </c>
      <c r="BD266" s="360">
        <v>14</v>
      </c>
      <c r="BE266" s="360">
        <v>0.92095832965313207</v>
      </c>
      <c r="BF266" s="360">
        <v>0.94011284192667122</v>
      </c>
      <c r="BG266" s="360">
        <v>0.95966573850124082</v>
      </c>
      <c r="BH266" s="360">
        <v>0.97962530515561963</v>
      </c>
      <c r="BI266" s="360">
        <v>1</v>
      </c>
      <c r="BJ266" s="362">
        <v>17.176865174017397</v>
      </c>
      <c r="BK266" s="362">
        <v>17.355570423904219</v>
      </c>
      <c r="BL266" s="362">
        <v>17.536134893503924</v>
      </c>
      <c r="BM266" s="363">
        <v>17.420842500473817</v>
      </c>
      <c r="BN266" s="363">
        <v>17.306308104343898</v>
      </c>
      <c r="BO266" s="363">
        <v>17.251043460875806</v>
      </c>
      <c r="BP266" s="363">
        <v>17.195955295302319</v>
      </c>
      <c r="BQ266" s="363">
        <v>17.141043044072397</v>
      </c>
      <c r="BR266" s="363">
        <v>17.086306145434605</v>
      </c>
      <c r="BS266" s="363">
        <v>17.031744039431352</v>
      </c>
      <c r="BT266" s="363">
        <v>17.157727302204833</v>
      </c>
      <c r="BU266" s="363">
        <v>17.284642459120349</v>
      </c>
      <c r="BV266" s="363">
        <v>17.412496403368898</v>
      </c>
      <c r="BW266" s="363">
        <v>17.541296079130184</v>
      </c>
      <c r="BX266" s="363">
        <v>17.671048481949772</v>
      </c>
      <c r="BY266" s="435">
        <v>17.742277242559673</v>
      </c>
      <c r="BZ266" s="435">
        <v>17.813506003169572</v>
      </c>
      <c r="CA266" s="435">
        <v>17.884734763779473</v>
      </c>
      <c r="CB266" s="435">
        <v>17.955963524389372</v>
      </c>
      <c r="CC266" s="363">
        <v>18.027192284999273</v>
      </c>
      <c r="CD266" s="435">
        <v>18.085578815863744</v>
      </c>
      <c r="CE266" s="435">
        <v>18.143965346728212</v>
      </c>
      <c r="CF266" s="435">
        <v>18.202351877592683</v>
      </c>
      <c r="CG266" s="435">
        <v>18.260738408457151</v>
      </c>
      <c r="CH266" s="363">
        <v>18.319124939321622</v>
      </c>
      <c r="CI266" s="362">
        <v>14.14565367272021</v>
      </c>
      <c r="CJ266" s="362">
        <v>14.292822702038769</v>
      </c>
      <c r="CK266" s="362">
        <v>14.44152285347382</v>
      </c>
      <c r="CL266" s="363">
        <v>14.346576176860792</v>
      </c>
      <c r="CM266" s="363">
        <v>14.252253732989095</v>
      </c>
      <c r="CN266" s="363">
        <v>14.20674167366243</v>
      </c>
      <c r="CO266" s="363">
        <v>14.161374949072499</v>
      </c>
      <c r="CP266" s="363">
        <v>14.116153095118447</v>
      </c>
      <c r="CQ266" s="363">
        <v>14.07107564918144</v>
      </c>
      <c r="CR266" s="363">
        <v>14.02614215011994</v>
      </c>
      <c r="CS266" s="363">
        <v>14.129893072403981</v>
      </c>
      <c r="CT266" s="363">
        <v>14.234411436922642</v>
      </c>
      <c r="CU266" s="363">
        <v>14.339702920421447</v>
      </c>
      <c r="CV266" s="363">
        <v>14.445773241636623</v>
      </c>
      <c r="CW266" s="363">
        <v>14.552628161605695</v>
      </c>
      <c r="CX266" s="435">
        <v>14.611287140931495</v>
      </c>
      <c r="CY266" s="435">
        <v>14.669946120257295</v>
      </c>
      <c r="CZ266" s="435">
        <v>14.728605099583095</v>
      </c>
      <c r="DA266" s="435">
        <v>14.787264078908896</v>
      </c>
      <c r="DB266" s="363">
        <v>14.845923058234696</v>
      </c>
      <c r="DC266" s="435">
        <v>14.894006083652496</v>
      </c>
      <c r="DD266" s="435">
        <v>14.942089109070293</v>
      </c>
      <c r="DE266" s="435">
        <v>14.990172134488093</v>
      </c>
      <c r="DF266" s="435">
        <v>15.038255159905891</v>
      </c>
      <c r="DG266" s="363">
        <v>15.08633818532369</v>
      </c>
      <c r="DH266" s="362">
        <v>1.0104038337657293</v>
      </c>
      <c r="DI266" s="362">
        <v>1.0209159072884835</v>
      </c>
      <c r="DJ266" s="362">
        <v>1.0315373466767015</v>
      </c>
      <c r="DK266" s="363">
        <v>1.0247554412043423</v>
      </c>
      <c r="DL266" s="363">
        <v>1.0180181237849353</v>
      </c>
      <c r="DM266" s="363">
        <v>1.0147672624044592</v>
      </c>
      <c r="DN266" s="363">
        <v>1.0115267820766072</v>
      </c>
      <c r="DO266" s="363">
        <v>1.0082966496513177</v>
      </c>
      <c r="DP266" s="363">
        <v>1.0050768320843886</v>
      </c>
      <c r="DQ266" s="363">
        <v>1.0018672964371385</v>
      </c>
      <c r="DR266" s="363">
        <v>1.0092780766002845</v>
      </c>
      <c r="DS266" s="363">
        <v>1.016743674065903</v>
      </c>
      <c r="DT266" s="363">
        <v>1.0242644943158177</v>
      </c>
      <c r="DU266" s="363">
        <v>1.0318409458311875</v>
      </c>
      <c r="DV266" s="363">
        <v>1.0394734401146926</v>
      </c>
      <c r="DW266" s="435">
        <v>1.0436633672093925</v>
      </c>
      <c r="DX266" s="435">
        <v>1.0478532943040926</v>
      </c>
      <c r="DY266" s="435">
        <v>1.0520432213987925</v>
      </c>
      <c r="DZ266" s="435">
        <v>1.0562331484934926</v>
      </c>
      <c r="EA266" s="363">
        <v>1.0604230755881925</v>
      </c>
      <c r="EB266" s="435">
        <v>1.0638575774037495</v>
      </c>
      <c r="EC266" s="435">
        <v>1.0672920792193066</v>
      </c>
      <c r="ED266" s="435">
        <v>1.0707265810348638</v>
      </c>
      <c r="EE266" s="435">
        <v>1.0741610828504209</v>
      </c>
      <c r="EF266" s="363">
        <v>1.0775955846659779</v>
      </c>
      <c r="EG266" s="364">
        <v>0</v>
      </c>
      <c r="EH266" s="364">
        <v>0</v>
      </c>
      <c r="EI266" s="364">
        <v>0</v>
      </c>
      <c r="EJ266" s="365">
        <v>0</v>
      </c>
      <c r="EK266" s="365">
        <v>0</v>
      </c>
      <c r="EL266" s="365">
        <v>0</v>
      </c>
      <c r="EM266" s="365">
        <v>0</v>
      </c>
      <c r="EN266" s="365">
        <v>0</v>
      </c>
      <c r="EO266" s="365">
        <v>0</v>
      </c>
      <c r="EP266" s="365">
        <v>0</v>
      </c>
      <c r="EQ266" s="365">
        <v>0</v>
      </c>
      <c r="ER266" s="365">
        <v>0</v>
      </c>
      <c r="ES266" s="365">
        <v>0</v>
      </c>
      <c r="ET266" s="365">
        <v>0</v>
      </c>
      <c r="EU266" s="365">
        <v>0</v>
      </c>
      <c r="EV266" s="436">
        <v>0</v>
      </c>
      <c r="EW266" s="436">
        <v>0</v>
      </c>
      <c r="EX266" s="436">
        <v>0</v>
      </c>
      <c r="EY266" s="436">
        <v>0</v>
      </c>
      <c r="EZ266" s="365">
        <v>0</v>
      </c>
      <c r="FA266" s="436">
        <v>0</v>
      </c>
      <c r="FB266" s="436">
        <v>0</v>
      </c>
      <c r="FC266" s="436">
        <v>0</v>
      </c>
      <c r="FD266" s="436">
        <v>0</v>
      </c>
      <c r="FE266" s="365">
        <v>0</v>
      </c>
      <c r="FF266" s="364">
        <v>0</v>
      </c>
      <c r="FG266" s="364">
        <v>0</v>
      </c>
      <c r="FH266" s="364">
        <v>0</v>
      </c>
      <c r="FI266" s="365">
        <v>0</v>
      </c>
      <c r="FJ266" s="365">
        <v>0</v>
      </c>
      <c r="FK266" s="365">
        <v>0</v>
      </c>
      <c r="FL266" s="365">
        <v>0</v>
      </c>
      <c r="FM266" s="365">
        <v>0</v>
      </c>
      <c r="FN266" s="365">
        <v>0</v>
      </c>
      <c r="FO266" s="365">
        <v>0</v>
      </c>
      <c r="FP266" s="365">
        <v>0</v>
      </c>
      <c r="FQ266" s="365">
        <v>0</v>
      </c>
      <c r="FR266" s="365">
        <v>0</v>
      </c>
      <c r="FS266" s="365">
        <v>0</v>
      </c>
      <c r="FT266" s="365">
        <v>0</v>
      </c>
      <c r="FU266" s="436">
        <v>0</v>
      </c>
      <c r="FV266" s="436">
        <v>0</v>
      </c>
      <c r="FW266" s="436">
        <v>0</v>
      </c>
      <c r="FX266" s="436">
        <v>0</v>
      </c>
      <c r="FY266" s="365">
        <v>0</v>
      </c>
      <c r="FZ266" s="436">
        <v>0</v>
      </c>
      <c r="GA266" s="436">
        <v>0</v>
      </c>
      <c r="GB266" s="436">
        <v>0</v>
      </c>
      <c r="GC266" s="436">
        <v>0</v>
      </c>
      <c r="GD266" s="365">
        <v>0</v>
      </c>
    </row>
    <row r="267" spans="1:186" ht="15" x14ac:dyDescent="0.25">
      <c r="A267" s="357">
        <v>103</v>
      </c>
      <c r="B267" s="357">
        <v>97</v>
      </c>
      <c r="C267" s="357" t="s">
        <v>1177</v>
      </c>
      <c r="D267" s="2">
        <v>99709</v>
      </c>
      <c r="E267" s="268" t="s">
        <v>1527</v>
      </c>
      <c r="F267" s="358" t="s">
        <v>985</v>
      </c>
      <c r="G267" s="49">
        <v>185</v>
      </c>
      <c r="H267" s="49">
        <v>105</v>
      </c>
      <c r="I267" s="49">
        <v>91</v>
      </c>
      <c r="J267" s="49">
        <v>14</v>
      </c>
      <c r="K267" s="49">
        <v>0</v>
      </c>
      <c r="L267" s="49">
        <v>37</v>
      </c>
      <c r="M267" s="49">
        <v>37</v>
      </c>
      <c r="N267" s="49">
        <v>1</v>
      </c>
      <c r="O267" s="49">
        <v>0</v>
      </c>
      <c r="P267" s="49">
        <v>0</v>
      </c>
      <c r="Q267" s="49">
        <v>38</v>
      </c>
      <c r="R267" s="49">
        <v>0</v>
      </c>
      <c r="S267" s="49">
        <v>1964.8108108108108</v>
      </c>
      <c r="T267" s="49">
        <v>1964.8108108108108</v>
      </c>
      <c r="U267" s="49">
        <v>1655</v>
      </c>
      <c r="V267" s="49">
        <v>0</v>
      </c>
      <c r="W267" s="49">
        <v>0</v>
      </c>
      <c r="X267" s="49">
        <v>1956.6578947368421</v>
      </c>
      <c r="Y267" s="434">
        <v>72698</v>
      </c>
      <c r="Z267" s="434">
        <v>1655</v>
      </c>
      <c r="AA267" s="49">
        <v>0</v>
      </c>
      <c r="AB267" s="49">
        <v>105</v>
      </c>
      <c r="AC267" s="49">
        <v>0</v>
      </c>
      <c r="AD267" s="285">
        <v>1</v>
      </c>
      <c r="AE267" s="285">
        <v>0</v>
      </c>
      <c r="AF267" s="359">
        <v>106</v>
      </c>
      <c r="AG267" s="360">
        <v>0</v>
      </c>
      <c r="AH267" s="360">
        <v>91</v>
      </c>
      <c r="AI267" s="361">
        <v>91</v>
      </c>
      <c r="AJ267" s="360">
        <v>0</v>
      </c>
      <c r="AK267" s="360">
        <v>0</v>
      </c>
      <c r="AL267" s="360">
        <v>99.976631475812638</v>
      </c>
      <c r="AM267" s="360">
        <v>99.976631475812638</v>
      </c>
      <c r="AN267" s="360">
        <v>0</v>
      </c>
      <c r="AO267" s="360">
        <v>0</v>
      </c>
      <c r="AP267" s="360">
        <v>86.809871229715839</v>
      </c>
      <c r="AQ267" s="360">
        <v>86.809871229715839</v>
      </c>
      <c r="AR267" s="360">
        <v>0</v>
      </c>
      <c r="AS267" s="360">
        <v>0.95966573850124082</v>
      </c>
      <c r="AT267" s="360">
        <v>0</v>
      </c>
      <c r="AU267" s="360">
        <v>95.193588964289987</v>
      </c>
      <c r="AV267" s="360">
        <v>97.555801276719592</v>
      </c>
      <c r="AW267" s="360">
        <v>99.976631475812638</v>
      </c>
      <c r="AX267" s="360">
        <v>102.45753415420619</v>
      </c>
      <c r="AY267" s="360">
        <v>105</v>
      </c>
      <c r="AZ267" s="360">
        <v>82.812678493624688</v>
      </c>
      <c r="BA267" s="360">
        <v>84.787722909743366</v>
      </c>
      <c r="BB267" s="360">
        <v>86.809871229715839</v>
      </c>
      <c r="BC267" s="360">
        <v>88.880246860054015</v>
      </c>
      <c r="BD267" s="360">
        <v>91</v>
      </c>
      <c r="BE267" s="360">
        <v>0.92095832965313207</v>
      </c>
      <c r="BF267" s="360">
        <v>0.94011284192667122</v>
      </c>
      <c r="BG267" s="360">
        <v>0.95966573850124082</v>
      </c>
      <c r="BH267" s="360">
        <v>0.97962530515561963</v>
      </c>
      <c r="BI267" s="360">
        <v>1</v>
      </c>
      <c r="BJ267" s="362">
        <v>107.28215645669538</v>
      </c>
      <c r="BK267" s="362">
        <v>109.61391518094159</v>
      </c>
      <c r="BL267" s="362">
        <v>111.99635426926392</v>
      </c>
      <c r="BM267" s="363">
        <v>111.26002737780425</v>
      </c>
      <c r="BN267" s="363">
        <v>110.52854151259605</v>
      </c>
      <c r="BO267" s="363">
        <v>110.17558810376308</v>
      </c>
      <c r="BP267" s="363">
        <v>109.82376178940817</v>
      </c>
      <c r="BQ267" s="363">
        <v>109.47305897035382</v>
      </c>
      <c r="BR267" s="363">
        <v>109.1234760589159</v>
      </c>
      <c r="BS267" s="363">
        <v>108.77500947886691</v>
      </c>
      <c r="BT267" s="363">
        <v>109.57961472484976</v>
      </c>
      <c r="BU267" s="363">
        <v>110.39017160995418</v>
      </c>
      <c r="BV267" s="363">
        <v>111.2067241582633</v>
      </c>
      <c r="BW267" s="363">
        <v>112.029316719505</v>
      </c>
      <c r="BX267" s="363">
        <v>112.85799397146054</v>
      </c>
      <c r="BY267" s="435">
        <v>113.31290387925226</v>
      </c>
      <c r="BZ267" s="435">
        <v>113.76781378704398</v>
      </c>
      <c r="CA267" s="435">
        <v>114.22272369483571</v>
      </c>
      <c r="CB267" s="435">
        <v>114.67763360262742</v>
      </c>
      <c r="CC267" s="363">
        <v>115.13254351041914</v>
      </c>
      <c r="CD267" s="435">
        <v>115.50543517867797</v>
      </c>
      <c r="CE267" s="435">
        <v>115.87832684693679</v>
      </c>
      <c r="CF267" s="435">
        <v>116.25121851519562</v>
      </c>
      <c r="CG267" s="435">
        <v>116.62411018345443</v>
      </c>
      <c r="CH267" s="363">
        <v>116.99700185171326</v>
      </c>
      <c r="CI267" s="362">
        <v>92.977868929135994</v>
      </c>
      <c r="CJ267" s="362">
        <v>94.99872649014938</v>
      </c>
      <c r="CK267" s="362">
        <v>97.063507033362058</v>
      </c>
      <c r="CL267" s="363">
        <v>96.425357060763687</v>
      </c>
      <c r="CM267" s="363">
        <v>95.791402644249914</v>
      </c>
      <c r="CN267" s="363">
        <v>95.485509689927994</v>
      </c>
      <c r="CO267" s="363">
        <v>95.180593550820404</v>
      </c>
      <c r="CP267" s="363">
        <v>94.876651107639972</v>
      </c>
      <c r="CQ267" s="363">
        <v>94.57367925106044</v>
      </c>
      <c r="CR267" s="363">
        <v>94.271674881684646</v>
      </c>
      <c r="CS267" s="363">
        <v>94.968999428203119</v>
      </c>
      <c r="CT267" s="363">
        <v>95.67148206196029</v>
      </c>
      <c r="CU267" s="363">
        <v>96.379160937161529</v>
      </c>
      <c r="CV267" s="363">
        <v>97.092074490237664</v>
      </c>
      <c r="CW267" s="363">
        <v>97.810261441932468</v>
      </c>
      <c r="CX267" s="435">
        <v>98.204516695351955</v>
      </c>
      <c r="CY267" s="435">
        <v>98.598771948771443</v>
      </c>
      <c r="CZ267" s="435">
        <v>98.993027202190945</v>
      </c>
      <c r="DA267" s="435">
        <v>99.387282455610432</v>
      </c>
      <c r="DB267" s="363">
        <v>99.781537709029919</v>
      </c>
      <c r="DC267" s="435">
        <v>100.10471048818756</v>
      </c>
      <c r="DD267" s="435">
        <v>100.42788326734521</v>
      </c>
      <c r="DE267" s="435">
        <v>100.75105604650287</v>
      </c>
      <c r="DF267" s="435">
        <v>101.07422882566051</v>
      </c>
      <c r="DG267" s="363">
        <v>101.39740160481816</v>
      </c>
      <c r="DH267" s="362">
        <v>1.0217348233970989</v>
      </c>
      <c r="DI267" s="362">
        <v>1.0439420493423008</v>
      </c>
      <c r="DJ267" s="362">
        <v>1.0666319454215611</v>
      </c>
      <c r="DK267" s="363">
        <v>1.0596193083600405</v>
      </c>
      <c r="DL267" s="363">
        <v>1.0526527763104387</v>
      </c>
      <c r="DM267" s="363">
        <v>1.049291315273934</v>
      </c>
      <c r="DN267" s="363">
        <v>1.0459405884705539</v>
      </c>
      <c r="DO267" s="363">
        <v>1.0426005616224174</v>
      </c>
      <c r="DP267" s="363">
        <v>1.0392712005611038</v>
      </c>
      <c r="DQ267" s="363">
        <v>1.0359524712273038</v>
      </c>
      <c r="DR267" s="363">
        <v>1.0436153783319024</v>
      </c>
      <c r="DS267" s="363">
        <v>1.0513349677138495</v>
      </c>
      <c r="DT267" s="363">
        <v>1.0591116586501268</v>
      </c>
      <c r="DU267" s="363">
        <v>1.0669458735190953</v>
      </c>
      <c r="DV267" s="363">
        <v>1.0748380378234339</v>
      </c>
      <c r="DW267" s="435">
        <v>1.0791705131357359</v>
      </c>
      <c r="DX267" s="435">
        <v>1.0835029884480381</v>
      </c>
      <c r="DY267" s="435">
        <v>1.08783546376034</v>
      </c>
      <c r="DZ267" s="435">
        <v>1.0921679390726422</v>
      </c>
      <c r="EA267" s="363">
        <v>1.0965004143849442</v>
      </c>
      <c r="EB267" s="435">
        <v>1.1000517636064568</v>
      </c>
      <c r="EC267" s="435">
        <v>1.1036031128279695</v>
      </c>
      <c r="ED267" s="435">
        <v>1.107154462049482</v>
      </c>
      <c r="EE267" s="435">
        <v>1.1107058112709947</v>
      </c>
      <c r="EF267" s="363">
        <v>1.1142571604925073</v>
      </c>
      <c r="EG267" s="364">
        <v>0</v>
      </c>
      <c r="EH267" s="364">
        <v>0</v>
      </c>
      <c r="EI267" s="364">
        <v>0</v>
      </c>
      <c r="EJ267" s="365">
        <v>0</v>
      </c>
      <c r="EK267" s="365">
        <v>0</v>
      </c>
      <c r="EL267" s="365">
        <v>0</v>
      </c>
      <c r="EM267" s="365">
        <v>0</v>
      </c>
      <c r="EN267" s="365">
        <v>0</v>
      </c>
      <c r="EO267" s="365">
        <v>0</v>
      </c>
      <c r="EP267" s="365">
        <v>0</v>
      </c>
      <c r="EQ267" s="365">
        <v>0</v>
      </c>
      <c r="ER267" s="365">
        <v>0</v>
      </c>
      <c r="ES267" s="365">
        <v>0</v>
      </c>
      <c r="ET267" s="365">
        <v>0</v>
      </c>
      <c r="EU267" s="365">
        <v>0</v>
      </c>
      <c r="EV267" s="436">
        <v>0</v>
      </c>
      <c r="EW267" s="436">
        <v>0</v>
      </c>
      <c r="EX267" s="436">
        <v>0</v>
      </c>
      <c r="EY267" s="436">
        <v>0</v>
      </c>
      <c r="EZ267" s="365">
        <v>0</v>
      </c>
      <c r="FA267" s="436">
        <v>0</v>
      </c>
      <c r="FB267" s="436">
        <v>0</v>
      </c>
      <c r="FC267" s="436">
        <v>0</v>
      </c>
      <c r="FD267" s="436">
        <v>0</v>
      </c>
      <c r="FE267" s="365">
        <v>0</v>
      </c>
      <c r="FF267" s="364">
        <v>0</v>
      </c>
      <c r="FG267" s="364">
        <v>0</v>
      </c>
      <c r="FH267" s="364">
        <v>0</v>
      </c>
      <c r="FI267" s="365">
        <v>0</v>
      </c>
      <c r="FJ267" s="365">
        <v>0</v>
      </c>
      <c r="FK267" s="365">
        <v>0</v>
      </c>
      <c r="FL267" s="365">
        <v>0</v>
      </c>
      <c r="FM267" s="365">
        <v>0</v>
      </c>
      <c r="FN267" s="365">
        <v>0</v>
      </c>
      <c r="FO267" s="365">
        <v>0</v>
      </c>
      <c r="FP267" s="365">
        <v>0</v>
      </c>
      <c r="FQ267" s="365">
        <v>0</v>
      </c>
      <c r="FR267" s="365">
        <v>0</v>
      </c>
      <c r="FS267" s="365">
        <v>0</v>
      </c>
      <c r="FT267" s="365">
        <v>0</v>
      </c>
      <c r="FU267" s="436">
        <v>0</v>
      </c>
      <c r="FV267" s="436">
        <v>0</v>
      </c>
      <c r="FW267" s="436">
        <v>0</v>
      </c>
      <c r="FX267" s="436">
        <v>0</v>
      </c>
      <c r="FY267" s="365">
        <v>0</v>
      </c>
      <c r="FZ267" s="436">
        <v>0</v>
      </c>
      <c r="GA267" s="436">
        <v>0</v>
      </c>
      <c r="GB267" s="436">
        <v>0</v>
      </c>
      <c r="GC267" s="436">
        <v>0</v>
      </c>
      <c r="GD267" s="365">
        <v>0</v>
      </c>
    </row>
    <row r="268" spans="1:186" ht="15" x14ac:dyDescent="0.25">
      <c r="A268" s="357">
        <v>104</v>
      </c>
      <c r="B268" s="357">
        <v>97</v>
      </c>
      <c r="C268" s="357" t="s">
        <v>1178</v>
      </c>
      <c r="D268" s="2">
        <v>99709</v>
      </c>
      <c r="E268" s="268" t="s">
        <v>1527</v>
      </c>
      <c r="F268" s="358" t="s">
        <v>985</v>
      </c>
      <c r="G268" s="49">
        <v>8</v>
      </c>
      <c r="H268" s="49">
        <v>3</v>
      </c>
      <c r="I268" s="49">
        <v>3</v>
      </c>
      <c r="J268" s="49">
        <v>0</v>
      </c>
      <c r="K268" s="49">
        <v>0</v>
      </c>
      <c r="L268" s="49">
        <v>18</v>
      </c>
      <c r="M268" s="49">
        <v>18</v>
      </c>
      <c r="N268" s="49">
        <v>1</v>
      </c>
      <c r="O268" s="49">
        <v>0</v>
      </c>
      <c r="P268" s="49">
        <v>0</v>
      </c>
      <c r="Q268" s="49">
        <v>19</v>
      </c>
      <c r="R268" s="49">
        <v>0</v>
      </c>
      <c r="S268" s="49">
        <v>2199.1111111111113</v>
      </c>
      <c r="T268" s="49">
        <v>2199.1111111111113</v>
      </c>
      <c r="U268" s="49">
        <v>4969</v>
      </c>
      <c r="V268" s="49">
        <v>0</v>
      </c>
      <c r="W268" s="49">
        <v>0</v>
      </c>
      <c r="X268" s="49">
        <v>2344.8947368421054</v>
      </c>
      <c r="Y268" s="434">
        <v>39584</v>
      </c>
      <c r="Z268" s="434">
        <v>4969</v>
      </c>
      <c r="AA268" s="49">
        <v>0</v>
      </c>
      <c r="AB268" s="49">
        <v>3</v>
      </c>
      <c r="AC268" s="49">
        <v>0</v>
      </c>
      <c r="AD268" s="285">
        <v>1</v>
      </c>
      <c r="AE268" s="285">
        <v>0</v>
      </c>
      <c r="AF268" s="359">
        <v>4</v>
      </c>
      <c r="AG268" s="360">
        <v>0</v>
      </c>
      <c r="AH268" s="360">
        <v>3</v>
      </c>
      <c r="AI268" s="361">
        <v>3</v>
      </c>
      <c r="AJ268" s="360">
        <v>0</v>
      </c>
      <c r="AK268" s="360">
        <v>0</v>
      </c>
      <c r="AL268" s="360">
        <v>2.8564751850232182</v>
      </c>
      <c r="AM268" s="360">
        <v>2.8564751850232182</v>
      </c>
      <c r="AN268" s="360">
        <v>0</v>
      </c>
      <c r="AO268" s="360">
        <v>0</v>
      </c>
      <c r="AP268" s="360">
        <v>2.861863886693929</v>
      </c>
      <c r="AQ268" s="360">
        <v>2.861863886693929</v>
      </c>
      <c r="AR268" s="360">
        <v>0</v>
      </c>
      <c r="AS268" s="360">
        <v>0.95966573850124082</v>
      </c>
      <c r="AT268" s="360">
        <v>0</v>
      </c>
      <c r="AU268" s="360">
        <v>2.7198168275511425</v>
      </c>
      <c r="AV268" s="360">
        <v>2.7873086079062741</v>
      </c>
      <c r="AW268" s="360">
        <v>2.8564751850232182</v>
      </c>
      <c r="AX268" s="360">
        <v>2.9273581186916053</v>
      </c>
      <c r="AY268" s="360">
        <v>3</v>
      </c>
      <c r="AZ268" s="360">
        <v>2.7300883019876268</v>
      </c>
      <c r="BA268" s="360">
        <v>2.7951996563651655</v>
      </c>
      <c r="BB268" s="360">
        <v>2.861863886693929</v>
      </c>
      <c r="BC268" s="360">
        <v>2.9301180283534292</v>
      </c>
      <c r="BD268" s="360">
        <v>3</v>
      </c>
      <c r="BE268" s="360">
        <v>0.92095832965313207</v>
      </c>
      <c r="BF268" s="360">
        <v>0.94011284192667122</v>
      </c>
      <c r="BG268" s="360">
        <v>0.95966573850124082</v>
      </c>
      <c r="BH268" s="360">
        <v>0.97962530515561963</v>
      </c>
      <c r="BI268" s="360">
        <v>1</v>
      </c>
      <c r="BJ268" s="362">
        <v>3.0652044701912966</v>
      </c>
      <c r="BK268" s="362">
        <v>3.1318261480269025</v>
      </c>
      <c r="BL268" s="362">
        <v>3.1998958362646834</v>
      </c>
      <c r="BM268" s="363">
        <v>3.1788579250801217</v>
      </c>
      <c r="BN268" s="363">
        <v>3.1579583289313158</v>
      </c>
      <c r="BO268" s="363">
        <v>3.1478739458218024</v>
      </c>
      <c r="BP268" s="363">
        <v>3.1378217654116618</v>
      </c>
      <c r="BQ268" s="363">
        <v>3.1278016848672521</v>
      </c>
      <c r="BR268" s="363">
        <v>3.1178136016833116</v>
      </c>
      <c r="BS268" s="363">
        <v>3.1078574136819115</v>
      </c>
      <c r="BT268" s="363">
        <v>3.1308461349957075</v>
      </c>
      <c r="BU268" s="363">
        <v>3.1540049031415482</v>
      </c>
      <c r="BV268" s="363">
        <v>3.1773349759503802</v>
      </c>
      <c r="BW268" s="363">
        <v>3.2008376205572859</v>
      </c>
      <c r="BX268" s="363">
        <v>3.2245141134703013</v>
      </c>
      <c r="BY268" s="435">
        <v>3.2375115394072074</v>
      </c>
      <c r="BZ268" s="435">
        <v>3.2505089653441139</v>
      </c>
      <c r="CA268" s="435">
        <v>3.26350639128102</v>
      </c>
      <c r="CB268" s="435">
        <v>3.2765038172179266</v>
      </c>
      <c r="CC268" s="363">
        <v>3.2895012431548327</v>
      </c>
      <c r="CD268" s="435">
        <v>3.3001552908193705</v>
      </c>
      <c r="CE268" s="435">
        <v>3.3108093384839083</v>
      </c>
      <c r="CF268" s="435">
        <v>3.3214633861484466</v>
      </c>
      <c r="CG268" s="435">
        <v>3.3321174338129844</v>
      </c>
      <c r="CH268" s="363">
        <v>3.3427714814775222</v>
      </c>
      <c r="CI268" s="362">
        <v>3.0652044701912966</v>
      </c>
      <c r="CJ268" s="362">
        <v>3.1318261480269025</v>
      </c>
      <c r="CK268" s="362">
        <v>3.1998958362646834</v>
      </c>
      <c r="CL268" s="363">
        <v>3.1788579250801217</v>
      </c>
      <c r="CM268" s="363">
        <v>3.1579583289313158</v>
      </c>
      <c r="CN268" s="363">
        <v>3.1478739458218024</v>
      </c>
      <c r="CO268" s="363">
        <v>3.1378217654116618</v>
      </c>
      <c r="CP268" s="363">
        <v>3.1278016848672521</v>
      </c>
      <c r="CQ268" s="363">
        <v>3.1178136016833116</v>
      </c>
      <c r="CR268" s="363">
        <v>3.1078574136819115</v>
      </c>
      <c r="CS268" s="363">
        <v>3.1308461349957075</v>
      </c>
      <c r="CT268" s="363">
        <v>3.1540049031415482</v>
      </c>
      <c r="CU268" s="363">
        <v>3.1773349759503802</v>
      </c>
      <c r="CV268" s="363">
        <v>3.2008376205572859</v>
      </c>
      <c r="CW268" s="363">
        <v>3.2245141134703013</v>
      </c>
      <c r="CX268" s="435">
        <v>3.2375115394072074</v>
      </c>
      <c r="CY268" s="435">
        <v>3.2505089653441139</v>
      </c>
      <c r="CZ268" s="435">
        <v>3.26350639128102</v>
      </c>
      <c r="DA268" s="435">
        <v>3.2765038172179266</v>
      </c>
      <c r="DB268" s="363">
        <v>3.2895012431548327</v>
      </c>
      <c r="DC268" s="435">
        <v>3.3001552908193705</v>
      </c>
      <c r="DD268" s="435">
        <v>3.3108093384839083</v>
      </c>
      <c r="DE268" s="435">
        <v>3.3214633861484466</v>
      </c>
      <c r="DF268" s="435">
        <v>3.3321174338129844</v>
      </c>
      <c r="DG268" s="363">
        <v>3.3427714814775222</v>
      </c>
      <c r="DH268" s="362">
        <v>1.0217348233970989</v>
      </c>
      <c r="DI268" s="362">
        <v>1.0439420493423008</v>
      </c>
      <c r="DJ268" s="362">
        <v>1.0666319454215611</v>
      </c>
      <c r="DK268" s="363">
        <v>1.0596193083600405</v>
      </c>
      <c r="DL268" s="363">
        <v>1.0526527763104387</v>
      </c>
      <c r="DM268" s="363">
        <v>1.049291315273934</v>
      </c>
      <c r="DN268" s="363">
        <v>1.0459405884705539</v>
      </c>
      <c r="DO268" s="363">
        <v>1.0426005616224174</v>
      </c>
      <c r="DP268" s="363">
        <v>1.0392712005611038</v>
      </c>
      <c r="DQ268" s="363">
        <v>1.0359524712273038</v>
      </c>
      <c r="DR268" s="363">
        <v>1.0436153783319024</v>
      </c>
      <c r="DS268" s="363">
        <v>1.0513349677138495</v>
      </c>
      <c r="DT268" s="363">
        <v>1.0591116586501268</v>
      </c>
      <c r="DU268" s="363">
        <v>1.0669458735190953</v>
      </c>
      <c r="DV268" s="363">
        <v>1.0748380378234339</v>
      </c>
      <c r="DW268" s="435">
        <v>1.0791705131357359</v>
      </c>
      <c r="DX268" s="435">
        <v>1.0835029884480381</v>
      </c>
      <c r="DY268" s="435">
        <v>1.08783546376034</v>
      </c>
      <c r="DZ268" s="435">
        <v>1.0921679390726422</v>
      </c>
      <c r="EA268" s="363">
        <v>1.0965004143849442</v>
      </c>
      <c r="EB268" s="435">
        <v>1.1000517636064568</v>
      </c>
      <c r="EC268" s="435">
        <v>1.1036031128279695</v>
      </c>
      <c r="ED268" s="435">
        <v>1.107154462049482</v>
      </c>
      <c r="EE268" s="435">
        <v>1.1107058112709947</v>
      </c>
      <c r="EF268" s="363">
        <v>1.1142571604925073</v>
      </c>
      <c r="EG268" s="364">
        <v>0</v>
      </c>
      <c r="EH268" s="364">
        <v>0</v>
      </c>
      <c r="EI268" s="364">
        <v>0</v>
      </c>
      <c r="EJ268" s="365">
        <v>0</v>
      </c>
      <c r="EK268" s="365">
        <v>0</v>
      </c>
      <c r="EL268" s="365">
        <v>0</v>
      </c>
      <c r="EM268" s="365">
        <v>0</v>
      </c>
      <c r="EN268" s="365">
        <v>0</v>
      </c>
      <c r="EO268" s="365">
        <v>0</v>
      </c>
      <c r="EP268" s="365">
        <v>0</v>
      </c>
      <c r="EQ268" s="365">
        <v>0</v>
      </c>
      <c r="ER268" s="365">
        <v>0</v>
      </c>
      <c r="ES268" s="365">
        <v>0</v>
      </c>
      <c r="ET268" s="365">
        <v>0</v>
      </c>
      <c r="EU268" s="365">
        <v>0</v>
      </c>
      <c r="EV268" s="436">
        <v>0</v>
      </c>
      <c r="EW268" s="436">
        <v>0</v>
      </c>
      <c r="EX268" s="436">
        <v>0</v>
      </c>
      <c r="EY268" s="436">
        <v>0</v>
      </c>
      <c r="EZ268" s="365">
        <v>0</v>
      </c>
      <c r="FA268" s="436">
        <v>0</v>
      </c>
      <c r="FB268" s="436">
        <v>0</v>
      </c>
      <c r="FC268" s="436">
        <v>0</v>
      </c>
      <c r="FD268" s="436">
        <v>0</v>
      </c>
      <c r="FE268" s="365">
        <v>0</v>
      </c>
      <c r="FF268" s="364">
        <v>0</v>
      </c>
      <c r="FG268" s="364">
        <v>0</v>
      </c>
      <c r="FH268" s="364">
        <v>0</v>
      </c>
      <c r="FI268" s="365">
        <v>0</v>
      </c>
      <c r="FJ268" s="365">
        <v>0</v>
      </c>
      <c r="FK268" s="365">
        <v>0</v>
      </c>
      <c r="FL268" s="365">
        <v>0</v>
      </c>
      <c r="FM268" s="365">
        <v>0</v>
      </c>
      <c r="FN268" s="365">
        <v>0</v>
      </c>
      <c r="FO268" s="365">
        <v>0</v>
      </c>
      <c r="FP268" s="365">
        <v>0</v>
      </c>
      <c r="FQ268" s="365">
        <v>0</v>
      </c>
      <c r="FR268" s="365">
        <v>0</v>
      </c>
      <c r="FS268" s="365">
        <v>0</v>
      </c>
      <c r="FT268" s="365">
        <v>0</v>
      </c>
      <c r="FU268" s="436">
        <v>0</v>
      </c>
      <c r="FV268" s="436">
        <v>0</v>
      </c>
      <c r="FW268" s="436">
        <v>0</v>
      </c>
      <c r="FX268" s="436">
        <v>0</v>
      </c>
      <c r="FY268" s="365">
        <v>0</v>
      </c>
      <c r="FZ268" s="436">
        <v>0</v>
      </c>
      <c r="GA268" s="436">
        <v>0</v>
      </c>
      <c r="GB268" s="436">
        <v>0</v>
      </c>
      <c r="GC268" s="436">
        <v>0</v>
      </c>
      <c r="GD268" s="365">
        <v>0</v>
      </c>
    </row>
    <row r="269" spans="1:186" ht="15" x14ac:dyDescent="0.25">
      <c r="A269" s="357">
        <v>105</v>
      </c>
      <c r="B269" s="357">
        <v>97</v>
      </c>
      <c r="C269" s="357" t="s">
        <v>1179</v>
      </c>
      <c r="D269" s="2">
        <v>99709</v>
      </c>
      <c r="E269" s="268" t="s">
        <v>1527</v>
      </c>
      <c r="F269" s="358" t="s">
        <v>985</v>
      </c>
      <c r="G269" s="49">
        <v>247</v>
      </c>
      <c r="H269" s="49">
        <v>88</v>
      </c>
      <c r="I269" s="49">
        <v>83</v>
      </c>
      <c r="J269" s="49">
        <v>5</v>
      </c>
      <c r="K269" s="49">
        <v>1</v>
      </c>
      <c r="L269" s="49">
        <v>95</v>
      </c>
      <c r="M269" s="49">
        <v>96</v>
      </c>
      <c r="N269" s="49">
        <v>0</v>
      </c>
      <c r="O269" s="49">
        <v>0</v>
      </c>
      <c r="P269" s="49">
        <v>0</v>
      </c>
      <c r="Q269" s="49">
        <v>96</v>
      </c>
      <c r="R269" s="49">
        <v>3114</v>
      </c>
      <c r="S269" s="49">
        <v>3067.8</v>
      </c>
      <c r="T269" s="49">
        <v>3068.28125</v>
      </c>
      <c r="U269" s="49">
        <v>0</v>
      </c>
      <c r="V269" s="49">
        <v>0</v>
      </c>
      <c r="W269" s="49">
        <v>0</v>
      </c>
      <c r="X269" s="49">
        <v>3068.28125</v>
      </c>
      <c r="Y269" s="434">
        <v>294555</v>
      </c>
      <c r="Z269" s="434">
        <v>0</v>
      </c>
      <c r="AA269" s="49">
        <v>0.91666666666666663</v>
      </c>
      <c r="AB269" s="49">
        <v>87.083333333333329</v>
      </c>
      <c r="AC269" s="49">
        <v>0</v>
      </c>
      <c r="AD269" s="285">
        <v>0</v>
      </c>
      <c r="AE269" s="285">
        <v>0</v>
      </c>
      <c r="AF269" s="359">
        <v>88</v>
      </c>
      <c r="AG269" s="360">
        <v>0.86458333333333326</v>
      </c>
      <c r="AH269" s="360">
        <v>82.135416666666657</v>
      </c>
      <c r="AI269" s="361">
        <v>82.999999999999986</v>
      </c>
      <c r="AJ269" s="360">
        <v>0</v>
      </c>
      <c r="AK269" s="360">
        <v>0.87281186209042771</v>
      </c>
      <c r="AL269" s="360">
        <v>82.917126898590624</v>
      </c>
      <c r="AM269" s="360">
        <v>83.789938760681054</v>
      </c>
      <c r="AN269" s="360">
        <v>0</v>
      </c>
      <c r="AO269" s="360">
        <v>0.82477327290137525</v>
      </c>
      <c r="AP269" s="360">
        <v>78.353460925630657</v>
      </c>
      <c r="AQ269" s="360">
        <v>79.178234198532039</v>
      </c>
      <c r="AR269" s="360">
        <v>0</v>
      </c>
      <c r="AS269" s="360">
        <v>0</v>
      </c>
      <c r="AT269" s="360">
        <v>0</v>
      </c>
      <c r="AU269" s="360">
        <v>79.781293608166848</v>
      </c>
      <c r="AV269" s="360">
        <v>81.761052498584036</v>
      </c>
      <c r="AW269" s="360">
        <v>83.789938760681068</v>
      </c>
      <c r="AX269" s="360">
        <v>85.869171481620413</v>
      </c>
      <c r="AY269" s="360">
        <v>88</v>
      </c>
      <c r="AZ269" s="360">
        <v>75.53244302165767</v>
      </c>
      <c r="BA269" s="360">
        <v>77.333857159436235</v>
      </c>
      <c r="BB269" s="360">
        <v>79.178234198532024</v>
      </c>
      <c r="BC269" s="360">
        <v>81.066598784444849</v>
      </c>
      <c r="BD269" s="360">
        <v>82.999999999999986</v>
      </c>
      <c r="BE269" s="360">
        <v>0</v>
      </c>
      <c r="BF269" s="360">
        <v>0</v>
      </c>
      <c r="BG269" s="360">
        <v>0</v>
      </c>
      <c r="BH269" s="360">
        <v>0</v>
      </c>
      <c r="BI269" s="360">
        <v>0</v>
      </c>
      <c r="BJ269" s="362">
        <v>89.912664458944704</v>
      </c>
      <c r="BK269" s="362">
        <v>91.866900342122477</v>
      </c>
      <c r="BL269" s="362">
        <v>93.863611197097384</v>
      </c>
      <c r="BM269" s="363">
        <v>93.246499135683564</v>
      </c>
      <c r="BN269" s="363">
        <v>92.633444315318599</v>
      </c>
      <c r="BO269" s="363">
        <v>92.337635744106208</v>
      </c>
      <c r="BP269" s="363">
        <v>92.04277178540876</v>
      </c>
      <c r="BQ269" s="363">
        <v>91.748849422772736</v>
      </c>
      <c r="BR269" s="363">
        <v>91.455865649377145</v>
      </c>
      <c r="BS269" s="363">
        <v>91.163817468002748</v>
      </c>
      <c r="BT269" s="363">
        <v>91.838153293207426</v>
      </c>
      <c r="BU269" s="363">
        <v>92.51747715881875</v>
      </c>
      <c r="BV269" s="363">
        <v>93.201825961211156</v>
      </c>
      <c r="BW269" s="363">
        <v>93.891236869680384</v>
      </c>
      <c r="BX269" s="363">
        <v>94.585747328462176</v>
      </c>
      <c r="BY269" s="435">
        <v>94.967005155944761</v>
      </c>
      <c r="BZ269" s="435">
        <v>95.348262983427347</v>
      </c>
      <c r="CA269" s="435">
        <v>95.729520810909918</v>
      </c>
      <c r="CB269" s="435">
        <v>96.110778638392503</v>
      </c>
      <c r="CC269" s="363">
        <v>96.492036465875088</v>
      </c>
      <c r="CD269" s="435">
        <v>96.804555197368202</v>
      </c>
      <c r="CE269" s="435">
        <v>97.117073928861316</v>
      </c>
      <c r="CF269" s="435">
        <v>97.42959266035443</v>
      </c>
      <c r="CG269" s="435">
        <v>97.742111391847544</v>
      </c>
      <c r="CH269" s="363">
        <v>98.054630123340658</v>
      </c>
      <c r="CI269" s="362">
        <v>84.803990341959192</v>
      </c>
      <c r="CJ269" s="362">
        <v>86.647190095410949</v>
      </c>
      <c r="CK269" s="362">
        <v>88.530451469989558</v>
      </c>
      <c r="CL269" s="363">
        <v>87.948402593883344</v>
      </c>
      <c r="CM269" s="363">
        <v>87.370180433766393</v>
      </c>
      <c r="CN269" s="363">
        <v>87.091179167736513</v>
      </c>
      <c r="CO269" s="363">
        <v>86.813068843055959</v>
      </c>
      <c r="CP269" s="363">
        <v>86.535846614660628</v>
      </c>
      <c r="CQ269" s="363">
        <v>86.259509646571601</v>
      </c>
      <c r="CR269" s="363">
        <v>85.984055111866198</v>
      </c>
      <c r="CS269" s="363">
        <v>86.620076401547891</v>
      </c>
      <c r="CT269" s="363">
        <v>87.260802320249482</v>
      </c>
      <c r="CU269" s="363">
        <v>87.906267667960506</v>
      </c>
      <c r="CV269" s="363">
        <v>88.556507502084884</v>
      </c>
      <c r="CW269" s="363">
        <v>89.21155713934499</v>
      </c>
      <c r="CX269" s="435">
        <v>89.571152590266067</v>
      </c>
      <c r="CY269" s="435">
        <v>89.93074804118713</v>
      </c>
      <c r="CZ269" s="435">
        <v>90.290343492108207</v>
      </c>
      <c r="DA269" s="435">
        <v>90.649938943029269</v>
      </c>
      <c r="DB269" s="363">
        <v>91.009534393950346</v>
      </c>
      <c r="DC269" s="435">
        <v>91.304296379335895</v>
      </c>
      <c r="DD269" s="435">
        <v>91.599058364721444</v>
      </c>
      <c r="DE269" s="435">
        <v>91.893820350106992</v>
      </c>
      <c r="DF269" s="435">
        <v>92.188582335492541</v>
      </c>
      <c r="DG269" s="363">
        <v>92.483344320878089</v>
      </c>
      <c r="DH269" s="362">
        <v>0</v>
      </c>
      <c r="DI269" s="362">
        <v>0</v>
      </c>
      <c r="DJ269" s="362">
        <v>0</v>
      </c>
      <c r="DK269" s="363">
        <v>0</v>
      </c>
      <c r="DL269" s="363">
        <v>0</v>
      </c>
      <c r="DM269" s="363">
        <v>0</v>
      </c>
      <c r="DN269" s="363">
        <v>0</v>
      </c>
      <c r="DO269" s="363">
        <v>0</v>
      </c>
      <c r="DP269" s="363">
        <v>0</v>
      </c>
      <c r="DQ269" s="363">
        <v>0</v>
      </c>
      <c r="DR269" s="363">
        <v>0</v>
      </c>
      <c r="DS269" s="363">
        <v>0</v>
      </c>
      <c r="DT269" s="363">
        <v>0</v>
      </c>
      <c r="DU269" s="363">
        <v>0</v>
      </c>
      <c r="DV269" s="363">
        <v>0</v>
      </c>
      <c r="DW269" s="435">
        <v>0</v>
      </c>
      <c r="DX269" s="435">
        <v>0</v>
      </c>
      <c r="DY269" s="435">
        <v>0</v>
      </c>
      <c r="DZ269" s="435">
        <v>0</v>
      </c>
      <c r="EA269" s="363">
        <v>0</v>
      </c>
      <c r="EB269" s="435">
        <v>0</v>
      </c>
      <c r="EC269" s="435">
        <v>0</v>
      </c>
      <c r="ED269" s="435">
        <v>0</v>
      </c>
      <c r="EE269" s="435">
        <v>0</v>
      </c>
      <c r="EF269" s="363">
        <v>0</v>
      </c>
      <c r="EG269" s="364">
        <v>0</v>
      </c>
      <c r="EH269" s="364">
        <v>0</v>
      </c>
      <c r="EI269" s="364">
        <v>0</v>
      </c>
      <c r="EJ269" s="365">
        <v>0</v>
      </c>
      <c r="EK269" s="365">
        <v>0</v>
      </c>
      <c r="EL269" s="365">
        <v>0</v>
      </c>
      <c r="EM269" s="365">
        <v>0</v>
      </c>
      <c r="EN269" s="365">
        <v>0</v>
      </c>
      <c r="EO269" s="365">
        <v>0</v>
      </c>
      <c r="EP269" s="365">
        <v>0</v>
      </c>
      <c r="EQ269" s="365">
        <v>0</v>
      </c>
      <c r="ER269" s="365">
        <v>0</v>
      </c>
      <c r="ES269" s="365">
        <v>0</v>
      </c>
      <c r="ET269" s="365">
        <v>0</v>
      </c>
      <c r="EU269" s="365">
        <v>0</v>
      </c>
      <c r="EV269" s="436">
        <v>0</v>
      </c>
      <c r="EW269" s="436">
        <v>0</v>
      </c>
      <c r="EX269" s="436">
        <v>0</v>
      </c>
      <c r="EY269" s="436">
        <v>0</v>
      </c>
      <c r="EZ269" s="365">
        <v>0</v>
      </c>
      <c r="FA269" s="436">
        <v>0</v>
      </c>
      <c r="FB269" s="436">
        <v>0</v>
      </c>
      <c r="FC269" s="436">
        <v>0</v>
      </c>
      <c r="FD269" s="436">
        <v>0</v>
      </c>
      <c r="FE269" s="365">
        <v>0</v>
      </c>
      <c r="FF269" s="364">
        <v>0</v>
      </c>
      <c r="FG269" s="364">
        <v>0</v>
      </c>
      <c r="FH269" s="364">
        <v>0</v>
      </c>
      <c r="FI269" s="365">
        <v>0</v>
      </c>
      <c r="FJ269" s="365">
        <v>0</v>
      </c>
      <c r="FK269" s="365">
        <v>0</v>
      </c>
      <c r="FL269" s="365">
        <v>0</v>
      </c>
      <c r="FM269" s="365">
        <v>0</v>
      </c>
      <c r="FN269" s="365">
        <v>0</v>
      </c>
      <c r="FO269" s="365">
        <v>0</v>
      </c>
      <c r="FP269" s="365">
        <v>0</v>
      </c>
      <c r="FQ269" s="365">
        <v>0</v>
      </c>
      <c r="FR269" s="365">
        <v>0</v>
      </c>
      <c r="FS269" s="365">
        <v>0</v>
      </c>
      <c r="FT269" s="365">
        <v>0</v>
      </c>
      <c r="FU269" s="436">
        <v>0</v>
      </c>
      <c r="FV269" s="436">
        <v>0</v>
      </c>
      <c r="FW269" s="436">
        <v>0</v>
      </c>
      <c r="FX269" s="436">
        <v>0</v>
      </c>
      <c r="FY269" s="365">
        <v>0</v>
      </c>
      <c r="FZ269" s="436">
        <v>0</v>
      </c>
      <c r="GA269" s="436">
        <v>0</v>
      </c>
      <c r="GB269" s="436">
        <v>0</v>
      </c>
      <c r="GC269" s="436">
        <v>0</v>
      </c>
      <c r="GD269" s="365">
        <v>0</v>
      </c>
    </row>
    <row r="270" spans="1:186" ht="15" x14ac:dyDescent="0.25">
      <c r="A270" s="357">
        <v>106</v>
      </c>
      <c r="B270" s="357">
        <v>97</v>
      </c>
      <c r="C270" s="357" t="s">
        <v>1180</v>
      </c>
      <c r="D270" s="2">
        <v>99709</v>
      </c>
      <c r="E270" s="268" t="s">
        <v>1527</v>
      </c>
      <c r="F270" s="358" t="s">
        <v>985</v>
      </c>
      <c r="G270" s="49">
        <v>207</v>
      </c>
      <c r="H270" s="49">
        <v>117</v>
      </c>
      <c r="I270" s="49">
        <v>105</v>
      </c>
      <c r="J270" s="49">
        <v>12</v>
      </c>
      <c r="K270" s="49">
        <v>0</v>
      </c>
      <c r="L270" s="49">
        <v>159</v>
      </c>
      <c r="M270" s="49">
        <v>159</v>
      </c>
      <c r="N270" s="49">
        <v>2</v>
      </c>
      <c r="O270" s="49">
        <v>0</v>
      </c>
      <c r="P270" s="49">
        <v>0</v>
      </c>
      <c r="Q270" s="49">
        <v>161</v>
      </c>
      <c r="R270" s="49">
        <v>0</v>
      </c>
      <c r="S270" s="49">
        <v>1928.5786163522012</v>
      </c>
      <c r="T270" s="49">
        <v>1928.5786163522012</v>
      </c>
      <c r="U270" s="49">
        <v>3400</v>
      </c>
      <c r="V270" s="49">
        <v>0</v>
      </c>
      <c r="W270" s="49">
        <v>0</v>
      </c>
      <c r="X270" s="49">
        <v>1946.8571428571429</v>
      </c>
      <c r="Y270" s="434">
        <v>306644</v>
      </c>
      <c r="Z270" s="434">
        <v>6800</v>
      </c>
      <c r="AA270" s="49">
        <v>0</v>
      </c>
      <c r="AB270" s="49">
        <v>117</v>
      </c>
      <c r="AC270" s="49">
        <v>0</v>
      </c>
      <c r="AD270" s="285">
        <v>2</v>
      </c>
      <c r="AE270" s="285">
        <v>0</v>
      </c>
      <c r="AF270" s="359">
        <v>119</v>
      </c>
      <c r="AG270" s="360">
        <v>0</v>
      </c>
      <c r="AH270" s="360">
        <v>105</v>
      </c>
      <c r="AI270" s="361">
        <v>105</v>
      </c>
      <c r="AJ270" s="360">
        <v>0</v>
      </c>
      <c r="AK270" s="360">
        <v>0</v>
      </c>
      <c r="AL270" s="360">
        <v>111.40253221590551</v>
      </c>
      <c r="AM270" s="360">
        <v>111.40253221590551</v>
      </c>
      <c r="AN270" s="360">
        <v>0</v>
      </c>
      <c r="AO270" s="360">
        <v>0</v>
      </c>
      <c r="AP270" s="360">
        <v>100.16523603428752</v>
      </c>
      <c r="AQ270" s="360">
        <v>100.16523603428752</v>
      </c>
      <c r="AR270" s="360">
        <v>0</v>
      </c>
      <c r="AS270" s="360">
        <v>1.9193314770024816</v>
      </c>
      <c r="AT270" s="360">
        <v>0</v>
      </c>
      <c r="AU270" s="360">
        <v>106.07285627449455</v>
      </c>
      <c r="AV270" s="360">
        <v>108.70503570834468</v>
      </c>
      <c r="AW270" s="360">
        <v>111.40253221590551</v>
      </c>
      <c r="AX270" s="360">
        <v>114.1669666289726</v>
      </c>
      <c r="AY270" s="360">
        <v>117</v>
      </c>
      <c r="AZ270" s="360">
        <v>95.553090569566947</v>
      </c>
      <c r="BA270" s="360">
        <v>97.831987972780794</v>
      </c>
      <c r="BB270" s="360">
        <v>100.16523603428752</v>
      </c>
      <c r="BC270" s="360">
        <v>102.55413099237002</v>
      </c>
      <c r="BD270" s="360">
        <v>105</v>
      </c>
      <c r="BE270" s="360">
        <v>1.8419166593062641</v>
      </c>
      <c r="BF270" s="360">
        <v>1.8802256838533424</v>
      </c>
      <c r="BG270" s="360">
        <v>1.9193314770024816</v>
      </c>
      <c r="BH270" s="360">
        <v>1.9592506103112393</v>
      </c>
      <c r="BI270" s="360">
        <v>2</v>
      </c>
      <c r="BJ270" s="362">
        <v>118.23611263472672</v>
      </c>
      <c r="BK270" s="362">
        <v>119.48528488010071</v>
      </c>
      <c r="BL270" s="362">
        <v>120.74765471176066</v>
      </c>
      <c r="BM270" s="363">
        <v>119.95379185948248</v>
      </c>
      <c r="BN270" s="363">
        <v>119.16514830715451</v>
      </c>
      <c r="BO270" s="363">
        <v>118.78461541733705</v>
      </c>
      <c r="BP270" s="363">
        <v>118.40529769220734</v>
      </c>
      <c r="BQ270" s="363">
        <v>118.0271912513512</v>
      </c>
      <c r="BR270" s="363">
        <v>117.65029222674588</v>
      </c>
      <c r="BS270" s="363">
        <v>117.27459676272048</v>
      </c>
      <c r="BT270" s="363">
        <v>118.14207318242276</v>
      </c>
      <c r="BU270" s="363">
        <v>119.01596629729613</v>
      </c>
      <c r="BV270" s="363">
        <v>119.89632357142837</v>
      </c>
      <c r="BW270" s="363">
        <v>120.78319281999759</v>
      </c>
      <c r="BX270" s="363">
        <v>121.67662221186914</v>
      </c>
      <c r="BY270" s="435">
        <v>122.16707839528144</v>
      </c>
      <c r="BZ270" s="435">
        <v>122.65753457869371</v>
      </c>
      <c r="CA270" s="435">
        <v>123.14799076210601</v>
      </c>
      <c r="CB270" s="435">
        <v>123.63844694551828</v>
      </c>
      <c r="CC270" s="363">
        <v>124.12890312893057</v>
      </c>
      <c r="CD270" s="435">
        <v>124.5309322369099</v>
      </c>
      <c r="CE270" s="435">
        <v>124.93296134488924</v>
      </c>
      <c r="CF270" s="435">
        <v>125.33499045286855</v>
      </c>
      <c r="CG270" s="435">
        <v>125.73701956084788</v>
      </c>
      <c r="CH270" s="363">
        <v>126.13904866882721</v>
      </c>
      <c r="CI270" s="362">
        <v>106.10933185167782</v>
      </c>
      <c r="CJ270" s="362">
        <v>107.23038386675704</v>
      </c>
      <c r="CK270" s="362">
        <v>108.3632798695288</v>
      </c>
      <c r="CL270" s="363">
        <v>107.6508388482535</v>
      </c>
      <c r="CM270" s="363">
        <v>106.94308181411303</v>
      </c>
      <c r="CN270" s="363">
        <v>106.60157793863581</v>
      </c>
      <c r="CO270" s="363">
        <v>106.26116459557069</v>
      </c>
      <c r="CP270" s="363">
        <v>105.92183830249466</v>
      </c>
      <c r="CQ270" s="363">
        <v>105.58359558810527</v>
      </c>
      <c r="CR270" s="363">
        <v>105.24643299218504</v>
      </c>
      <c r="CS270" s="363">
        <v>106.02493747140504</v>
      </c>
      <c r="CT270" s="363">
        <v>106.80920052321447</v>
      </c>
      <c r="CU270" s="363">
        <v>107.59926474358956</v>
      </c>
      <c r="CV270" s="363">
        <v>108.39517304358759</v>
      </c>
      <c r="CW270" s="363">
        <v>109.19696865167744</v>
      </c>
      <c r="CX270" s="435">
        <v>109.63712163679102</v>
      </c>
      <c r="CY270" s="435">
        <v>110.07727462190462</v>
      </c>
      <c r="CZ270" s="435">
        <v>110.51742760701821</v>
      </c>
      <c r="DA270" s="435">
        <v>110.95758059213181</v>
      </c>
      <c r="DB270" s="363">
        <v>111.39773357724539</v>
      </c>
      <c r="DC270" s="435">
        <v>111.75852893056017</v>
      </c>
      <c r="DD270" s="435">
        <v>112.11932428387496</v>
      </c>
      <c r="DE270" s="435">
        <v>112.48011963718973</v>
      </c>
      <c r="DF270" s="435">
        <v>112.84091499050452</v>
      </c>
      <c r="DG270" s="363">
        <v>113.2017103438193</v>
      </c>
      <c r="DH270" s="362">
        <v>2.021130130508149</v>
      </c>
      <c r="DI270" s="362">
        <v>2.0424835022239436</v>
      </c>
      <c r="DJ270" s="362">
        <v>2.0640624737053104</v>
      </c>
      <c r="DK270" s="363">
        <v>2.0504921685381619</v>
      </c>
      <c r="DL270" s="363">
        <v>2.0370110821735814</v>
      </c>
      <c r="DM270" s="363">
        <v>2.0305062464502059</v>
      </c>
      <c r="DN270" s="363">
        <v>2.0240221827727751</v>
      </c>
      <c r="DO270" s="363">
        <v>2.0175588248094223</v>
      </c>
      <c r="DP270" s="363">
        <v>2.0111161064401002</v>
      </c>
      <c r="DQ270" s="363">
        <v>2.0046939617559056</v>
      </c>
      <c r="DR270" s="363">
        <v>2.0195226185029531</v>
      </c>
      <c r="DS270" s="363">
        <v>2.0344609623469423</v>
      </c>
      <c r="DT270" s="363">
        <v>2.049509804639801</v>
      </c>
      <c r="DU270" s="363">
        <v>2.0646699627350018</v>
      </c>
      <c r="DV270" s="363">
        <v>2.079942260031951</v>
      </c>
      <c r="DW270" s="435">
        <v>2.0883261264150672</v>
      </c>
      <c r="DX270" s="435">
        <v>2.0967099927981829</v>
      </c>
      <c r="DY270" s="435">
        <v>2.1050938591812991</v>
      </c>
      <c r="DZ270" s="435">
        <v>2.1134777255644148</v>
      </c>
      <c r="EA270" s="363">
        <v>2.121861591947531</v>
      </c>
      <c r="EB270" s="435">
        <v>2.1287338843916221</v>
      </c>
      <c r="EC270" s="435">
        <v>2.1356061768357133</v>
      </c>
      <c r="ED270" s="435">
        <v>2.1424784692798045</v>
      </c>
      <c r="EE270" s="435">
        <v>2.1493507617238956</v>
      </c>
      <c r="EF270" s="363">
        <v>2.1562230541679868</v>
      </c>
      <c r="EG270" s="364">
        <v>0</v>
      </c>
      <c r="EH270" s="364">
        <v>0</v>
      </c>
      <c r="EI270" s="364">
        <v>0</v>
      </c>
      <c r="EJ270" s="365">
        <v>0</v>
      </c>
      <c r="EK270" s="365">
        <v>0</v>
      </c>
      <c r="EL270" s="365">
        <v>0</v>
      </c>
      <c r="EM270" s="365">
        <v>0</v>
      </c>
      <c r="EN270" s="365">
        <v>0</v>
      </c>
      <c r="EO270" s="365">
        <v>0</v>
      </c>
      <c r="EP270" s="365">
        <v>0</v>
      </c>
      <c r="EQ270" s="365">
        <v>0</v>
      </c>
      <c r="ER270" s="365">
        <v>0</v>
      </c>
      <c r="ES270" s="365">
        <v>0</v>
      </c>
      <c r="ET270" s="365">
        <v>0</v>
      </c>
      <c r="EU270" s="365">
        <v>0</v>
      </c>
      <c r="EV270" s="436">
        <v>0</v>
      </c>
      <c r="EW270" s="436">
        <v>0</v>
      </c>
      <c r="EX270" s="436">
        <v>0</v>
      </c>
      <c r="EY270" s="436">
        <v>0</v>
      </c>
      <c r="EZ270" s="365">
        <v>0</v>
      </c>
      <c r="FA270" s="436">
        <v>0</v>
      </c>
      <c r="FB270" s="436">
        <v>0</v>
      </c>
      <c r="FC270" s="436">
        <v>0</v>
      </c>
      <c r="FD270" s="436">
        <v>0</v>
      </c>
      <c r="FE270" s="365">
        <v>0</v>
      </c>
      <c r="FF270" s="364">
        <v>0</v>
      </c>
      <c r="FG270" s="364">
        <v>0</v>
      </c>
      <c r="FH270" s="364">
        <v>0</v>
      </c>
      <c r="FI270" s="365">
        <v>0</v>
      </c>
      <c r="FJ270" s="365">
        <v>0</v>
      </c>
      <c r="FK270" s="365">
        <v>0</v>
      </c>
      <c r="FL270" s="365">
        <v>0</v>
      </c>
      <c r="FM270" s="365">
        <v>0</v>
      </c>
      <c r="FN270" s="365">
        <v>0</v>
      </c>
      <c r="FO270" s="365">
        <v>0</v>
      </c>
      <c r="FP270" s="365">
        <v>0</v>
      </c>
      <c r="FQ270" s="365">
        <v>0</v>
      </c>
      <c r="FR270" s="365">
        <v>0</v>
      </c>
      <c r="FS270" s="365">
        <v>0</v>
      </c>
      <c r="FT270" s="365">
        <v>0</v>
      </c>
      <c r="FU270" s="436">
        <v>0</v>
      </c>
      <c r="FV270" s="436">
        <v>0</v>
      </c>
      <c r="FW270" s="436">
        <v>0</v>
      </c>
      <c r="FX270" s="436">
        <v>0</v>
      </c>
      <c r="FY270" s="365">
        <v>0</v>
      </c>
      <c r="FZ270" s="436">
        <v>0</v>
      </c>
      <c r="GA270" s="436">
        <v>0</v>
      </c>
      <c r="GB270" s="436">
        <v>0</v>
      </c>
      <c r="GC270" s="436">
        <v>0</v>
      </c>
      <c r="GD270" s="365">
        <v>0</v>
      </c>
    </row>
    <row r="271" spans="1:186" ht="15" x14ac:dyDescent="0.25">
      <c r="A271" s="357">
        <v>107</v>
      </c>
      <c r="B271" s="357">
        <v>97</v>
      </c>
      <c r="C271" s="357" t="s">
        <v>1181</v>
      </c>
      <c r="D271" s="2">
        <v>99709</v>
      </c>
      <c r="E271" s="268" t="s">
        <v>1527</v>
      </c>
      <c r="F271" s="358" t="s">
        <v>985</v>
      </c>
      <c r="G271" s="49">
        <v>197</v>
      </c>
      <c r="H271" s="49">
        <v>108</v>
      </c>
      <c r="I271" s="49">
        <v>96</v>
      </c>
      <c r="J271" s="49">
        <v>12</v>
      </c>
      <c r="K271" s="49">
        <v>2</v>
      </c>
      <c r="L271" s="49">
        <v>58</v>
      </c>
      <c r="M271" s="49">
        <v>60</v>
      </c>
      <c r="N271" s="49">
        <v>0</v>
      </c>
      <c r="O271" s="49">
        <v>0</v>
      </c>
      <c r="P271" s="49">
        <v>0</v>
      </c>
      <c r="Q271" s="49">
        <v>60</v>
      </c>
      <c r="R271" s="49">
        <v>3446</v>
      </c>
      <c r="S271" s="49">
        <v>2462.0689655172414</v>
      </c>
      <c r="T271" s="49">
        <v>2494.8666666666668</v>
      </c>
      <c r="U271" s="49">
        <v>0</v>
      </c>
      <c r="V271" s="49">
        <v>0</v>
      </c>
      <c r="W271" s="49">
        <v>0</v>
      </c>
      <c r="X271" s="49">
        <v>2494.8666666666668</v>
      </c>
      <c r="Y271" s="434">
        <v>149692</v>
      </c>
      <c r="Z271" s="434">
        <v>0</v>
      </c>
      <c r="AA271" s="49">
        <v>3.6</v>
      </c>
      <c r="AB271" s="49">
        <v>104.4</v>
      </c>
      <c r="AC271" s="49">
        <v>0</v>
      </c>
      <c r="AD271" s="285">
        <v>0</v>
      </c>
      <c r="AE271" s="285">
        <v>0</v>
      </c>
      <c r="AF271" s="359">
        <v>108</v>
      </c>
      <c r="AG271" s="360">
        <v>3.2</v>
      </c>
      <c r="AH271" s="360">
        <v>92.800000000000011</v>
      </c>
      <c r="AI271" s="361">
        <v>96.000000000000014</v>
      </c>
      <c r="AJ271" s="360">
        <v>0</v>
      </c>
      <c r="AK271" s="360">
        <v>3.4277702220278616</v>
      </c>
      <c r="AL271" s="360">
        <v>99.405336438807993</v>
      </c>
      <c r="AM271" s="360">
        <v>102.83310666083585</v>
      </c>
      <c r="AN271" s="360">
        <v>0</v>
      </c>
      <c r="AO271" s="360">
        <v>3.0526548124735244</v>
      </c>
      <c r="AP271" s="360">
        <v>88.526989561732208</v>
      </c>
      <c r="AQ271" s="360">
        <v>91.579644374205728</v>
      </c>
      <c r="AR271" s="360">
        <v>0</v>
      </c>
      <c r="AS271" s="360">
        <v>0</v>
      </c>
      <c r="AT271" s="360">
        <v>0</v>
      </c>
      <c r="AU271" s="360">
        <v>97.913405791841129</v>
      </c>
      <c r="AV271" s="360">
        <v>100.34310988462586</v>
      </c>
      <c r="AW271" s="360">
        <v>102.83310666083585</v>
      </c>
      <c r="AX271" s="360">
        <v>105.38489227289779</v>
      </c>
      <c r="AY271" s="360">
        <v>108</v>
      </c>
      <c r="AZ271" s="360">
        <v>87.36282566360407</v>
      </c>
      <c r="BA271" s="360">
        <v>89.446389003685312</v>
      </c>
      <c r="BB271" s="360">
        <v>91.579644374205742</v>
      </c>
      <c r="BC271" s="360">
        <v>93.763776907309747</v>
      </c>
      <c r="BD271" s="360">
        <v>96.000000000000014</v>
      </c>
      <c r="BE271" s="360">
        <v>0</v>
      </c>
      <c r="BF271" s="360">
        <v>0</v>
      </c>
      <c r="BG271" s="360">
        <v>0</v>
      </c>
      <c r="BH271" s="360">
        <v>0</v>
      </c>
      <c r="BI271" s="360">
        <v>0</v>
      </c>
      <c r="BJ271" s="362">
        <v>109.02392790989971</v>
      </c>
      <c r="BK271" s="362">
        <v>110.05756348984269</v>
      </c>
      <c r="BL271" s="362">
        <v>111.10099877644278</v>
      </c>
      <c r="BM271" s="363">
        <v>110.3705584545155</v>
      </c>
      <c r="BN271" s="363">
        <v>109.64492045722773</v>
      </c>
      <c r="BO271" s="363">
        <v>109.29478873643424</v>
      </c>
      <c r="BP271" s="363">
        <v>108.94577509955559</v>
      </c>
      <c r="BQ271" s="363">
        <v>108.59787597618792</v>
      </c>
      <c r="BR271" s="363">
        <v>108.25108780732886</v>
      </c>
      <c r="BS271" s="363">
        <v>107.90540704534105</v>
      </c>
      <c r="BT271" s="363">
        <v>108.70357987009696</v>
      </c>
      <c r="BU271" s="363">
        <v>109.50765675356153</v>
      </c>
      <c r="BV271" s="363">
        <v>110.31768136786712</v>
      </c>
      <c r="BW271" s="363">
        <v>111.13369770818746</v>
      </c>
      <c r="BX271" s="363">
        <v>111.95575009512703</v>
      </c>
      <c r="BY271" s="435">
        <v>112.40702322306696</v>
      </c>
      <c r="BZ271" s="435">
        <v>112.8582963510069</v>
      </c>
      <c r="CA271" s="435">
        <v>113.30956947894683</v>
      </c>
      <c r="CB271" s="435">
        <v>113.76084260688677</v>
      </c>
      <c r="CC271" s="363">
        <v>114.2121157348267</v>
      </c>
      <c r="CD271" s="435">
        <v>114.58202631851735</v>
      </c>
      <c r="CE271" s="435">
        <v>114.95193690220802</v>
      </c>
      <c r="CF271" s="435">
        <v>115.32184748589867</v>
      </c>
      <c r="CG271" s="435">
        <v>115.69175806958934</v>
      </c>
      <c r="CH271" s="363">
        <v>116.06166865327999</v>
      </c>
      <c r="CI271" s="362">
        <v>96.910158142133099</v>
      </c>
      <c r="CJ271" s="362">
        <v>97.828945324304627</v>
      </c>
      <c r="CK271" s="362">
        <v>98.756443356838048</v>
      </c>
      <c r="CL271" s="363">
        <v>98.107163070680471</v>
      </c>
      <c r="CM271" s="363">
        <v>97.462151517535773</v>
      </c>
      <c r="CN271" s="363">
        <v>97.150923321274902</v>
      </c>
      <c r="CO271" s="363">
        <v>96.840688977382769</v>
      </c>
      <c r="CP271" s="363">
        <v>96.531445312167065</v>
      </c>
      <c r="CQ271" s="363">
        <v>96.223189162070113</v>
      </c>
      <c r="CR271" s="363">
        <v>95.915917373636518</v>
      </c>
      <c r="CS271" s="363">
        <v>96.625404328975094</v>
      </c>
      <c r="CT271" s="363">
        <v>97.340139336499163</v>
      </c>
      <c r="CU271" s="363">
        <v>98.060161215881905</v>
      </c>
      <c r="CV271" s="363">
        <v>98.785509073944425</v>
      </c>
      <c r="CW271" s="363">
        <v>99.516222306779611</v>
      </c>
      <c r="CX271" s="435">
        <v>99.917353976059545</v>
      </c>
      <c r="CY271" s="435">
        <v>100.31848564533949</v>
      </c>
      <c r="CZ271" s="435">
        <v>100.71961731461943</v>
      </c>
      <c r="DA271" s="435">
        <v>101.12074898389938</v>
      </c>
      <c r="DB271" s="363">
        <v>101.52188065317931</v>
      </c>
      <c r="DC271" s="435">
        <v>101.85069006090434</v>
      </c>
      <c r="DD271" s="435">
        <v>102.17949946862937</v>
      </c>
      <c r="DE271" s="435">
        <v>102.50830887635441</v>
      </c>
      <c r="DF271" s="435">
        <v>102.83711828407944</v>
      </c>
      <c r="DG271" s="363">
        <v>103.16592769180447</v>
      </c>
      <c r="DH271" s="362">
        <v>0</v>
      </c>
      <c r="DI271" s="362">
        <v>0</v>
      </c>
      <c r="DJ271" s="362">
        <v>0</v>
      </c>
      <c r="DK271" s="363">
        <v>0</v>
      </c>
      <c r="DL271" s="363">
        <v>0</v>
      </c>
      <c r="DM271" s="363">
        <v>0</v>
      </c>
      <c r="DN271" s="363">
        <v>0</v>
      </c>
      <c r="DO271" s="363">
        <v>0</v>
      </c>
      <c r="DP271" s="363">
        <v>0</v>
      </c>
      <c r="DQ271" s="363">
        <v>0</v>
      </c>
      <c r="DR271" s="363">
        <v>0</v>
      </c>
      <c r="DS271" s="363">
        <v>0</v>
      </c>
      <c r="DT271" s="363">
        <v>0</v>
      </c>
      <c r="DU271" s="363">
        <v>0</v>
      </c>
      <c r="DV271" s="363">
        <v>0</v>
      </c>
      <c r="DW271" s="435">
        <v>0</v>
      </c>
      <c r="DX271" s="435">
        <v>0</v>
      </c>
      <c r="DY271" s="435">
        <v>0</v>
      </c>
      <c r="DZ271" s="435">
        <v>0</v>
      </c>
      <c r="EA271" s="363">
        <v>0</v>
      </c>
      <c r="EB271" s="435">
        <v>0</v>
      </c>
      <c r="EC271" s="435">
        <v>0</v>
      </c>
      <c r="ED271" s="435">
        <v>0</v>
      </c>
      <c r="EE271" s="435">
        <v>0</v>
      </c>
      <c r="EF271" s="363">
        <v>0</v>
      </c>
      <c r="EG271" s="364">
        <v>0</v>
      </c>
      <c r="EH271" s="364">
        <v>0</v>
      </c>
      <c r="EI271" s="364">
        <v>0</v>
      </c>
      <c r="EJ271" s="365">
        <v>0</v>
      </c>
      <c r="EK271" s="365">
        <v>0</v>
      </c>
      <c r="EL271" s="365">
        <v>0</v>
      </c>
      <c r="EM271" s="365">
        <v>0</v>
      </c>
      <c r="EN271" s="365">
        <v>0</v>
      </c>
      <c r="EO271" s="365">
        <v>0</v>
      </c>
      <c r="EP271" s="365">
        <v>0</v>
      </c>
      <c r="EQ271" s="365">
        <v>0</v>
      </c>
      <c r="ER271" s="365">
        <v>0</v>
      </c>
      <c r="ES271" s="365">
        <v>0</v>
      </c>
      <c r="ET271" s="365">
        <v>0</v>
      </c>
      <c r="EU271" s="365">
        <v>0</v>
      </c>
      <c r="EV271" s="436">
        <v>0</v>
      </c>
      <c r="EW271" s="436">
        <v>0</v>
      </c>
      <c r="EX271" s="436">
        <v>0</v>
      </c>
      <c r="EY271" s="436">
        <v>0</v>
      </c>
      <c r="EZ271" s="365">
        <v>0</v>
      </c>
      <c r="FA271" s="436">
        <v>0</v>
      </c>
      <c r="FB271" s="436">
        <v>0</v>
      </c>
      <c r="FC271" s="436">
        <v>0</v>
      </c>
      <c r="FD271" s="436">
        <v>0</v>
      </c>
      <c r="FE271" s="365">
        <v>0</v>
      </c>
      <c r="FF271" s="364">
        <v>0</v>
      </c>
      <c r="FG271" s="364">
        <v>0</v>
      </c>
      <c r="FH271" s="364">
        <v>0</v>
      </c>
      <c r="FI271" s="365">
        <v>0</v>
      </c>
      <c r="FJ271" s="365">
        <v>0</v>
      </c>
      <c r="FK271" s="365">
        <v>0</v>
      </c>
      <c r="FL271" s="365">
        <v>0</v>
      </c>
      <c r="FM271" s="365">
        <v>0</v>
      </c>
      <c r="FN271" s="365">
        <v>0</v>
      </c>
      <c r="FO271" s="365">
        <v>0</v>
      </c>
      <c r="FP271" s="365">
        <v>0</v>
      </c>
      <c r="FQ271" s="365">
        <v>0</v>
      </c>
      <c r="FR271" s="365">
        <v>0</v>
      </c>
      <c r="FS271" s="365">
        <v>0</v>
      </c>
      <c r="FT271" s="365">
        <v>0</v>
      </c>
      <c r="FU271" s="436">
        <v>0</v>
      </c>
      <c r="FV271" s="436">
        <v>0</v>
      </c>
      <c r="FW271" s="436">
        <v>0</v>
      </c>
      <c r="FX271" s="436">
        <v>0</v>
      </c>
      <c r="FY271" s="365">
        <v>0</v>
      </c>
      <c r="FZ271" s="436">
        <v>0</v>
      </c>
      <c r="GA271" s="436">
        <v>0</v>
      </c>
      <c r="GB271" s="436">
        <v>0</v>
      </c>
      <c r="GC271" s="436">
        <v>0</v>
      </c>
      <c r="GD271" s="365">
        <v>0</v>
      </c>
    </row>
    <row r="272" spans="1:186" ht="15" x14ac:dyDescent="0.25">
      <c r="A272" s="357">
        <v>108</v>
      </c>
      <c r="B272" s="357">
        <v>97</v>
      </c>
      <c r="C272" s="357" t="s">
        <v>1182</v>
      </c>
      <c r="D272" s="2">
        <v>99709</v>
      </c>
      <c r="E272" s="268" t="s">
        <v>1527</v>
      </c>
      <c r="F272" s="358" t="s">
        <v>985</v>
      </c>
      <c r="G272" s="49">
        <v>102</v>
      </c>
      <c r="H272" s="49">
        <v>53</v>
      </c>
      <c r="I272" s="49">
        <v>47</v>
      </c>
      <c r="J272" s="49">
        <v>6</v>
      </c>
      <c r="K272" s="49">
        <v>0</v>
      </c>
      <c r="L272" s="49">
        <v>0</v>
      </c>
      <c r="M272" s="49">
        <v>0</v>
      </c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49">
        <v>834.49503068156923</v>
      </c>
      <c r="T272" s="49">
        <v>834.49503068156923</v>
      </c>
      <c r="U272" s="49">
        <v>1408.3846153846155</v>
      </c>
      <c r="V272" s="49">
        <v>0</v>
      </c>
      <c r="W272" s="49">
        <v>0</v>
      </c>
      <c r="X272" s="49">
        <v>1365.173957061457</v>
      </c>
      <c r="Y272" s="434">
        <v>0</v>
      </c>
      <c r="Z272" s="434">
        <v>0</v>
      </c>
      <c r="AA272" s="49">
        <v>1.2143537768537769</v>
      </c>
      <c r="AB272" s="49">
        <v>51.71677927927928</v>
      </c>
      <c r="AC272" s="49">
        <v>6.8866943866943864E-2</v>
      </c>
      <c r="AD272" s="285">
        <v>0</v>
      </c>
      <c r="AE272" s="285">
        <v>0</v>
      </c>
      <c r="AF272" s="359">
        <v>53</v>
      </c>
      <c r="AG272" s="360">
        <v>1.0768797643797643</v>
      </c>
      <c r="AH272" s="360">
        <v>45.862049549549546</v>
      </c>
      <c r="AI272" s="361">
        <v>46.938929313929307</v>
      </c>
      <c r="AJ272" s="360">
        <v>6.1070686070686067E-2</v>
      </c>
      <c r="AK272" s="360">
        <v>1.1562571431406787</v>
      </c>
      <c r="AL272" s="360">
        <v>49.242565553528067</v>
      </c>
      <c r="AM272" s="360">
        <v>50.398822696668745</v>
      </c>
      <c r="AN272" s="360">
        <v>6.5572238741437347E-2</v>
      </c>
      <c r="AO272" s="360">
        <v>1.0272944359966383</v>
      </c>
      <c r="AP272" s="360">
        <v>43.750314458541141</v>
      </c>
      <c r="AQ272" s="360">
        <v>44.777608894537778</v>
      </c>
      <c r="AR272" s="360">
        <v>5.8258663667106136E-2</v>
      </c>
      <c r="AS272" s="360">
        <v>0</v>
      </c>
      <c r="AT272" s="360">
        <v>0</v>
      </c>
      <c r="AU272" s="360">
        <v>47.987662129139743</v>
      </c>
      <c r="AV272" s="360">
        <v>49.178467597864</v>
      </c>
      <c r="AW272" s="360">
        <v>50.398822696668745</v>
      </c>
      <c r="AX272" s="360">
        <v>51.649460694472232</v>
      </c>
      <c r="AY272" s="360">
        <v>52.931133056133056</v>
      </c>
      <c r="AZ272" s="360">
        <v>42.715807275927503</v>
      </c>
      <c r="BA272" s="360">
        <v>43.734559696147997</v>
      </c>
      <c r="BB272" s="360">
        <v>44.777608894537771</v>
      </c>
      <c r="BC272" s="360">
        <v>45.845534338117169</v>
      </c>
      <c r="BD272" s="360">
        <v>46.938929313929307</v>
      </c>
      <c r="BE272" s="360">
        <v>0</v>
      </c>
      <c r="BF272" s="360">
        <v>0</v>
      </c>
      <c r="BG272" s="360">
        <v>0</v>
      </c>
      <c r="BH272" s="360">
        <v>0</v>
      </c>
      <c r="BI272" s="360">
        <v>0</v>
      </c>
      <c r="BJ272" s="362">
        <v>53.43296328241815</v>
      </c>
      <c r="BK272" s="362">
        <v>53.939551267728469</v>
      </c>
      <c r="BL272" s="362">
        <v>54.450942119492304</v>
      </c>
      <c r="BM272" s="363">
        <v>54.092951065145108</v>
      </c>
      <c r="BN272" s="363">
        <v>53.737313644913392</v>
      </c>
      <c r="BO272" s="363">
        <v>53.565713008797715</v>
      </c>
      <c r="BP272" s="363">
        <v>53.394660349056714</v>
      </c>
      <c r="BQ272" s="363">
        <v>53.224153915824431</v>
      </c>
      <c r="BR272" s="363">
        <v>53.054191964822841</v>
      </c>
      <c r="BS272" s="363">
        <v>52.884772757343931</v>
      </c>
      <c r="BT272" s="363">
        <v>53.275959720204533</v>
      </c>
      <c r="BU272" s="363">
        <v>53.670040280445491</v>
      </c>
      <c r="BV272" s="363">
        <v>54.067035841913565</v>
      </c>
      <c r="BW272" s="363">
        <v>54.466967966779073</v>
      </c>
      <c r="BX272" s="363">
        <v>54.869858376706951</v>
      </c>
      <c r="BY272" s="435">
        <v>55.09102872837034</v>
      </c>
      <c r="BZ272" s="435">
        <v>55.312199080033722</v>
      </c>
      <c r="CA272" s="435">
        <v>55.53336943169711</v>
      </c>
      <c r="CB272" s="435">
        <v>55.754539783360492</v>
      </c>
      <c r="CC272" s="363">
        <v>55.975710135023881</v>
      </c>
      <c r="CD272" s="435">
        <v>56.157004452840567</v>
      </c>
      <c r="CE272" s="435">
        <v>56.338298770657261</v>
      </c>
      <c r="CF272" s="435">
        <v>56.519593088473947</v>
      </c>
      <c r="CG272" s="435">
        <v>56.70088740629064</v>
      </c>
      <c r="CH272" s="363">
        <v>56.882181724107326</v>
      </c>
      <c r="CI272" s="362">
        <v>47.383948571200989</v>
      </c>
      <c r="CJ272" s="362">
        <v>47.833186973268639</v>
      </c>
      <c r="CK272" s="362">
        <v>48.286684521059207</v>
      </c>
      <c r="CL272" s="363">
        <v>47.969220755883391</v>
      </c>
      <c r="CM272" s="363">
        <v>47.653844175677911</v>
      </c>
      <c r="CN272" s="363">
        <v>47.501670026669672</v>
      </c>
      <c r="CO272" s="363">
        <v>47.349981818974818</v>
      </c>
      <c r="CP272" s="363">
        <v>47.198778000825435</v>
      </c>
      <c r="CQ272" s="363">
        <v>47.04805702540893</v>
      </c>
      <c r="CR272" s="363">
        <v>46.897817350852165</v>
      </c>
      <c r="CS272" s="363">
        <v>47.244718997162501</v>
      </c>
      <c r="CT272" s="363">
        <v>47.594186663791284</v>
      </c>
      <c r="CU272" s="363">
        <v>47.946239331508252</v>
      </c>
      <c r="CV272" s="363">
        <v>48.300896121483319</v>
      </c>
      <c r="CW272" s="363">
        <v>48.658176296325024</v>
      </c>
      <c r="CX272" s="435">
        <v>48.854308494969914</v>
      </c>
      <c r="CY272" s="435">
        <v>49.050440693614803</v>
      </c>
      <c r="CZ272" s="435">
        <v>49.246572892259699</v>
      </c>
      <c r="DA272" s="435">
        <v>49.442705090904589</v>
      </c>
      <c r="DB272" s="363">
        <v>49.638837289549478</v>
      </c>
      <c r="DC272" s="435">
        <v>49.799607722330315</v>
      </c>
      <c r="DD272" s="435">
        <v>49.960378155111151</v>
      </c>
      <c r="DE272" s="435">
        <v>50.121148587891987</v>
      </c>
      <c r="DF272" s="435">
        <v>50.281919020672824</v>
      </c>
      <c r="DG272" s="363">
        <v>50.44268945345366</v>
      </c>
      <c r="DH272" s="362">
        <v>0</v>
      </c>
      <c r="DI272" s="362">
        <v>0</v>
      </c>
      <c r="DJ272" s="362">
        <v>0</v>
      </c>
      <c r="DK272" s="363">
        <v>0</v>
      </c>
      <c r="DL272" s="363">
        <v>0</v>
      </c>
      <c r="DM272" s="363">
        <v>0</v>
      </c>
      <c r="DN272" s="363">
        <v>0</v>
      </c>
      <c r="DO272" s="363">
        <v>0</v>
      </c>
      <c r="DP272" s="363">
        <v>0</v>
      </c>
      <c r="DQ272" s="363">
        <v>0</v>
      </c>
      <c r="DR272" s="363">
        <v>0</v>
      </c>
      <c r="DS272" s="363">
        <v>0</v>
      </c>
      <c r="DT272" s="363">
        <v>0</v>
      </c>
      <c r="DU272" s="363">
        <v>0</v>
      </c>
      <c r="DV272" s="363">
        <v>0</v>
      </c>
      <c r="DW272" s="435">
        <v>0</v>
      </c>
      <c r="DX272" s="435">
        <v>0</v>
      </c>
      <c r="DY272" s="435">
        <v>0</v>
      </c>
      <c r="DZ272" s="435">
        <v>0</v>
      </c>
      <c r="EA272" s="363">
        <v>0</v>
      </c>
      <c r="EB272" s="435">
        <v>0</v>
      </c>
      <c r="EC272" s="435">
        <v>0</v>
      </c>
      <c r="ED272" s="435">
        <v>0</v>
      </c>
      <c r="EE272" s="435">
        <v>0</v>
      </c>
      <c r="EF272" s="363">
        <v>0</v>
      </c>
      <c r="EG272" s="364">
        <v>6.9519858551155542E-2</v>
      </c>
      <c r="EH272" s="364">
        <v>7.0178963398033395E-2</v>
      </c>
      <c r="EI272" s="364">
        <v>7.0844317095358184E-2</v>
      </c>
      <c r="EJ272" s="365">
        <v>7.0378546793058938E-2</v>
      </c>
      <c r="EK272" s="365">
        <v>6.9915838726142834E-2</v>
      </c>
      <c r="EL272" s="365">
        <v>6.9692574822791717E-2</v>
      </c>
      <c r="EM272" s="365">
        <v>6.947002387334987E-2</v>
      </c>
      <c r="EN272" s="365">
        <v>6.9248183601124683E-2</v>
      </c>
      <c r="EO272" s="365">
        <v>6.9027051736693781E-2</v>
      </c>
      <c r="EP272" s="365">
        <v>6.8806626017881775E-2</v>
      </c>
      <c r="EQ272" s="365">
        <v>6.9315586417127928E-2</v>
      </c>
      <c r="ER272" s="365">
        <v>6.9828311580074798E-2</v>
      </c>
      <c r="ES272" s="365">
        <v>7.0344829354558366E-2</v>
      </c>
      <c r="ET272" s="365">
        <v>7.0865167794404202E-2</v>
      </c>
      <c r="EU272" s="365">
        <v>7.1389355160951004E-2</v>
      </c>
      <c r="EV272" s="436">
        <v>7.1677112579196373E-2</v>
      </c>
      <c r="EW272" s="436">
        <v>7.1964869997441741E-2</v>
      </c>
      <c r="EX272" s="436">
        <v>7.2252627415687096E-2</v>
      </c>
      <c r="EY272" s="436">
        <v>7.2540384833932464E-2</v>
      </c>
      <c r="EZ272" s="365">
        <v>7.2828142252177833E-2</v>
      </c>
      <c r="FA272" s="436">
        <v>7.3064018283685361E-2</v>
      </c>
      <c r="FB272" s="436">
        <v>7.329989431519289E-2</v>
      </c>
      <c r="FC272" s="436">
        <v>7.3535770346700419E-2</v>
      </c>
      <c r="FD272" s="436">
        <v>7.3771646378207947E-2</v>
      </c>
      <c r="FE272" s="365">
        <v>7.4007522409715476E-2</v>
      </c>
      <c r="FF272" s="364">
        <v>0</v>
      </c>
      <c r="FG272" s="364">
        <v>0</v>
      </c>
      <c r="FH272" s="364">
        <v>0</v>
      </c>
      <c r="FI272" s="365">
        <v>0</v>
      </c>
      <c r="FJ272" s="365">
        <v>0</v>
      </c>
      <c r="FK272" s="365">
        <v>0</v>
      </c>
      <c r="FL272" s="365">
        <v>0</v>
      </c>
      <c r="FM272" s="365">
        <v>0</v>
      </c>
      <c r="FN272" s="365">
        <v>0</v>
      </c>
      <c r="FO272" s="365">
        <v>0</v>
      </c>
      <c r="FP272" s="365">
        <v>0</v>
      </c>
      <c r="FQ272" s="365">
        <v>0</v>
      </c>
      <c r="FR272" s="365">
        <v>0</v>
      </c>
      <c r="FS272" s="365">
        <v>0</v>
      </c>
      <c r="FT272" s="365">
        <v>0</v>
      </c>
      <c r="FU272" s="436">
        <v>0</v>
      </c>
      <c r="FV272" s="436">
        <v>0</v>
      </c>
      <c r="FW272" s="436">
        <v>0</v>
      </c>
      <c r="FX272" s="436">
        <v>0</v>
      </c>
      <c r="FY272" s="365">
        <v>0</v>
      </c>
      <c r="FZ272" s="436">
        <v>0</v>
      </c>
      <c r="GA272" s="436">
        <v>0</v>
      </c>
      <c r="GB272" s="436">
        <v>0</v>
      </c>
      <c r="GC272" s="436">
        <v>0</v>
      </c>
      <c r="GD272" s="365">
        <v>0</v>
      </c>
    </row>
    <row r="273" spans="1:186" ht="15" x14ac:dyDescent="0.25">
      <c r="A273" s="357">
        <v>109</v>
      </c>
      <c r="B273" s="357">
        <v>97</v>
      </c>
      <c r="C273" s="357" t="s">
        <v>1183</v>
      </c>
      <c r="D273" s="2">
        <v>99712</v>
      </c>
      <c r="E273" s="268" t="s">
        <v>1527</v>
      </c>
      <c r="F273" s="358" t="s">
        <v>985</v>
      </c>
      <c r="G273" s="49">
        <v>31</v>
      </c>
      <c r="H273" s="49">
        <v>20</v>
      </c>
      <c r="I273" s="49">
        <v>11</v>
      </c>
      <c r="J273" s="49">
        <v>9</v>
      </c>
      <c r="K273" s="49">
        <v>0</v>
      </c>
      <c r="L273" s="49">
        <v>7</v>
      </c>
      <c r="M273" s="49">
        <v>7</v>
      </c>
      <c r="N273" s="49">
        <v>0</v>
      </c>
      <c r="O273" s="49">
        <v>0</v>
      </c>
      <c r="P273" s="49">
        <v>0</v>
      </c>
      <c r="Q273" s="49">
        <v>7</v>
      </c>
      <c r="R273" s="49">
        <v>0</v>
      </c>
      <c r="S273" s="49">
        <v>1187.5714285714287</v>
      </c>
      <c r="T273" s="49">
        <v>1187.5714285714287</v>
      </c>
      <c r="U273" s="49">
        <v>0</v>
      </c>
      <c r="V273" s="49">
        <v>0</v>
      </c>
      <c r="W273" s="49">
        <v>0</v>
      </c>
      <c r="X273" s="49">
        <v>1187.5714285714287</v>
      </c>
      <c r="Y273" s="434">
        <v>8313</v>
      </c>
      <c r="Z273" s="434">
        <v>0</v>
      </c>
      <c r="AA273" s="49">
        <v>0</v>
      </c>
      <c r="AB273" s="49">
        <v>20</v>
      </c>
      <c r="AC273" s="49">
        <v>0</v>
      </c>
      <c r="AD273" s="285">
        <v>0</v>
      </c>
      <c r="AE273" s="285">
        <v>0</v>
      </c>
      <c r="AF273" s="359">
        <v>20</v>
      </c>
      <c r="AG273" s="360">
        <v>0</v>
      </c>
      <c r="AH273" s="360">
        <v>11</v>
      </c>
      <c r="AI273" s="361">
        <v>11</v>
      </c>
      <c r="AJ273" s="360">
        <v>0</v>
      </c>
      <c r="AK273" s="360">
        <v>0</v>
      </c>
      <c r="AL273" s="360">
        <v>18.182284902914763</v>
      </c>
      <c r="AM273" s="360">
        <v>18.182284902914763</v>
      </c>
      <c r="AN273" s="360">
        <v>0</v>
      </c>
      <c r="AO273" s="360">
        <v>0</v>
      </c>
      <c r="AP273" s="360">
        <v>10.036995214267002</v>
      </c>
      <c r="AQ273" s="360">
        <v>10.036995214267002</v>
      </c>
      <c r="AR273" s="360">
        <v>0</v>
      </c>
      <c r="AS273" s="360">
        <v>0</v>
      </c>
      <c r="AT273" s="360">
        <v>0</v>
      </c>
      <c r="AU273" s="360">
        <v>16.529774214538108</v>
      </c>
      <c r="AV273" s="360">
        <v>17.336350946770374</v>
      </c>
      <c r="AW273" s="360">
        <v>18.182284902914763</v>
      </c>
      <c r="AX273" s="360">
        <v>19.069496533949064</v>
      </c>
      <c r="AY273" s="360">
        <v>20</v>
      </c>
      <c r="AZ273" s="360">
        <v>9.1582975392016994</v>
      </c>
      <c r="BA273" s="360">
        <v>9.5875851272257666</v>
      </c>
      <c r="BB273" s="360">
        <v>10.036995214267002</v>
      </c>
      <c r="BC273" s="360">
        <v>10.507471025748156</v>
      </c>
      <c r="BD273" s="360">
        <v>11</v>
      </c>
      <c r="BE273" s="360">
        <v>0</v>
      </c>
      <c r="BF273" s="360">
        <v>0</v>
      </c>
      <c r="BG273" s="360">
        <v>0</v>
      </c>
      <c r="BH273" s="360">
        <v>0</v>
      </c>
      <c r="BI273" s="360">
        <v>0</v>
      </c>
      <c r="BJ273" s="362">
        <v>20.189616279611059</v>
      </c>
      <c r="BK273" s="362">
        <v>20.381030275896794</v>
      </c>
      <c r="BL273" s="362">
        <v>20.57425903267459</v>
      </c>
      <c r="BM273" s="363">
        <v>20.438992306391761</v>
      </c>
      <c r="BN273" s="363">
        <v>20.304614899486616</v>
      </c>
      <c r="BO273" s="363">
        <v>20.23977569193227</v>
      </c>
      <c r="BP273" s="363">
        <v>20.175143536954742</v>
      </c>
      <c r="BQ273" s="363">
        <v>20.110717773368137</v>
      </c>
      <c r="BR273" s="363">
        <v>20.046497742097937</v>
      </c>
      <c r="BS273" s="363">
        <v>19.98248278617427</v>
      </c>
      <c r="BT273" s="363">
        <v>20.130292568536476</v>
      </c>
      <c r="BU273" s="363">
        <v>20.279195695103986</v>
      </c>
      <c r="BV273" s="363">
        <v>20.429200253308725</v>
      </c>
      <c r="BW273" s="363">
        <v>20.580314390405086</v>
      </c>
      <c r="BX273" s="363">
        <v>20.732546313912415</v>
      </c>
      <c r="BY273" s="435">
        <v>20.816115411679068</v>
      </c>
      <c r="BZ273" s="435">
        <v>20.899684509445724</v>
      </c>
      <c r="CA273" s="435">
        <v>20.983253607212376</v>
      </c>
      <c r="CB273" s="435">
        <v>21.066822704979032</v>
      </c>
      <c r="CC273" s="363">
        <v>21.150391802745684</v>
      </c>
      <c r="CD273" s="435">
        <v>21.218893762688399</v>
      </c>
      <c r="CE273" s="435">
        <v>21.287395722631114</v>
      </c>
      <c r="CF273" s="435">
        <v>21.355897682573829</v>
      </c>
      <c r="CG273" s="435">
        <v>21.424399642516544</v>
      </c>
      <c r="CH273" s="363">
        <v>21.492901602459259</v>
      </c>
      <c r="CI273" s="362">
        <v>11.104288953786082</v>
      </c>
      <c r="CJ273" s="362">
        <v>11.209566651743238</v>
      </c>
      <c r="CK273" s="362">
        <v>11.315842467971024</v>
      </c>
      <c r="CL273" s="363">
        <v>11.241445768515469</v>
      </c>
      <c r="CM273" s="363">
        <v>11.167538194717638</v>
      </c>
      <c r="CN273" s="363">
        <v>11.131876630562747</v>
      </c>
      <c r="CO273" s="363">
        <v>11.096328945325107</v>
      </c>
      <c r="CP273" s="363">
        <v>11.060894775352473</v>
      </c>
      <c r="CQ273" s="363">
        <v>11.025573758153865</v>
      </c>
      <c r="CR273" s="363">
        <v>10.990365532395847</v>
      </c>
      <c r="CS273" s="363">
        <v>11.07166091269506</v>
      </c>
      <c r="CT273" s="363">
        <v>11.153557632307193</v>
      </c>
      <c r="CU273" s="363">
        <v>11.236060139319799</v>
      </c>
      <c r="CV273" s="363">
        <v>11.319172914722795</v>
      </c>
      <c r="CW273" s="363">
        <v>11.402900472651828</v>
      </c>
      <c r="CX273" s="435">
        <v>11.448863476423487</v>
      </c>
      <c r="CY273" s="435">
        <v>11.494826480195147</v>
      </c>
      <c r="CZ273" s="435">
        <v>11.540789483966806</v>
      </c>
      <c r="DA273" s="435">
        <v>11.586752487738467</v>
      </c>
      <c r="DB273" s="363">
        <v>11.632715491510126</v>
      </c>
      <c r="DC273" s="435">
        <v>11.670391569478619</v>
      </c>
      <c r="DD273" s="435">
        <v>11.708067647447113</v>
      </c>
      <c r="DE273" s="435">
        <v>11.745743725415606</v>
      </c>
      <c r="DF273" s="435">
        <v>11.783419803384099</v>
      </c>
      <c r="DG273" s="363">
        <v>11.821095881352592</v>
      </c>
      <c r="DH273" s="362">
        <v>0</v>
      </c>
      <c r="DI273" s="362">
        <v>0</v>
      </c>
      <c r="DJ273" s="362">
        <v>0</v>
      </c>
      <c r="DK273" s="363">
        <v>0</v>
      </c>
      <c r="DL273" s="363">
        <v>0</v>
      </c>
      <c r="DM273" s="363">
        <v>0</v>
      </c>
      <c r="DN273" s="363">
        <v>0</v>
      </c>
      <c r="DO273" s="363">
        <v>0</v>
      </c>
      <c r="DP273" s="363">
        <v>0</v>
      </c>
      <c r="DQ273" s="363">
        <v>0</v>
      </c>
      <c r="DR273" s="363">
        <v>0</v>
      </c>
      <c r="DS273" s="363">
        <v>0</v>
      </c>
      <c r="DT273" s="363">
        <v>0</v>
      </c>
      <c r="DU273" s="363">
        <v>0</v>
      </c>
      <c r="DV273" s="363">
        <v>0</v>
      </c>
      <c r="DW273" s="435">
        <v>0</v>
      </c>
      <c r="DX273" s="435">
        <v>0</v>
      </c>
      <c r="DY273" s="435">
        <v>0</v>
      </c>
      <c r="DZ273" s="435">
        <v>0</v>
      </c>
      <c r="EA273" s="363">
        <v>0</v>
      </c>
      <c r="EB273" s="435">
        <v>0</v>
      </c>
      <c r="EC273" s="435">
        <v>0</v>
      </c>
      <c r="ED273" s="435">
        <v>0</v>
      </c>
      <c r="EE273" s="435">
        <v>0</v>
      </c>
      <c r="EF273" s="363">
        <v>0</v>
      </c>
      <c r="EG273" s="364">
        <v>0</v>
      </c>
      <c r="EH273" s="364">
        <v>0</v>
      </c>
      <c r="EI273" s="364">
        <v>0</v>
      </c>
      <c r="EJ273" s="365">
        <v>0</v>
      </c>
      <c r="EK273" s="365">
        <v>0</v>
      </c>
      <c r="EL273" s="365">
        <v>0</v>
      </c>
      <c r="EM273" s="365">
        <v>0</v>
      </c>
      <c r="EN273" s="365">
        <v>0</v>
      </c>
      <c r="EO273" s="365">
        <v>0</v>
      </c>
      <c r="EP273" s="365">
        <v>0</v>
      </c>
      <c r="EQ273" s="365">
        <v>0</v>
      </c>
      <c r="ER273" s="365">
        <v>0</v>
      </c>
      <c r="ES273" s="365">
        <v>0</v>
      </c>
      <c r="ET273" s="365">
        <v>0</v>
      </c>
      <c r="EU273" s="365">
        <v>0</v>
      </c>
      <c r="EV273" s="436">
        <v>0</v>
      </c>
      <c r="EW273" s="436">
        <v>0</v>
      </c>
      <c r="EX273" s="436">
        <v>0</v>
      </c>
      <c r="EY273" s="436">
        <v>0</v>
      </c>
      <c r="EZ273" s="365">
        <v>0</v>
      </c>
      <c r="FA273" s="436">
        <v>0</v>
      </c>
      <c r="FB273" s="436">
        <v>0</v>
      </c>
      <c r="FC273" s="436">
        <v>0</v>
      </c>
      <c r="FD273" s="436">
        <v>0</v>
      </c>
      <c r="FE273" s="365">
        <v>0</v>
      </c>
      <c r="FF273" s="364">
        <v>0</v>
      </c>
      <c r="FG273" s="364">
        <v>0</v>
      </c>
      <c r="FH273" s="364">
        <v>0</v>
      </c>
      <c r="FI273" s="365">
        <v>0</v>
      </c>
      <c r="FJ273" s="365">
        <v>0</v>
      </c>
      <c r="FK273" s="365">
        <v>0</v>
      </c>
      <c r="FL273" s="365">
        <v>0</v>
      </c>
      <c r="FM273" s="365">
        <v>0</v>
      </c>
      <c r="FN273" s="365">
        <v>0</v>
      </c>
      <c r="FO273" s="365">
        <v>0</v>
      </c>
      <c r="FP273" s="365">
        <v>0</v>
      </c>
      <c r="FQ273" s="365">
        <v>0</v>
      </c>
      <c r="FR273" s="365">
        <v>0</v>
      </c>
      <c r="FS273" s="365">
        <v>0</v>
      </c>
      <c r="FT273" s="365">
        <v>0</v>
      </c>
      <c r="FU273" s="436">
        <v>0</v>
      </c>
      <c r="FV273" s="436">
        <v>0</v>
      </c>
      <c r="FW273" s="436">
        <v>0</v>
      </c>
      <c r="FX273" s="436">
        <v>0</v>
      </c>
      <c r="FY273" s="365">
        <v>0</v>
      </c>
      <c r="FZ273" s="436">
        <v>0</v>
      </c>
      <c r="GA273" s="436">
        <v>0</v>
      </c>
      <c r="GB273" s="436">
        <v>0</v>
      </c>
      <c r="GC273" s="436">
        <v>0</v>
      </c>
      <c r="GD273" s="365">
        <v>0</v>
      </c>
    </row>
    <row r="274" spans="1:186" ht="15" x14ac:dyDescent="0.25">
      <c r="A274" s="357">
        <v>110</v>
      </c>
      <c r="B274" s="357">
        <v>97</v>
      </c>
      <c r="C274" s="357" t="s">
        <v>1184</v>
      </c>
      <c r="D274" s="2">
        <v>99712</v>
      </c>
      <c r="E274" s="268" t="s">
        <v>1527</v>
      </c>
      <c r="F274" s="358" t="s">
        <v>985</v>
      </c>
      <c r="G274" s="49">
        <v>92</v>
      </c>
      <c r="H274" s="49">
        <v>44</v>
      </c>
      <c r="I274" s="49">
        <v>37</v>
      </c>
      <c r="J274" s="49">
        <v>7</v>
      </c>
      <c r="K274" s="49">
        <v>0</v>
      </c>
      <c r="L274" s="49">
        <v>4</v>
      </c>
      <c r="M274" s="49">
        <v>4</v>
      </c>
      <c r="N274" s="49">
        <v>0</v>
      </c>
      <c r="O274" s="49">
        <v>0</v>
      </c>
      <c r="P274" s="49">
        <v>0</v>
      </c>
      <c r="Q274" s="49">
        <v>4</v>
      </c>
      <c r="R274" s="49">
        <v>0</v>
      </c>
      <c r="S274" s="49">
        <v>1371</v>
      </c>
      <c r="T274" s="49">
        <v>1371</v>
      </c>
      <c r="U274" s="49">
        <v>0</v>
      </c>
      <c r="V274" s="49">
        <v>0</v>
      </c>
      <c r="W274" s="49">
        <v>0</v>
      </c>
      <c r="X274" s="49">
        <v>1371</v>
      </c>
      <c r="Y274" s="434">
        <v>5484</v>
      </c>
      <c r="Z274" s="434">
        <v>0</v>
      </c>
      <c r="AA274" s="49">
        <v>0</v>
      </c>
      <c r="AB274" s="49">
        <v>44</v>
      </c>
      <c r="AC274" s="49">
        <v>0</v>
      </c>
      <c r="AD274" s="285">
        <v>0</v>
      </c>
      <c r="AE274" s="285">
        <v>0</v>
      </c>
      <c r="AF274" s="359">
        <v>44</v>
      </c>
      <c r="AG274" s="360">
        <v>0</v>
      </c>
      <c r="AH274" s="360">
        <v>37</v>
      </c>
      <c r="AI274" s="361">
        <v>37</v>
      </c>
      <c r="AJ274" s="360">
        <v>0</v>
      </c>
      <c r="AK274" s="360">
        <v>0</v>
      </c>
      <c r="AL274" s="360">
        <v>40.001026786412481</v>
      </c>
      <c r="AM274" s="360">
        <v>40.001026786412481</v>
      </c>
      <c r="AN274" s="360">
        <v>0</v>
      </c>
      <c r="AO274" s="360">
        <v>0</v>
      </c>
      <c r="AP274" s="360">
        <v>33.76080208435264</v>
      </c>
      <c r="AQ274" s="360">
        <v>33.76080208435264</v>
      </c>
      <c r="AR274" s="360">
        <v>0</v>
      </c>
      <c r="AS274" s="360">
        <v>0</v>
      </c>
      <c r="AT274" s="360">
        <v>0</v>
      </c>
      <c r="AU274" s="360">
        <v>36.36550327198384</v>
      </c>
      <c r="AV274" s="360">
        <v>38.139972082894822</v>
      </c>
      <c r="AW274" s="360">
        <v>40.001026786412481</v>
      </c>
      <c r="AX274" s="360">
        <v>41.952892374687934</v>
      </c>
      <c r="AY274" s="360">
        <v>44</v>
      </c>
      <c r="AZ274" s="360">
        <v>30.805182631860262</v>
      </c>
      <c r="BA274" s="360">
        <v>32.24914997339576</v>
      </c>
      <c r="BB274" s="360">
        <v>33.76080208435264</v>
      </c>
      <c r="BC274" s="360">
        <v>35.343311632061983</v>
      </c>
      <c r="BD274" s="360">
        <v>37</v>
      </c>
      <c r="BE274" s="360">
        <v>0</v>
      </c>
      <c r="BF274" s="360">
        <v>0</v>
      </c>
      <c r="BG274" s="360">
        <v>0</v>
      </c>
      <c r="BH274" s="360">
        <v>0</v>
      </c>
      <c r="BI274" s="360">
        <v>0</v>
      </c>
      <c r="BJ274" s="362">
        <v>44.417155815144326</v>
      </c>
      <c r="BK274" s="362">
        <v>44.838266606972951</v>
      </c>
      <c r="BL274" s="362">
        <v>45.263369871884095</v>
      </c>
      <c r="BM274" s="363">
        <v>44.965783074061875</v>
      </c>
      <c r="BN274" s="363">
        <v>44.670152778870552</v>
      </c>
      <c r="BO274" s="363">
        <v>44.527506522250988</v>
      </c>
      <c r="BP274" s="363">
        <v>44.385315781300427</v>
      </c>
      <c r="BQ274" s="363">
        <v>44.243579101409892</v>
      </c>
      <c r="BR274" s="363">
        <v>44.102295032615459</v>
      </c>
      <c r="BS274" s="363">
        <v>43.961462129583389</v>
      </c>
      <c r="BT274" s="363">
        <v>44.286643650780242</v>
      </c>
      <c r="BU274" s="363">
        <v>44.61423052922877</v>
      </c>
      <c r="BV274" s="363">
        <v>44.944240557279194</v>
      </c>
      <c r="BW274" s="363">
        <v>45.276691658891181</v>
      </c>
      <c r="BX274" s="363">
        <v>45.611601890607311</v>
      </c>
      <c r="BY274" s="435">
        <v>45.795453905693947</v>
      </c>
      <c r="BZ274" s="435">
        <v>45.97930592078059</v>
      </c>
      <c r="CA274" s="435">
        <v>46.163157935867225</v>
      </c>
      <c r="CB274" s="435">
        <v>46.347009950953868</v>
      </c>
      <c r="CC274" s="363">
        <v>46.530861966040504</v>
      </c>
      <c r="CD274" s="435">
        <v>46.681566277914477</v>
      </c>
      <c r="CE274" s="435">
        <v>46.83227058978845</v>
      </c>
      <c r="CF274" s="435">
        <v>46.982974901662423</v>
      </c>
      <c r="CG274" s="435">
        <v>47.133679213536396</v>
      </c>
      <c r="CH274" s="363">
        <v>47.284383525410369</v>
      </c>
      <c r="CI274" s="362">
        <v>37.350790117280454</v>
      </c>
      <c r="CJ274" s="362">
        <v>37.704906010409069</v>
      </c>
      <c r="CK274" s="362">
        <v>38.062379210447986</v>
      </c>
      <c r="CL274" s="363">
        <v>37.812135766824753</v>
      </c>
      <c r="CM274" s="363">
        <v>37.563537564050236</v>
      </c>
      <c r="CN274" s="363">
        <v>37.443585030074694</v>
      </c>
      <c r="CO274" s="363">
        <v>37.324015543366265</v>
      </c>
      <c r="CP274" s="363">
        <v>37.204827880731045</v>
      </c>
      <c r="CQ274" s="363">
        <v>37.086020822881181</v>
      </c>
      <c r="CR274" s="363">
        <v>36.967593154422396</v>
      </c>
      <c r="CS274" s="363">
        <v>37.241041251792474</v>
      </c>
      <c r="CT274" s="363">
        <v>37.51651203594237</v>
      </c>
      <c r="CU274" s="363">
        <v>37.794020468621142</v>
      </c>
      <c r="CV274" s="363">
        <v>38.073581622249399</v>
      </c>
      <c r="CW274" s="363">
        <v>38.355210680737962</v>
      </c>
      <c r="CX274" s="435">
        <v>38.509813511606275</v>
      </c>
      <c r="CY274" s="435">
        <v>38.664416342474581</v>
      </c>
      <c r="CZ274" s="435">
        <v>38.819019173342895</v>
      </c>
      <c r="DA274" s="435">
        <v>38.973622004211201</v>
      </c>
      <c r="DB274" s="363">
        <v>39.128224835079514</v>
      </c>
      <c r="DC274" s="435">
        <v>39.254953460973539</v>
      </c>
      <c r="DD274" s="435">
        <v>39.381682086867556</v>
      </c>
      <c r="DE274" s="435">
        <v>39.508410712761581</v>
      </c>
      <c r="DF274" s="435">
        <v>39.635139338655598</v>
      </c>
      <c r="DG274" s="363">
        <v>39.761867964549623</v>
      </c>
      <c r="DH274" s="362">
        <v>0</v>
      </c>
      <c r="DI274" s="362">
        <v>0</v>
      </c>
      <c r="DJ274" s="362">
        <v>0</v>
      </c>
      <c r="DK274" s="363">
        <v>0</v>
      </c>
      <c r="DL274" s="363">
        <v>0</v>
      </c>
      <c r="DM274" s="363">
        <v>0</v>
      </c>
      <c r="DN274" s="363">
        <v>0</v>
      </c>
      <c r="DO274" s="363">
        <v>0</v>
      </c>
      <c r="DP274" s="363">
        <v>0</v>
      </c>
      <c r="DQ274" s="363">
        <v>0</v>
      </c>
      <c r="DR274" s="363">
        <v>0</v>
      </c>
      <c r="DS274" s="363">
        <v>0</v>
      </c>
      <c r="DT274" s="363">
        <v>0</v>
      </c>
      <c r="DU274" s="363">
        <v>0</v>
      </c>
      <c r="DV274" s="363">
        <v>0</v>
      </c>
      <c r="DW274" s="435">
        <v>0</v>
      </c>
      <c r="DX274" s="435">
        <v>0</v>
      </c>
      <c r="DY274" s="435">
        <v>0</v>
      </c>
      <c r="DZ274" s="435">
        <v>0</v>
      </c>
      <c r="EA274" s="363">
        <v>0</v>
      </c>
      <c r="EB274" s="435">
        <v>0</v>
      </c>
      <c r="EC274" s="435">
        <v>0</v>
      </c>
      <c r="ED274" s="435">
        <v>0</v>
      </c>
      <c r="EE274" s="435">
        <v>0</v>
      </c>
      <c r="EF274" s="363">
        <v>0</v>
      </c>
      <c r="EG274" s="364">
        <v>0</v>
      </c>
      <c r="EH274" s="364">
        <v>0</v>
      </c>
      <c r="EI274" s="364">
        <v>0</v>
      </c>
      <c r="EJ274" s="365">
        <v>0</v>
      </c>
      <c r="EK274" s="365">
        <v>0</v>
      </c>
      <c r="EL274" s="365">
        <v>0</v>
      </c>
      <c r="EM274" s="365">
        <v>0</v>
      </c>
      <c r="EN274" s="365">
        <v>0</v>
      </c>
      <c r="EO274" s="365">
        <v>0</v>
      </c>
      <c r="EP274" s="365">
        <v>0</v>
      </c>
      <c r="EQ274" s="365">
        <v>0</v>
      </c>
      <c r="ER274" s="365">
        <v>0</v>
      </c>
      <c r="ES274" s="365">
        <v>0</v>
      </c>
      <c r="ET274" s="365">
        <v>0</v>
      </c>
      <c r="EU274" s="365">
        <v>0</v>
      </c>
      <c r="EV274" s="436">
        <v>0</v>
      </c>
      <c r="EW274" s="436">
        <v>0</v>
      </c>
      <c r="EX274" s="436">
        <v>0</v>
      </c>
      <c r="EY274" s="436">
        <v>0</v>
      </c>
      <c r="EZ274" s="365">
        <v>0</v>
      </c>
      <c r="FA274" s="436">
        <v>0</v>
      </c>
      <c r="FB274" s="436">
        <v>0</v>
      </c>
      <c r="FC274" s="436">
        <v>0</v>
      </c>
      <c r="FD274" s="436">
        <v>0</v>
      </c>
      <c r="FE274" s="365">
        <v>0</v>
      </c>
      <c r="FF274" s="364">
        <v>0</v>
      </c>
      <c r="FG274" s="364">
        <v>0</v>
      </c>
      <c r="FH274" s="364">
        <v>0</v>
      </c>
      <c r="FI274" s="365">
        <v>0</v>
      </c>
      <c r="FJ274" s="365">
        <v>0</v>
      </c>
      <c r="FK274" s="365">
        <v>0</v>
      </c>
      <c r="FL274" s="365">
        <v>0</v>
      </c>
      <c r="FM274" s="365">
        <v>0</v>
      </c>
      <c r="FN274" s="365">
        <v>0</v>
      </c>
      <c r="FO274" s="365">
        <v>0</v>
      </c>
      <c r="FP274" s="365">
        <v>0</v>
      </c>
      <c r="FQ274" s="365">
        <v>0</v>
      </c>
      <c r="FR274" s="365">
        <v>0</v>
      </c>
      <c r="FS274" s="365">
        <v>0</v>
      </c>
      <c r="FT274" s="365">
        <v>0</v>
      </c>
      <c r="FU274" s="436">
        <v>0</v>
      </c>
      <c r="FV274" s="436">
        <v>0</v>
      </c>
      <c r="FW274" s="436">
        <v>0</v>
      </c>
      <c r="FX274" s="436">
        <v>0</v>
      </c>
      <c r="FY274" s="365">
        <v>0</v>
      </c>
      <c r="FZ274" s="436">
        <v>0</v>
      </c>
      <c r="GA274" s="436">
        <v>0</v>
      </c>
      <c r="GB274" s="436">
        <v>0</v>
      </c>
      <c r="GC274" s="436">
        <v>0</v>
      </c>
      <c r="GD274" s="365">
        <v>0</v>
      </c>
    </row>
    <row r="275" spans="1:186" ht="15" x14ac:dyDescent="0.25">
      <c r="A275" s="357">
        <v>111</v>
      </c>
      <c r="B275" s="357">
        <v>97</v>
      </c>
      <c r="C275" s="357" t="s">
        <v>1185</v>
      </c>
      <c r="D275" s="2">
        <v>99712</v>
      </c>
      <c r="E275" s="268" t="s">
        <v>1527</v>
      </c>
      <c r="F275" s="358" t="s">
        <v>985</v>
      </c>
      <c r="G275" s="49">
        <v>50</v>
      </c>
      <c r="H275" s="49">
        <v>25</v>
      </c>
      <c r="I275" s="49">
        <v>25</v>
      </c>
      <c r="J275" s="49">
        <v>0</v>
      </c>
      <c r="K275" s="49">
        <v>0</v>
      </c>
      <c r="L275" s="49">
        <v>16</v>
      </c>
      <c r="M275" s="49">
        <v>16</v>
      </c>
      <c r="N275" s="49">
        <v>5</v>
      </c>
      <c r="O275" s="49">
        <v>0</v>
      </c>
      <c r="P275" s="49">
        <v>0</v>
      </c>
      <c r="Q275" s="49">
        <v>21</v>
      </c>
      <c r="R275" s="49">
        <v>0</v>
      </c>
      <c r="S275" s="49">
        <v>2734.8125</v>
      </c>
      <c r="T275" s="49">
        <v>2734.8125</v>
      </c>
      <c r="U275" s="49">
        <v>3248.8</v>
      </c>
      <c r="V275" s="49">
        <v>0</v>
      </c>
      <c r="W275" s="49">
        <v>0</v>
      </c>
      <c r="X275" s="49">
        <v>2857.1904761904761</v>
      </c>
      <c r="Y275" s="434">
        <v>43757</v>
      </c>
      <c r="Z275" s="434">
        <v>16244</v>
      </c>
      <c r="AA275" s="49">
        <v>0</v>
      </c>
      <c r="AB275" s="49">
        <v>25</v>
      </c>
      <c r="AC275" s="49">
        <v>0</v>
      </c>
      <c r="AD275" s="285">
        <v>5</v>
      </c>
      <c r="AE275" s="285">
        <v>0</v>
      </c>
      <c r="AF275" s="359">
        <v>30</v>
      </c>
      <c r="AG275" s="360">
        <v>0</v>
      </c>
      <c r="AH275" s="360">
        <v>25</v>
      </c>
      <c r="AI275" s="361">
        <v>25</v>
      </c>
      <c r="AJ275" s="360">
        <v>0</v>
      </c>
      <c r="AK275" s="360">
        <v>0</v>
      </c>
      <c r="AL275" s="360">
        <v>22.727856128643456</v>
      </c>
      <c r="AM275" s="360">
        <v>22.727856128643456</v>
      </c>
      <c r="AN275" s="360">
        <v>0</v>
      </c>
      <c r="AO275" s="360">
        <v>0</v>
      </c>
      <c r="AP275" s="360">
        <v>22.81135275969773</v>
      </c>
      <c r="AQ275" s="360">
        <v>22.81135275969773</v>
      </c>
      <c r="AR275" s="360">
        <v>0</v>
      </c>
      <c r="AS275" s="360">
        <v>4.6492067540691933</v>
      </c>
      <c r="AT275" s="360">
        <v>0</v>
      </c>
      <c r="AU275" s="360">
        <v>20.662217768172635</v>
      </c>
      <c r="AV275" s="360">
        <v>21.670438683462969</v>
      </c>
      <c r="AW275" s="360">
        <v>22.727856128643456</v>
      </c>
      <c r="AX275" s="360">
        <v>23.83687066743633</v>
      </c>
      <c r="AY275" s="360">
        <v>25</v>
      </c>
      <c r="AZ275" s="360">
        <v>20.814312589094772</v>
      </c>
      <c r="BA275" s="360">
        <v>21.789966198240379</v>
      </c>
      <c r="BB275" s="360">
        <v>22.81135275969773</v>
      </c>
      <c r="BC275" s="360">
        <v>23.880615967609447</v>
      </c>
      <c r="BD275" s="360">
        <v>25</v>
      </c>
      <c r="BE275" s="360">
        <v>4.3230246884165213</v>
      </c>
      <c r="BF275" s="360">
        <v>4.483150184791266</v>
      </c>
      <c r="BG275" s="360">
        <v>4.6492067540691933</v>
      </c>
      <c r="BH275" s="360">
        <v>4.8214140840987687</v>
      </c>
      <c r="BI275" s="360">
        <v>5</v>
      </c>
      <c r="BJ275" s="362">
        <v>25.499628449191182</v>
      </c>
      <c r="BK275" s="362">
        <v>26.00924204187201</v>
      </c>
      <c r="BL275" s="362">
        <v>26.529040332512754</v>
      </c>
      <c r="BM275" s="363">
        <v>26.35462353181509</v>
      </c>
      <c r="BN275" s="363">
        <v>26.181353445057482</v>
      </c>
      <c r="BO275" s="363">
        <v>26.097747909149444</v>
      </c>
      <c r="BP275" s="363">
        <v>26.014409352778934</v>
      </c>
      <c r="BQ275" s="363">
        <v>25.931336923393864</v>
      </c>
      <c r="BR275" s="363">
        <v>25.848529771164635</v>
      </c>
      <c r="BS275" s="363">
        <v>25.765987048975418</v>
      </c>
      <c r="BT275" s="363">
        <v>25.956577226322725</v>
      </c>
      <c r="BU275" s="363">
        <v>26.148577193080861</v>
      </c>
      <c r="BV275" s="363">
        <v>26.341997377416753</v>
      </c>
      <c r="BW275" s="363">
        <v>26.536848284634139</v>
      </c>
      <c r="BX275" s="363">
        <v>26.733140497744131</v>
      </c>
      <c r="BY275" s="435">
        <v>26.840896891871491</v>
      </c>
      <c r="BZ275" s="435">
        <v>26.948653285998851</v>
      </c>
      <c r="CA275" s="435">
        <v>27.056409680126208</v>
      </c>
      <c r="CB275" s="435">
        <v>27.164166074253568</v>
      </c>
      <c r="CC275" s="363">
        <v>27.271922468380929</v>
      </c>
      <c r="CD275" s="435">
        <v>27.360250862384831</v>
      </c>
      <c r="CE275" s="435">
        <v>27.448579256388737</v>
      </c>
      <c r="CF275" s="435">
        <v>27.536907650392639</v>
      </c>
      <c r="CG275" s="435">
        <v>27.625236044396544</v>
      </c>
      <c r="CH275" s="363">
        <v>27.713564438400446</v>
      </c>
      <c r="CI275" s="362">
        <v>25.499628449191182</v>
      </c>
      <c r="CJ275" s="362">
        <v>26.00924204187201</v>
      </c>
      <c r="CK275" s="362">
        <v>26.529040332512754</v>
      </c>
      <c r="CL275" s="363">
        <v>26.35462353181509</v>
      </c>
      <c r="CM275" s="363">
        <v>26.181353445057482</v>
      </c>
      <c r="CN275" s="363">
        <v>26.097747909149444</v>
      </c>
      <c r="CO275" s="363">
        <v>26.014409352778934</v>
      </c>
      <c r="CP275" s="363">
        <v>25.931336923393864</v>
      </c>
      <c r="CQ275" s="363">
        <v>25.848529771164635</v>
      </c>
      <c r="CR275" s="363">
        <v>25.765987048975418</v>
      </c>
      <c r="CS275" s="363">
        <v>25.956577226322725</v>
      </c>
      <c r="CT275" s="363">
        <v>26.148577193080861</v>
      </c>
      <c r="CU275" s="363">
        <v>26.341997377416753</v>
      </c>
      <c r="CV275" s="363">
        <v>26.536848284634139</v>
      </c>
      <c r="CW275" s="363">
        <v>26.733140497744131</v>
      </c>
      <c r="CX275" s="435">
        <v>26.840896891871491</v>
      </c>
      <c r="CY275" s="435">
        <v>26.948653285998851</v>
      </c>
      <c r="CZ275" s="435">
        <v>27.056409680126208</v>
      </c>
      <c r="DA275" s="435">
        <v>27.164166074253568</v>
      </c>
      <c r="DB275" s="363">
        <v>27.271922468380929</v>
      </c>
      <c r="DC275" s="435">
        <v>27.360250862384831</v>
      </c>
      <c r="DD275" s="435">
        <v>27.448579256388737</v>
      </c>
      <c r="DE275" s="435">
        <v>27.536907650392639</v>
      </c>
      <c r="DF275" s="435">
        <v>27.625236044396544</v>
      </c>
      <c r="DG275" s="363">
        <v>27.713564438400446</v>
      </c>
      <c r="DH275" s="362">
        <v>5.0999256898382361</v>
      </c>
      <c r="DI275" s="362">
        <v>5.2018484083744019</v>
      </c>
      <c r="DJ275" s="362">
        <v>5.3058080665025509</v>
      </c>
      <c r="DK275" s="363">
        <v>5.2709247063630178</v>
      </c>
      <c r="DL275" s="363">
        <v>5.2362706890114961</v>
      </c>
      <c r="DM275" s="363">
        <v>5.2195495818298889</v>
      </c>
      <c r="DN275" s="363">
        <v>5.2028818705557871</v>
      </c>
      <c r="DO275" s="363">
        <v>5.1862673846787732</v>
      </c>
      <c r="DP275" s="363">
        <v>5.1697059542329269</v>
      </c>
      <c r="DQ275" s="363">
        <v>5.1531974097950846</v>
      </c>
      <c r="DR275" s="363">
        <v>5.1913154452645456</v>
      </c>
      <c r="DS275" s="363">
        <v>5.2297154386161724</v>
      </c>
      <c r="DT275" s="363">
        <v>5.268399475483351</v>
      </c>
      <c r="DU275" s="363">
        <v>5.307369656926828</v>
      </c>
      <c r="DV275" s="363">
        <v>5.3466280995488269</v>
      </c>
      <c r="DW275" s="435">
        <v>5.3681793783742986</v>
      </c>
      <c r="DX275" s="435">
        <v>5.3897306571997703</v>
      </c>
      <c r="DY275" s="435">
        <v>5.411281936025242</v>
      </c>
      <c r="DZ275" s="435">
        <v>5.4328332148507137</v>
      </c>
      <c r="EA275" s="363">
        <v>5.4543844936761854</v>
      </c>
      <c r="EB275" s="435">
        <v>5.4720501724769663</v>
      </c>
      <c r="EC275" s="435">
        <v>5.4897158512777473</v>
      </c>
      <c r="ED275" s="435">
        <v>5.5073815300785274</v>
      </c>
      <c r="EE275" s="435">
        <v>5.5250472088793083</v>
      </c>
      <c r="EF275" s="363">
        <v>5.5427128876800893</v>
      </c>
      <c r="EG275" s="364">
        <v>0</v>
      </c>
      <c r="EH275" s="364">
        <v>0</v>
      </c>
      <c r="EI275" s="364">
        <v>0</v>
      </c>
      <c r="EJ275" s="365">
        <v>0</v>
      </c>
      <c r="EK275" s="365">
        <v>0</v>
      </c>
      <c r="EL275" s="365">
        <v>0</v>
      </c>
      <c r="EM275" s="365">
        <v>0</v>
      </c>
      <c r="EN275" s="365">
        <v>0</v>
      </c>
      <c r="EO275" s="365">
        <v>0</v>
      </c>
      <c r="EP275" s="365">
        <v>0</v>
      </c>
      <c r="EQ275" s="365">
        <v>0</v>
      </c>
      <c r="ER275" s="365">
        <v>0</v>
      </c>
      <c r="ES275" s="365">
        <v>0</v>
      </c>
      <c r="ET275" s="365">
        <v>0</v>
      </c>
      <c r="EU275" s="365">
        <v>0</v>
      </c>
      <c r="EV275" s="436">
        <v>0</v>
      </c>
      <c r="EW275" s="436">
        <v>0</v>
      </c>
      <c r="EX275" s="436">
        <v>0</v>
      </c>
      <c r="EY275" s="436">
        <v>0</v>
      </c>
      <c r="EZ275" s="365">
        <v>0</v>
      </c>
      <c r="FA275" s="436">
        <v>0</v>
      </c>
      <c r="FB275" s="436">
        <v>0</v>
      </c>
      <c r="FC275" s="436">
        <v>0</v>
      </c>
      <c r="FD275" s="436">
        <v>0</v>
      </c>
      <c r="FE275" s="365">
        <v>0</v>
      </c>
      <c r="FF275" s="364">
        <v>0</v>
      </c>
      <c r="FG275" s="364">
        <v>0</v>
      </c>
      <c r="FH275" s="364">
        <v>0</v>
      </c>
      <c r="FI275" s="365">
        <v>0</v>
      </c>
      <c r="FJ275" s="365">
        <v>0</v>
      </c>
      <c r="FK275" s="365">
        <v>0</v>
      </c>
      <c r="FL275" s="365">
        <v>0</v>
      </c>
      <c r="FM275" s="365">
        <v>0</v>
      </c>
      <c r="FN275" s="365">
        <v>0</v>
      </c>
      <c r="FO275" s="365">
        <v>0</v>
      </c>
      <c r="FP275" s="365">
        <v>0</v>
      </c>
      <c r="FQ275" s="365">
        <v>0</v>
      </c>
      <c r="FR275" s="365">
        <v>0</v>
      </c>
      <c r="FS275" s="365">
        <v>0</v>
      </c>
      <c r="FT275" s="365">
        <v>0</v>
      </c>
      <c r="FU275" s="436">
        <v>0</v>
      </c>
      <c r="FV275" s="436">
        <v>0</v>
      </c>
      <c r="FW275" s="436">
        <v>0</v>
      </c>
      <c r="FX275" s="436">
        <v>0</v>
      </c>
      <c r="FY275" s="365">
        <v>0</v>
      </c>
      <c r="FZ275" s="436">
        <v>0</v>
      </c>
      <c r="GA275" s="436">
        <v>0</v>
      </c>
      <c r="GB275" s="436">
        <v>0</v>
      </c>
      <c r="GC275" s="436">
        <v>0</v>
      </c>
      <c r="GD275" s="365">
        <v>0</v>
      </c>
    </row>
    <row r="276" spans="1:186" ht="15" x14ac:dyDescent="0.25">
      <c r="A276" s="357">
        <v>112</v>
      </c>
      <c r="B276" s="357">
        <v>97</v>
      </c>
      <c r="C276" s="357" t="s">
        <v>1186</v>
      </c>
      <c r="D276" s="2">
        <v>99712</v>
      </c>
      <c r="E276" s="268" t="s">
        <v>1527</v>
      </c>
      <c r="F276" s="358" t="s">
        <v>985</v>
      </c>
      <c r="G276" s="49">
        <v>464</v>
      </c>
      <c r="H276" s="49">
        <v>161</v>
      </c>
      <c r="I276" s="49">
        <v>156</v>
      </c>
      <c r="J276" s="49">
        <v>5</v>
      </c>
      <c r="K276" s="49">
        <v>2</v>
      </c>
      <c r="L276" s="49">
        <v>118</v>
      </c>
      <c r="M276" s="49">
        <v>120</v>
      </c>
      <c r="N276" s="49">
        <v>2</v>
      </c>
      <c r="O276" s="49">
        <v>0</v>
      </c>
      <c r="P276" s="49">
        <v>0</v>
      </c>
      <c r="Q276" s="49">
        <v>122</v>
      </c>
      <c r="R276" s="49">
        <v>3845</v>
      </c>
      <c r="S276" s="49">
        <v>3305.0169491525426</v>
      </c>
      <c r="T276" s="49">
        <v>3314.0166666666669</v>
      </c>
      <c r="U276" s="49">
        <v>5506</v>
      </c>
      <c r="V276" s="49">
        <v>0</v>
      </c>
      <c r="W276" s="49">
        <v>0</v>
      </c>
      <c r="X276" s="49">
        <v>3349.9508196721313</v>
      </c>
      <c r="Y276" s="434">
        <v>397682</v>
      </c>
      <c r="Z276" s="434">
        <v>11012</v>
      </c>
      <c r="AA276" s="49">
        <v>2.6833333333333331</v>
      </c>
      <c r="AB276" s="49">
        <v>158.31666666666666</v>
      </c>
      <c r="AC276" s="49">
        <v>0</v>
      </c>
      <c r="AD276" s="285">
        <v>2</v>
      </c>
      <c r="AE276" s="285">
        <v>0</v>
      </c>
      <c r="AF276" s="359">
        <v>163</v>
      </c>
      <c r="AG276" s="360">
        <v>2.5999999999999996</v>
      </c>
      <c r="AH276" s="360">
        <v>153.39999999999998</v>
      </c>
      <c r="AI276" s="361">
        <v>155.99999999999997</v>
      </c>
      <c r="AJ276" s="360">
        <v>0</v>
      </c>
      <c r="AK276" s="360">
        <v>2.4394565578077305</v>
      </c>
      <c r="AL276" s="360">
        <v>143.92793691065611</v>
      </c>
      <c r="AM276" s="360">
        <v>146.36739346846383</v>
      </c>
      <c r="AN276" s="360">
        <v>0</v>
      </c>
      <c r="AO276" s="360">
        <v>2.3723806870085635</v>
      </c>
      <c r="AP276" s="360">
        <v>139.97046053350525</v>
      </c>
      <c r="AQ276" s="360">
        <v>142.3428412205138</v>
      </c>
      <c r="AR276" s="360">
        <v>0</v>
      </c>
      <c r="AS276" s="360">
        <v>1.8596827016276773</v>
      </c>
      <c r="AT276" s="360">
        <v>0</v>
      </c>
      <c r="AU276" s="360">
        <v>133.06468242703178</v>
      </c>
      <c r="AV276" s="360">
        <v>139.55762512150153</v>
      </c>
      <c r="AW276" s="360">
        <v>146.36739346846386</v>
      </c>
      <c r="AX276" s="360">
        <v>153.50944709828997</v>
      </c>
      <c r="AY276" s="360">
        <v>161</v>
      </c>
      <c r="AZ276" s="360">
        <v>129.88131055595136</v>
      </c>
      <c r="BA276" s="360">
        <v>135.96938907701994</v>
      </c>
      <c r="BB276" s="360">
        <v>142.3428412205138</v>
      </c>
      <c r="BC276" s="360">
        <v>149.01504363788291</v>
      </c>
      <c r="BD276" s="360">
        <v>155.99999999999997</v>
      </c>
      <c r="BE276" s="360">
        <v>1.7292098753666085</v>
      </c>
      <c r="BF276" s="360">
        <v>1.7932600739165065</v>
      </c>
      <c r="BG276" s="360">
        <v>1.8596827016276773</v>
      </c>
      <c r="BH276" s="360">
        <v>1.9285656336395076</v>
      </c>
      <c r="BI276" s="360">
        <v>2</v>
      </c>
      <c r="BJ276" s="362">
        <v>162.52455687178593</v>
      </c>
      <c r="BK276" s="362">
        <v>164.06355022590296</v>
      </c>
      <c r="BL276" s="362">
        <v>165.61711676569487</v>
      </c>
      <c r="BM276" s="363">
        <v>164.52825688667232</v>
      </c>
      <c r="BN276" s="363">
        <v>163.44655578362233</v>
      </c>
      <c r="BO276" s="363">
        <v>162.92461802676462</v>
      </c>
      <c r="BP276" s="363">
        <v>162.40434698610494</v>
      </c>
      <c r="BQ276" s="363">
        <v>161.88573733927893</v>
      </c>
      <c r="BR276" s="363">
        <v>161.36878378091836</v>
      </c>
      <c r="BS276" s="363">
        <v>160.85348102259675</v>
      </c>
      <c r="BT276" s="363">
        <v>162.04330904730062</v>
      </c>
      <c r="BU276" s="363">
        <v>163.24193819162821</v>
      </c>
      <c r="BV276" s="363">
        <v>164.44943355717825</v>
      </c>
      <c r="BW276" s="363">
        <v>165.66586072710396</v>
      </c>
      <c r="BX276" s="363">
        <v>166.89128576967485</v>
      </c>
      <c r="BY276" s="435">
        <v>167.56399398243931</v>
      </c>
      <c r="BZ276" s="435">
        <v>168.23670219520378</v>
      </c>
      <c r="CA276" s="435">
        <v>168.90941040796827</v>
      </c>
      <c r="CB276" s="435">
        <v>169.58211862073273</v>
      </c>
      <c r="CC276" s="363">
        <v>170.25482683349719</v>
      </c>
      <c r="CD276" s="435">
        <v>170.80624873795043</v>
      </c>
      <c r="CE276" s="435">
        <v>171.35767064240366</v>
      </c>
      <c r="CF276" s="435">
        <v>171.9090925468569</v>
      </c>
      <c r="CG276" s="435">
        <v>172.46051445131013</v>
      </c>
      <c r="CH276" s="363">
        <v>173.01193635576337</v>
      </c>
      <c r="CI276" s="362">
        <v>157.47721038508448</v>
      </c>
      <c r="CJ276" s="362">
        <v>158.96840891453948</v>
      </c>
      <c r="CK276" s="362">
        <v>160.47372804626332</v>
      </c>
      <c r="CL276" s="363">
        <v>159.41868369143401</v>
      </c>
      <c r="CM276" s="363">
        <v>158.37057579034209</v>
      </c>
      <c r="CN276" s="363">
        <v>157.86484728059176</v>
      </c>
      <c r="CO276" s="363">
        <v>157.36073372566685</v>
      </c>
      <c r="CP276" s="363">
        <v>156.85822996849384</v>
      </c>
      <c r="CQ276" s="363">
        <v>156.35733086846744</v>
      </c>
      <c r="CR276" s="363">
        <v>155.85803130139806</v>
      </c>
      <c r="CS276" s="363">
        <v>157.01090814521052</v>
      </c>
      <c r="CT276" s="363">
        <v>158.1723127819503</v>
      </c>
      <c r="CU276" s="363">
        <v>159.34230829142734</v>
      </c>
      <c r="CV276" s="363">
        <v>160.52095822005103</v>
      </c>
      <c r="CW276" s="363">
        <v>161.7083265842812</v>
      </c>
      <c r="CX276" s="435">
        <v>162.36014323764303</v>
      </c>
      <c r="CY276" s="435">
        <v>163.01195989100486</v>
      </c>
      <c r="CZ276" s="435">
        <v>163.66377654436673</v>
      </c>
      <c r="DA276" s="435">
        <v>164.31559319772856</v>
      </c>
      <c r="DB276" s="363">
        <v>164.96740985109039</v>
      </c>
      <c r="DC276" s="435">
        <v>165.50170685167862</v>
      </c>
      <c r="DD276" s="435">
        <v>166.03600385226684</v>
      </c>
      <c r="DE276" s="435">
        <v>166.5703008528551</v>
      </c>
      <c r="DF276" s="435">
        <v>167.10459785344332</v>
      </c>
      <c r="DG276" s="363">
        <v>167.63889485403155</v>
      </c>
      <c r="DH276" s="362">
        <v>2.0189385946805705</v>
      </c>
      <c r="DI276" s="362">
        <v>2.0380565245453783</v>
      </c>
      <c r="DJ276" s="362">
        <v>2.057355487772607</v>
      </c>
      <c r="DK276" s="363">
        <v>2.0438292780953082</v>
      </c>
      <c r="DL276" s="363">
        <v>2.0303919973120785</v>
      </c>
      <c r="DM276" s="363">
        <v>2.0239082984691255</v>
      </c>
      <c r="DN276" s="363">
        <v>2.0174453041752165</v>
      </c>
      <c r="DO276" s="363">
        <v>2.0110029483140237</v>
      </c>
      <c r="DP276" s="363">
        <v>2.0045811649803524</v>
      </c>
      <c r="DQ276" s="363">
        <v>1.9981798884794626</v>
      </c>
      <c r="DR276" s="363">
        <v>2.0129603608360327</v>
      </c>
      <c r="DS276" s="363">
        <v>2.0278501638711579</v>
      </c>
      <c r="DT276" s="363">
        <v>2.0428501063003508</v>
      </c>
      <c r="DU276" s="363">
        <v>2.0579610028211675</v>
      </c>
      <c r="DV276" s="363">
        <v>2.0731836741574514</v>
      </c>
      <c r="DW276" s="435">
        <v>2.0815402979185009</v>
      </c>
      <c r="DX276" s="435">
        <v>2.08989692167955</v>
      </c>
      <c r="DY276" s="435">
        <v>2.0982535454405995</v>
      </c>
      <c r="DZ276" s="435">
        <v>2.1066101692016486</v>
      </c>
      <c r="EA276" s="363">
        <v>2.1149667929626981</v>
      </c>
      <c r="EB276" s="435">
        <v>2.1218167545087008</v>
      </c>
      <c r="EC276" s="435">
        <v>2.1286667160547039</v>
      </c>
      <c r="ED276" s="435">
        <v>2.1355166776007066</v>
      </c>
      <c r="EE276" s="435">
        <v>2.1423666391467098</v>
      </c>
      <c r="EF276" s="363">
        <v>2.1492166006927125</v>
      </c>
      <c r="EG276" s="364">
        <v>0</v>
      </c>
      <c r="EH276" s="364">
        <v>0</v>
      </c>
      <c r="EI276" s="364">
        <v>0</v>
      </c>
      <c r="EJ276" s="365">
        <v>0</v>
      </c>
      <c r="EK276" s="365">
        <v>0</v>
      </c>
      <c r="EL276" s="365">
        <v>0</v>
      </c>
      <c r="EM276" s="365">
        <v>0</v>
      </c>
      <c r="EN276" s="365">
        <v>0</v>
      </c>
      <c r="EO276" s="365">
        <v>0</v>
      </c>
      <c r="EP276" s="365">
        <v>0</v>
      </c>
      <c r="EQ276" s="365">
        <v>0</v>
      </c>
      <c r="ER276" s="365">
        <v>0</v>
      </c>
      <c r="ES276" s="365">
        <v>0</v>
      </c>
      <c r="ET276" s="365">
        <v>0</v>
      </c>
      <c r="EU276" s="365">
        <v>0</v>
      </c>
      <c r="EV276" s="436">
        <v>0</v>
      </c>
      <c r="EW276" s="436">
        <v>0</v>
      </c>
      <c r="EX276" s="436">
        <v>0</v>
      </c>
      <c r="EY276" s="436">
        <v>0</v>
      </c>
      <c r="EZ276" s="365">
        <v>0</v>
      </c>
      <c r="FA276" s="436">
        <v>0</v>
      </c>
      <c r="FB276" s="436">
        <v>0</v>
      </c>
      <c r="FC276" s="436">
        <v>0</v>
      </c>
      <c r="FD276" s="436">
        <v>0</v>
      </c>
      <c r="FE276" s="365">
        <v>0</v>
      </c>
      <c r="FF276" s="364">
        <v>0</v>
      </c>
      <c r="FG276" s="364">
        <v>0</v>
      </c>
      <c r="FH276" s="364">
        <v>0</v>
      </c>
      <c r="FI276" s="365">
        <v>0</v>
      </c>
      <c r="FJ276" s="365">
        <v>0</v>
      </c>
      <c r="FK276" s="365">
        <v>0</v>
      </c>
      <c r="FL276" s="365">
        <v>0</v>
      </c>
      <c r="FM276" s="365">
        <v>0</v>
      </c>
      <c r="FN276" s="365">
        <v>0</v>
      </c>
      <c r="FO276" s="365">
        <v>0</v>
      </c>
      <c r="FP276" s="365">
        <v>0</v>
      </c>
      <c r="FQ276" s="365">
        <v>0</v>
      </c>
      <c r="FR276" s="365">
        <v>0</v>
      </c>
      <c r="FS276" s="365">
        <v>0</v>
      </c>
      <c r="FT276" s="365">
        <v>0</v>
      </c>
      <c r="FU276" s="436">
        <v>0</v>
      </c>
      <c r="FV276" s="436">
        <v>0</v>
      </c>
      <c r="FW276" s="436">
        <v>0</v>
      </c>
      <c r="FX276" s="436">
        <v>0</v>
      </c>
      <c r="FY276" s="365">
        <v>0</v>
      </c>
      <c r="FZ276" s="436">
        <v>0</v>
      </c>
      <c r="GA276" s="436">
        <v>0</v>
      </c>
      <c r="GB276" s="436">
        <v>0</v>
      </c>
      <c r="GC276" s="436">
        <v>0</v>
      </c>
      <c r="GD276" s="365">
        <v>0</v>
      </c>
    </row>
    <row r="277" spans="1:186" ht="15" x14ac:dyDescent="0.25">
      <c r="A277" s="357">
        <v>113</v>
      </c>
      <c r="B277" s="357">
        <v>97</v>
      </c>
      <c r="C277" s="357" t="s">
        <v>1187</v>
      </c>
      <c r="D277" s="2">
        <v>99712</v>
      </c>
      <c r="E277" s="268" t="s">
        <v>1527</v>
      </c>
      <c r="F277" s="358" t="s">
        <v>985</v>
      </c>
      <c r="G277" s="49">
        <v>225</v>
      </c>
      <c r="H277" s="49">
        <v>94</v>
      </c>
      <c r="I277" s="49">
        <v>87</v>
      </c>
      <c r="J277" s="49">
        <v>7</v>
      </c>
      <c r="K277" s="49">
        <v>0</v>
      </c>
      <c r="L277" s="49">
        <v>49</v>
      </c>
      <c r="M277" s="49">
        <v>49</v>
      </c>
      <c r="N277" s="49">
        <v>0</v>
      </c>
      <c r="O277" s="49">
        <v>0</v>
      </c>
      <c r="P277" s="49">
        <v>0</v>
      </c>
      <c r="Q277" s="49">
        <v>49</v>
      </c>
      <c r="R277" s="49">
        <v>0</v>
      </c>
      <c r="S277" s="49">
        <v>2875.0204081632655</v>
      </c>
      <c r="T277" s="49">
        <v>2875.0204081632655</v>
      </c>
      <c r="U277" s="49">
        <v>0</v>
      </c>
      <c r="V277" s="49">
        <v>0</v>
      </c>
      <c r="W277" s="49">
        <v>0</v>
      </c>
      <c r="X277" s="49">
        <v>2875.0204081632655</v>
      </c>
      <c r="Y277" s="434">
        <v>140876</v>
      </c>
      <c r="Z277" s="434">
        <v>0</v>
      </c>
      <c r="AA277" s="49">
        <v>0</v>
      </c>
      <c r="AB277" s="49">
        <v>94</v>
      </c>
      <c r="AC277" s="49">
        <v>0</v>
      </c>
      <c r="AD277" s="285">
        <v>0</v>
      </c>
      <c r="AE277" s="285">
        <v>0</v>
      </c>
      <c r="AF277" s="359">
        <v>94</v>
      </c>
      <c r="AG277" s="360">
        <v>0</v>
      </c>
      <c r="AH277" s="360">
        <v>87</v>
      </c>
      <c r="AI277" s="361">
        <v>87</v>
      </c>
      <c r="AJ277" s="360">
        <v>0</v>
      </c>
      <c r="AK277" s="360">
        <v>0</v>
      </c>
      <c r="AL277" s="360">
        <v>85.456739043699386</v>
      </c>
      <c r="AM277" s="360">
        <v>85.456739043699386</v>
      </c>
      <c r="AN277" s="360">
        <v>0</v>
      </c>
      <c r="AO277" s="360">
        <v>0</v>
      </c>
      <c r="AP277" s="360">
        <v>79.3835076037481</v>
      </c>
      <c r="AQ277" s="360">
        <v>79.3835076037481</v>
      </c>
      <c r="AR277" s="360">
        <v>0</v>
      </c>
      <c r="AS277" s="360">
        <v>0</v>
      </c>
      <c r="AT277" s="360">
        <v>0</v>
      </c>
      <c r="AU277" s="360">
        <v>77.689938808329103</v>
      </c>
      <c r="AV277" s="360">
        <v>81.480849449820766</v>
      </c>
      <c r="AW277" s="360">
        <v>85.456739043699386</v>
      </c>
      <c r="AX277" s="360">
        <v>89.626633709560593</v>
      </c>
      <c r="AY277" s="360">
        <v>94</v>
      </c>
      <c r="AZ277" s="360">
        <v>72.4338078100498</v>
      </c>
      <c r="BA277" s="360">
        <v>75.829082369876517</v>
      </c>
      <c r="BB277" s="360">
        <v>79.3835076037481</v>
      </c>
      <c r="BC277" s="360">
        <v>83.104543567280871</v>
      </c>
      <c r="BD277" s="360">
        <v>87</v>
      </c>
      <c r="BE277" s="360">
        <v>0</v>
      </c>
      <c r="BF277" s="360">
        <v>0</v>
      </c>
      <c r="BG277" s="360">
        <v>0</v>
      </c>
      <c r="BH277" s="360">
        <v>0</v>
      </c>
      <c r="BI277" s="360">
        <v>0</v>
      </c>
      <c r="BJ277" s="362">
        <v>94.890113949986812</v>
      </c>
      <c r="BK277" s="362">
        <v>95.788656653632785</v>
      </c>
      <c r="BL277" s="362">
        <v>96.695707925312533</v>
      </c>
      <c r="BM277" s="363">
        <v>96.059976070479493</v>
      </c>
      <c r="BN277" s="363">
        <v>95.428423873667697</v>
      </c>
      <c r="BO277" s="363">
        <v>95.123690028048898</v>
      </c>
      <c r="BP277" s="363">
        <v>94.819929296235173</v>
      </c>
      <c r="BQ277" s="363">
        <v>94.51713857075913</v>
      </c>
      <c r="BR277" s="363">
        <v>94.215314754076559</v>
      </c>
      <c r="BS277" s="363">
        <v>93.914454758534745</v>
      </c>
      <c r="BT277" s="363">
        <v>94.609136959293537</v>
      </c>
      <c r="BU277" s="363">
        <v>95.308957701944422</v>
      </c>
      <c r="BV277" s="363">
        <v>96.013954996116496</v>
      </c>
      <c r="BW277" s="363">
        <v>96.724167132594857</v>
      </c>
      <c r="BX277" s="363">
        <v>97.439632685400227</v>
      </c>
      <c r="BY277" s="435">
        <v>97.832394002169536</v>
      </c>
      <c r="BZ277" s="435">
        <v>98.22515531893886</v>
      </c>
      <c r="CA277" s="435">
        <v>98.61791663570817</v>
      </c>
      <c r="CB277" s="435">
        <v>99.010677952477494</v>
      </c>
      <c r="CC277" s="363">
        <v>99.403439269246803</v>
      </c>
      <c r="CD277" s="435">
        <v>99.725387461908937</v>
      </c>
      <c r="CE277" s="435">
        <v>100.04733565457107</v>
      </c>
      <c r="CF277" s="435">
        <v>100.36928384723322</v>
      </c>
      <c r="CG277" s="435">
        <v>100.69123203989535</v>
      </c>
      <c r="CH277" s="363">
        <v>101.01318023255749</v>
      </c>
      <c r="CI277" s="362">
        <v>87.823828868604821</v>
      </c>
      <c r="CJ277" s="362">
        <v>88.655458817723954</v>
      </c>
      <c r="CK277" s="362">
        <v>89.494963718108409</v>
      </c>
      <c r="CL277" s="363">
        <v>88.906573597145922</v>
      </c>
      <c r="CM277" s="363">
        <v>88.322051883075417</v>
      </c>
      <c r="CN277" s="363">
        <v>88.040010983406972</v>
      </c>
      <c r="CO277" s="363">
        <v>87.758870731621911</v>
      </c>
      <c r="CP277" s="363">
        <v>87.478628251660041</v>
      </c>
      <c r="CQ277" s="363">
        <v>87.19928067664533</v>
      </c>
      <c r="CR277" s="363">
        <v>86.920825148856622</v>
      </c>
      <c r="CS277" s="363">
        <v>87.563775696367415</v>
      </c>
      <c r="CT277" s="363">
        <v>88.211482128395375</v>
      </c>
      <c r="CU277" s="363">
        <v>88.863979624065266</v>
      </c>
      <c r="CV277" s="363">
        <v>89.521303622720779</v>
      </c>
      <c r="CW277" s="363">
        <v>90.183489825849151</v>
      </c>
      <c r="CX277" s="435">
        <v>90.547002959454787</v>
      </c>
      <c r="CY277" s="435">
        <v>90.910516093060437</v>
      </c>
      <c r="CZ277" s="435">
        <v>91.274029226666073</v>
      </c>
      <c r="DA277" s="435">
        <v>91.637542360271723</v>
      </c>
      <c r="DB277" s="363">
        <v>92.001055493877359</v>
      </c>
      <c r="DC277" s="435">
        <v>92.299028821128488</v>
      </c>
      <c r="DD277" s="435">
        <v>92.597002148379616</v>
      </c>
      <c r="DE277" s="435">
        <v>92.894975475630744</v>
      </c>
      <c r="DF277" s="435">
        <v>93.192948802881872</v>
      </c>
      <c r="DG277" s="363">
        <v>93.490922130133001</v>
      </c>
      <c r="DH277" s="362">
        <v>0</v>
      </c>
      <c r="DI277" s="362">
        <v>0</v>
      </c>
      <c r="DJ277" s="362">
        <v>0</v>
      </c>
      <c r="DK277" s="363">
        <v>0</v>
      </c>
      <c r="DL277" s="363">
        <v>0</v>
      </c>
      <c r="DM277" s="363">
        <v>0</v>
      </c>
      <c r="DN277" s="363">
        <v>0</v>
      </c>
      <c r="DO277" s="363">
        <v>0</v>
      </c>
      <c r="DP277" s="363">
        <v>0</v>
      </c>
      <c r="DQ277" s="363">
        <v>0</v>
      </c>
      <c r="DR277" s="363">
        <v>0</v>
      </c>
      <c r="DS277" s="363">
        <v>0</v>
      </c>
      <c r="DT277" s="363">
        <v>0</v>
      </c>
      <c r="DU277" s="363">
        <v>0</v>
      </c>
      <c r="DV277" s="363">
        <v>0</v>
      </c>
      <c r="DW277" s="435">
        <v>0</v>
      </c>
      <c r="DX277" s="435">
        <v>0</v>
      </c>
      <c r="DY277" s="435">
        <v>0</v>
      </c>
      <c r="DZ277" s="435">
        <v>0</v>
      </c>
      <c r="EA277" s="363">
        <v>0</v>
      </c>
      <c r="EB277" s="435">
        <v>0</v>
      </c>
      <c r="EC277" s="435">
        <v>0</v>
      </c>
      <c r="ED277" s="435">
        <v>0</v>
      </c>
      <c r="EE277" s="435">
        <v>0</v>
      </c>
      <c r="EF277" s="363">
        <v>0</v>
      </c>
      <c r="EG277" s="364">
        <v>0</v>
      </c>
      <c r="EH277" s="364">
        <v>0</v>
      </c>
      <c r="EI277" s="364">
        <v>0</v>
      </c>
      <c r="EJ277" s="365">
        <v>0</v>
      </c>
      <c r="EK277" s="365">
        <v>0</v>
      </c>
      <c r="EL277" s="365">
        <v>0</v>
      </c>
      <c r="EM277" s="365">
        <v>0</v>
      </c>
      <c r="EN277" s="365">
        <v>0</v>
      </c>
      <c r="EO277" s="365">
        <v>0</v>
      </c>
      <c r="EP277" s="365">
        <v>0</v>
      </c>
      <c r="EQ277" s="365">
        <v>0</v>
      </c>
      <c r="ER277" s="365">
        <v>0</v>
      </c>
      <c r="ES277" s="365">
        <v>0</v>
      </c>
      <c r="ET277" s="365">
        <v>0</v>
      </c>
      <c r="EU277" s="365">
        <v>0</v>
      </c>
      <c r="EV277" s="436">
        <v>0</v>
      </c>
      <c r="EW277" s="436">
        <v>0</v>
      </c>
      <c r="EX277" s="436">
        <v>0</v>
      </c>
      <c r="EY277" s="436">
        <v>0</v>
      </c>
      <c r="EZ277" s="365">
        <v>0</v>
      </c>
      <c r="FA277" s="436">
        <v>0</v>
      </c>
      <c r="FB277" s="436">
        <v>0</v>
      </c>
      <c r="FC277" s="436">
        <v>0</v>
      </c>
      <c r="FD277" s="436">
        <v>0</v>
      </c>
      <c r="FE277" s="365">
        <v>0</v>
      </c>
      <c r="FF277" s="364">
        <v>0</v>
      </c>
      <c r="FG277" s="364">
        <v>0</v>
      </c>
      <c r="FH277" s="364">
        <v>0</v>
      </c>
      <c r="FI277" s="365">
        <v>0</v>
      </c>
      <c r="FJ277" s="365">
        <v>0</v>
      </c>
      <c r="FK277" s="365">
        <v>0</v>
      </c>
      <c r="FL277" s="365">
        <v>0</v>
      </c>
      <c r="FM277" s="365">
        <v>0</v>
      </c>
      <c r="FN277" s="365">
        <v>0</v>
      </c>
      <c r="FO277" s="365">
        <v>0</v>
      </c>
      <c r="FP277" s="365">
        <v>0</v>
      </c>
      <c r="FQ277" s="365">
        <v>0</v>
      </c>
      <c r="FR277" s="365">
        <v>0</v>
      </c>
      <c r="FS277" s="365">
        <v>0</v>
      </c>
      <c r="FT277" s="365">
        <v>0</v>
      </c>
      <c r="FU277" s="436">
        <v>0</v>
      </c>
      <c r="FV277" s="436">
        <v>0</v>
      </c>
      <c r="FW277" s="436">
        <v>0</v>
      </c>
      <c r="FX277" s="436">
        <v>0</v>
      </c>
      <c r="FY277" s="365">
        <v>0</v>
      </c>
      <c r="FZ277" s="436">
        <v>0</v>
      </c>
      <c r="GA277" s="436">
        <v>0</v>
      </c>
      <c r="GB277" s="436">
        <v>0</v>
      </c>
      <c r="GC277" s="436">
        <v>0</v>
      </c>
      <c r="GD277" s="365">
        <v>0</v>
      </c>
    </row>
    <row r="278" spans="1:186" ht="15" x14ac:dyDescent="0.25">
      <c r="A278" s="357">
        <v>114</v>
      </c>
      <c r="B278" s="357">
        <v>97</v>
      </c>
      <c r="C278" s="357" t="s">
        <v>1188</v>
      </c>
      <c r="D278" s="2">
        <v>99712</v>
      </c>
      <c r="E278" s="268" t="s">
        <v>1527</v>
      </c>
      <c r="F278" s="358" t="s">
        <v>985</v>
      </c>
      <c r="G278" s="49">
        <v>201</v>
      </c>
      <c r="H278" s="49">
        <v>83</v>
      </c>
      <c r="I278" s="49">
        <v>74</v>
      </c>
      <c r="J278" s="49">
        <v>9</v>
      </c>
      <c r="K278" s="49">
        <v>0</v>
      </c>
      <c r="L278" s="49">
        <v>41</v>
      </c>
      <c r="M278" s="49">
        <v>41</v>
      </c>
      <c r="N278" s="49">
        <v>0</v>
      </c>
      <c r="O278" s="49">
        <v>0</v>
      </c>
      <c r="P278" s="49">
        <v>0</v>
      </c>
      <c r="Q278" s="49">
        <v>41</v>
      </c>
      <c r="R278" s="49">
        <v>0</v>
      </c>
      <c r="S278" s="49">
        <v>2094.1707317073169</v>
      </c>
      <c r="T278" s="49">
        <v>2094.1707317073169</v>
      </c>
      <c r="U278" s="49">
        <v>0</v>
      </c>
      <c r="V278" s="49">
        <v>0</v>
      </c>
      <c r="W278" s="49">
        <v>0</v>
      </c>
      <c r="X278" s="49">
        <v>2094.1707317073169</v>
      </c>
      <c r="Y278" s="434">
        <v>85861</v>
      </c>
      <c r="Z278" s="434">
        <v>0</v>
      </c>
      <c r="AA278" s="49">
        <v>0</v>
      </c>
      <c r="AB278" s="49">
        <v>83</v>
      </c>
      <c r="AC278" s="49">
        <v>0</v>
      </c>
      <c r="AD278" s="285">
        <v>0</v>
      </c>
      <c r="AE278" s="285">
        <v>0</v>
      </c>
      <c r="AF278" s="359">
        <v>83</v>
      </c>
      <c r="AG278" s="360">
        <v>0</v>
      </c>
      <c r="AH278" s="360">
        <v>74</v>
      </c>
      <c r="AI278" s="361">
        <v>74</v>
      </c>
      <c r="AJ278" s="360">
        <v>0</v>
      </c>
      <c r="AK278" s="360">
        <v>0</v>
      </c>
      <c r="AL278" s="360">
        <v>75.456482347096269</v>
      </c>
      <c r="AM278" s="360">
        <v>75.456482347096269</v>
      </c>
      <c r="AN278" s="360">
        <v>0</v>
      </c>
      <c r="AO278" s="360">
        <v>0</v>
      </c>
      <c r="AP278" s="360">
        <v>67.521604168705281</v>
      </c>
      <c r="AQ278" s="360">
        <v>67.521604168705281</v>
      </c>
      <c r="AR278" s="360">
        <v>0</v>
      </c>
      <c r="AS278" s="360">
        <v>0</v>
      </c>
      <c r="AT278" s="360">
        <v>0</v>
      </c>
      <c r="AU278" s="360">
        <v>68.59856299033315</v>
      </c>
      <c r="AV278" s="360">
        <v>71.945856429097063</v>
      </c>
      <c r="AW278" s="360">
        <v>75.456482347096269</v>
      </c>
      <c r="AX278" s="360">
        <v>79.138410615888603</v>
      </c>
      <c r="AY278" s="360">
        <v>83</v>
      </c>
      <c r="AZ278" s="360">
        <v>61.610365263720524</v>
      </c>
      <c r="BA278" s="360">
        <v>64.498299946791519</v>
      </c>
      <c r="BB278" s="360">
        <v>67.521604168705281</v>
      </c>
      <c r="BC278" s="360">
        <v>70.686623264123966</v>
      </c>
      <c r="BD278" s="360">
        <v>74</v>
      </c>
      <c r="BE278" s="360">
        <v>0</v>
      </c>
      <c r="BF278" s="360">
        <v>0</v>
      </c>
      <c r="BG278" s="360">
        <v>0</v>
      </c>
      <c r="BH278" s="360">
        <v>0</v>
      </c>
      <c r="BI278" s="360">
        <v>0</v>
      </c>
      <c r="BJ278" s="362">
        <v>83.785951679243681</v>
      </c>
      <c r="BK278" s="362">
        <v>84.579345768633203</v>
      </c>
      <c r="BL278" s="362">
        <v>85.380252742563187</v>
      </c>
      <c r="BM278" s="363">
        <v>84.818915040955289</v>
      </c>
      <c r="BN278" s="363">
        <v>84.261267888451258</v>
      </c>
      <c r="BO278" s="363">
        <v>83.992194386468711</v>
      </c>
      <c r="BP278" s="363">
        <v>83.723980123271474</v>
      </c>
      <c r="BQ278" s="363">
        <v>83.456622355031982</v>
      </c>
      <c r="BR278" s="363">
        <v>83.190118346684613</v>
      </c>
      <c r="BS278" s="363">
        <v>82.924465371897696</v>
      </c>
      <c r="BT278" s="363">
        <v>83.53785497469535</v>
      </c>
      <c r="BU278" s="363">
        <v>84.155781800653045</v>
      </c>
      <c r="BV278" s="363">
        <v>84.778279411464567</v>
      </c>
      <c r="BW278" s="363">
        <v>85.405381617078433</v>
      </c>
      <c r="BX278" s="363">
        <v>86.03712247753424</v>
      </c>
      <c r="BY278" s="435">
        <v>86.383922363617785</v>
      </c>
      <c r="BZ278" s="435">
        <v>86.73072224970133</v>
      </c>
      <c r="CA278" s="435">
        <v>87.077522135784875</v>
      </c>
      <c r="CB278" s="435">
        <v>87.42432202186842</v>
      </c>
      <c r="CC278" s="363">
        <v>87.771121907951965</v>
      </c>
      <c r="CD278" s="435">
        <v>88.055395312111088</v>
      </c>
      <c r="CE278" s="435">
        <v>88.339668716270211</v>
      </c>
      <c r="CF278" s="435">
        <v>88.623942120429319</v>
      </c>
      <c r="CG278" s="435">
        <v>88.908215524588442</v>
      </c>
      <c r="CH278" s="363">
        <v>89.192488928747565</v>
      </c>
      <c r="CI278" s="362">
        <v>74.700728003181112</v>
      </c>
      <c r="CJ278" s="362">
        <v>75.408091408179004</v>
      </c>
      <c r="CK278" s="362">
        <v>76.122153047586465</v>
      </c>
      <c r="CL278" s="363">
        <v>75.621683289526416</v>
      </c>
      <c r="CM278" s="363">
        <v>75.124503900546912</v>
      </c>
      <c r="CN278" s="363">
        <v>74.884607043357647</v>
      </c>
      <c r="CO278" s="363">
        <v>74.645476254483015</v>
      </c>
      <c r="CP278" s="363">
        <v>74.407109087618892</v>
      </c>
      <c r="CQ278" s="363">
        <v>74.169503104273048</v>
      </c>
      <c r="CR278" s="363">
        <v>73.932655873740117</v>
      </c>
      <c r="CS278" s="363">
        <v>74.47953335093321</v>
      </c>
      <c r="CT278" s="363">
        <v>75.030456063232847</v>
      </c>
      <c r="CU278" s="363">
        <v>75.585453933112987</v>
      </c>
      <c r="CV278" s="363">
        <v>76.144557104383196</v>
      </c>
      <c r="CW278" s="363">
        <v>76.707795943825715</v>
      </c>
      <c r="CX278" s="435">
        <v>77.016991022984541</v>
      </c>
      <c r="CY278" s="435">
        <v>77.326186102143367</v>
      </c>
      <c r="CZ278" s="435">
        <v>77.635381181302179</v>
      </c>
      <c r="DA278" s="435">
        <v>77.944576260461005</v>
      </c>
      <c r="DB278" s="363">
        <v>78.253771339619831</v>
      </c>
      <c r="DC278" s="435">
        <v>78.507219916821938</v>
      </c>
      <c r="DD278" s="435">
        <v>78.760668494024046</v>
      </c>
      <c r="DE278" s="435">
        <v>79.014117071226153</v>
      </c>
      <c r="DF278" s="435">
        <v>79.26756564842826</v>
      </c>
      <c r="DG278" s="363">
        <v>79.521014225630367</v>
      </c>
      <c r="DH278" s="362">
        <v>0</v>
      </c>
      <c r="DI278" s="362">
        <v>0</v>
      </c>
      <c r="DJ278" s="362">
        <v>0</v>
      </c>
      <c r="DK278" s="363">
        <v>0</v>
      </c>
      <c r="DL278" s="363">
        <v>0</v>
      </c>
      <c r="DM278" s="363">
        <v>0</v>
      </c>
      <c r="DN278" s="363">
        <v>0</v>
      </c>
      <c r="DO278" s="363">
        <v>0</v>
      </c>
      <c r="DP278" s="363">
        <v>0</v>
      </c>
      <c r="DQ278" s="363">
        <v>0</v>
      </c>
      <c r="DR278" s="363">
        <v>0</v>
      </c>
      <c r="DS278" s="363">
        <v>0</v>
      </c>
      <c r="DT278" s="363">
        <v>0</v>
      </c>
      <c r="DU278" s="363">
        <v>0</v>
      </c>
      <c r="DV278" s="363">
        <v>0</v>
      </c>
      <c r="DW278" s="435">
        <v>0</v>
      </c>
      <c r="DX278" s="435">
        <v>0</v>
      </c>
      <c r="DY278" s="435">
        <v>0</v>
      </c>
      <c r="DZ278" s="435">
        <v>0</v>
      </c>
      <c r="EA278" s="363">
        <v>0</v>
      </c>
      <c r="EB278" s="435">
        <v>0</v>
      </c>
      <c r="EC278" s="435">
        <v>0</v>
      </c>
      <c r="ED278" s="435">
        <v>0</v>
      </c>
      <c r="EE278" s="435">
        <v>0</v>
      </c>
      <c r="EF278" s="363">
        <v>0</v>
      </c>
      <c r="EG278" s="364">
        <v>0</v>
      </c>
      <c r="EH278" s="364">
        <v>0</v>
      </c>
      <c r="EI278" s="364">
        <v>0</v>
      </c>
      <c r="EJ278" s="365">
        <v>0</v>
      </c>
      <c r="EK278" s="365">
        <v>0</v>
      </c>
      <c r="EL278" s="365">
        <v>0</v>
      </c>
      <c r="EM278" s="365">
        <v>0</v>
      </c>
      <c r="EN278" s="365">
        <v>0</v>
      </c>
      <c r="EO278" s="365">
        <v>0</v>
      </c>
      <c r="EP278" s="365">
        <v>0</v>
      </c>
      <c r="EQ278" s="365">
        <v>0</v>
      </c>
      <c r="ER278" s="365">
        <v>0</v>
      </c>
      <c r="ES278" s="365">
        <v>0</v>
      </c>
      <c r="ET278" s="365">
        <v>0</v>
      </c>
      <c r="EU278" s="365">
        <v>0</v>
      </c>
      <c r="EV278" s="436">
        <v>0</v>
      </c>
      <c r="EW278" s="436">
        <v>0</v>
      </c>
      <c r="EX278" s="436">
        <v>0</v>
      </c>
      <c r="EY278" s="436">
        <v>0</v>
      </c>
      <c r="EZ278" s="365">
        <v>0</v>
      </c>
      <c r="FA278" s="436">
        <v>0</v>
      </c>
      <c r="FB278" s="436">
        <v>0</v>
      </c>
      <c r="FC278" s="436">
        <v>0</v>
      </c>
      <c r="FD278" s="436">
        <v>0</v>
      </c>
      <c r="FE278" s="365">
        <v>0</v>
      </c>
      <c r="FF278" s="364">
        <v>0</v>
      </c>
      <c r="FG278" s="364">
        <v>0</v>
      </c>
      <c r="FH278" s="364">
        <v>0</v>
      </c>
      <c r="FI278" s="365">
        <v>0</v>
      </c>
      <c r="FJ278" s="365">
        <v>0</v>
      </c>
      <c r="FK278" s="365">
        <v>0</v>
      </c>
      <c r="FL278" s="365">
        <v>0</v>
      </c>
      <c r="FM278" s="365">
        <v>0</v>
      </c>
      <c r="FN278" s="365">
        <v>0</v>
      </c>
      <c r="FO278" s="365">
        <v>0</v>
      </c>
      <c r="FP278" s="365">
        <v>0</v>
      </c>
      <c r="FQ278" s="365">
        <v>0</v>
      </c>
      <c r="FR278" s="365">
        <v>0</v>
      </c>
      <c r="FS278" s="365">
        <v>0</v>
      </c>
      <c r="FT278" s="365">
        <v>0</v>
      </c>
      <c r="FU278" s="436">
        <v>0</v>
      </c>
      <c r="FV278" s="436">
        <v>0</v>
      </c>
      <c r="FW278" s="436">
        <v>0</v>
      </c>
      <c r="FX278" s="436">
        <v>0</v>
      </c>
      <c r="FY278" s="365">
        <v>0</v>
      </c>
      <c r="FZ278" s="436">
        <v>0</v>
      </c>
      <c r="GA278" s="436">
        <v>0</v>
      </c>
      <c r="GB278" s="436">
        <v>0</v>
      </c>
      <c r="GC278" s="436">
        <v>0</v>
      </c>
      <c r="GD278" s="365">
        <v>0</v>
      </c>
    </row>
    <row r="279" spans="1:186" ht="15" x14ac:dyDescent="0.25">
      <c r="A279" s="357">
        <v>115</v>
      </c>
      <c r="B279" s="357">
        <v>97</v>
      </c>
      <c r="C279" s="357" t="s">
        <v>1189</v>
      </c>
      <c r="D279" s="2">
        <v>99712</v>
      </c>
      <c r="E279" s="268" t="s">
        <v>1527</v>
      </c>
      <c r="F279" s="358" t="s">
        <v>985</v>
      </c>
      <c r="G279" s="49">
        <v>36</v>
      </c>
      <c r="H279" s="49">
        <v>11</v>
      </c>
      <c r="I279" s="49">
        <v>11</v>
      </c>
      <c r="J279" s="49">
        <v>0</v>
      </c>
      <c r="K279" s="49">
        <v>0</v>
      </c>
      <c r="L279" s="49">
        <v>0</v>
      </c>
      <c r="M279" s="49">
        <v>0</v>
      </c>
      <c r="N279" s="49">
        <v>0</v>
      </c>
      <c r="O279" s="49">
        <v>0</v>
      </c>
      <c r="P279" s="49">
        <v>0</v>
      </c>
      <c r="Q279" s="49">
        <v>0</v>
      </c>
      <c r="R279" s="49">
        <v>0</v>
      </c>
      <c r="S279" s="49">
        <v>834.49503068156923</v>
      </c>
      <c r="T279" s="49">
        <v>834.49503068156923</v>
      </c>
      <c r="U279" s="49">
        <v>1408.3846153846155</v>
      </c>
      <c r="V279" s="49">
        <v>0</v>
      </c>
      <c r="W279" s="49">
        <v>0</v>
      </c>
      <c r="X279" s="49">
        <v>1365.173957061457</v>
      </c>
      <c r="Y279" s="434">
        <v>0</v>
      </c>
      <c r="Z279" s="434">
        <v>0</v>
      </c>
      <c r="AA279" s="49">
        <v>0.25203568953568956</v>
      </c>
      <c r="AB279" s="49">
        <v>10.733671171171171</v>
      </c>
      <c r="AC279" s="49">
        <v>1.4293139293139294E-2</v>
      </c>
      <c r="AD279" s="285">
        <v>0</v>
      </c>
      <c r="AE279" s="285">
        <v>0</v>
      </c>
      <c r="AF279" s="359">
        <v>11</v>
      </c>
      <c r="AG279" s="360">
        <v>0.25203568953568956</v>
      </c>
      <c r="AH279" s="360">
        <v>10.733671171171171</v>
      </c>
      <c r="AI279" s="361">
        <v>10.985706860706861</v>
      </c>
      <c r="AJ279" s="360">
        <v>1.4293139293139294E-2</v>
      </c>
      <c r="AK279" s="360">
        <v>0.22912923564202403</v>
      </c>
      <c r="AL279" s="360">
        <v>9.75813336442185</v>
      </c>
      <c r="AM279" s="360">
        <v>9.9872626000638736</v>
      </c>
      <c r="AN279" s="360">
        <v>1.299409653924522E-2</v>
      </c>
      <c r="AO279" s="360">
        <v>0.22997100088129091</v>
      </c>
      <c r="AP279" s="360">
        <v>9.7939823796873391</v>
      </c>
      <c r="AQ279" s="360">
        <v>10.02395338056863</v>
      </c>
      <c r="AR279" s="360">
        <v>1.3041833698371884E-2</v>
      </c>
      <c r="AS279" s="360">
        <v>0</v>
      </c>
      <c r="AT279" s="360">
        <v>0</v>
      </c>
      <c r="AU279" s="360">
        <v>9.0795626997293333</v>
      </c>
      <c r="AV279" s="360">
        <v>9.52260347677786</v>
      </c>
      <c r="AW279" s="360">
        <v>9.9872626000638753</v>
      </c>
      <c r="AX279" s="360">
        <v>10.474594945161495</v>
      </c>
      <c r="AY279" s="360">
        <v>10.985706860706861</v>
      </c>
      <c r="AZ279" s="360">
        <v>9.1463974644366246</v>
      </c>
      <c r="BA279" s="360">
        <v>9.5751272463431967</v>
      </c>
      <c r="BB279" s="360">
        <v>10.02395338056863</v>
      </c>
      <c r="BC279" s="360">
        <v>10.493817866930916</v>
      </c>
      <c r="BD279" s="360">
        <v>10.985706860706861</v>
      </c>
      <c r="BE279" s="360">
        <v>0</v>
      </c>
      <c r="BF279" s="360">
        <v>0</v>
      </c>
      <c r="BG279" s="360">
        <v>0</v>
      </c>
      <c r="BH279" s="360">
        <v>0</v>
      </c>
      <c r="BI279" s="360">
        <v>0</v>
      </c>
      <c r="BJ279" s="362">
        <v>11.089733785464105</v>
      </c>
      <c r="BK279" s="362">
        <v>11.194745772103271</v>
      </c>
      <c r="BL279" s="362">
        <v>11.30075214846822</v>
      </c>
      <c r="BM279" s="363">
        <v>11.22645466124259</v>
      </c>
      <c r="BN279" s="363">
        <v>11.152645647397804</v>
      </c>
      <c r="BO279" s="363">
        <v>11.117031639966912</v>
      </c>
      <c r="BP279" s="363">
        <v>11.081531359589258</v>
      </c>
      <c r="BQ279" s="363">
        <v>11.04614444309755</v>
      </c>
      <c r="BR279" s="363">
        <v>11.010870528484205</v>
      </c>
      <c r="BS279" s="363">
        <v>10.975709254897652</v>
      </c>
      <c r="BT279" s="363">
        <v>11.056896223183681</v>
      </c>
      <c r="BU279" s="363">
        <v>11.138683728862457</v>
      </c>
      <c r="BV279" s="363">
        <v>11.221076214089754</v>
      </c>
      <c r="BW279" s="363">
        <v>11.304078153879834</v>
      </c>
      <c r="BX279" s="363">
        <v>11.387694056348487</v>
      </c>
      <c r="BY279" s="435">
        <v>11.43359576584054</v>
      </c>
      <c r="BZ279" s="435">
        <v>11.479497475332591</v>
      </c>
      <c r="CA279" s="435">
        <v>11.525399184824645</v>
      </c>
      <c r="CB279" s="435">
        <v>11.571300894316696</v>
      </c>
      <c r="CC279" s="363">
        <v>11.617202603808749</v>
      </c>
      <c r="CD279" s="435">
        <v>11.6548284385845</v>
      </c>
      <c r="CE279" s="435">
        <v>11.692454273360251</v>
      </c>
      <c r="CF279" s="435">
        <v>11.730080108136004</v>
      </c>
      <c r="CG279" s="435">
        <v>11.767705942911755</v>
      </c>
      <c r="CH279" s="363">
        <v>11.805331777687506</v>
      </c>
      <c r="CI279" s="362">
        <v>11.089733785464105</v>
      </c>
      <c r="CJ279" s="362">
        <v>11.194745772103271</v>
      </c>
      <c r="CK279" s="362">
        <v>11.30075214846822</v>
      </c>
      <c r="CL279" s="363">
        <v>11.22645466124259</v>
      </c>
      <c r="CM279" s="363">
        <v>11.152645647397804</v>
      </c>
      <c r="CN279" s="363">
        <v>11.117031639966912</v>
      </c>
      <c r="CO279" s="363">
        <v>11.081531359589258</v>
      </c>
      <c r="CP279" s="363">
        <v>11.04614444309755</v>
      </c>
      <c r="CQ279" s="363">
        <v>11.010870528484205</v>
      </c>
      <c r="CR279" s="363">
        <v>10.975709254897652</v>
      </c>
      <c r="CS279" s="363">
        <v>11.056896223183681</v>
      </c>
      <c r="CT279" s="363">
        <v>11.138683728862457</v>
      </c>
      <c r="CU279" s="363">
        <v>11.221076214089754</v>
      </c>
      <c r="CV279" s="363">
        <v>11.304078153879834</v>
      </c>
      <c r="CW279" s="363">
        <v>11.387694056348487</v>
      </c>
      <c r="CX279" s="435">
        <v>11.43359576584054</v>
      </c>
      <c r="CY279" s="435">
        <v>11.479497475332591</v>
      </c>
      <c r="CZ279" s="435">
        <v>11.525399184824645</v>
      </c>
      <c r="DA279" s="435">
        <v>11.571300894316696</v>
      </c>
      <c r="DB279" s="363">
        <v>11.617202603808749</v>
      </c>
      <c r="DC279" s="435">
        <v>11.6548284385845</v>
      </c>
      <c r="DD279" s="435">
        <v>11.692454273360251</v>
      </c>
      <c r="DE279" s="435">
        <v>11.730080108136004</v>
      </c>
      <c r="DF279" s="435">
        <v>11.767705942911755</v>
      </c>
      <c r="DG279" s="363">
        <v>11.805331777687506</v>
      </c>
      <c r="DH279" s="362">
        <v>0</v>
      </c>
      <c r="DI279" s="362">
        <v>0</v>
      </c>
      <c r="DJ279" s="362">
        <v>0</v>
      </c>
      <c r="DK279" s="363">
        <v>0</v>
      </c>
      <c r="DL279" s="363">
        <v>0</v>
      </c>
      <c r="DM279" s="363">
        <v>0</v>
      </c>
      <c r="DN279" s="363">
        <v>0</v>
      </c>
      <c r="DO279" s="363">
        <v>0</v>
      </c>
      <c r="DP279" s="363">
        <v>0</v>
      </c>
      <c r="DQ279" s="363">
        <v>0</v>
      </c>
      <c r="DR279" s="363">
        <v>0</v>
      </c>
      <c r="DS279" s="363">
        <v>0</v>
      </c>
      <c r="DT279" s="363">
        <v>0</v>
      </c>
      <c r="DU279" s="363">
        <v>0</v>
      </c>
      <c r="DV279" s="363">
        <v>0</v>
      </c>
      <c r="DW279" s="435">
        <v>0</v>
      </c>
      <c r="DX279" s="435">
        <v>0</v>
      </c>
      <c r="DY279" s="435">
        <v>0</v>
      </c>
      <c r="DZ279" s="435">
        <v>0</v>
      </c>
      <c r="EA279" s="363">
        <v>0</v>
      </c>
      <c r="EB279" s="435">
        <v>0</v>
      </c>
      <c r="EC279" s="435">
        <v>0</v>
      </c>
      <c r="ED279" s="435">
        <v>0</v>
      </c>
      <c r="EE279" s="435">
        <v>0</v>
      </c>
      <c r="EF279" s="363">
        <v>0</v>
      </c>
      <c r="EG279" s="364">
        <v>1.4428485279032144E-2</v>
      </c>
      <c r="EH279" s="364">
        <v>1.4565112896309228E-2</v>
      </c>
      <c r="EI279" s="364">
        <v>1.4703034281119205E-2</v>
      </c>
      <c r="EJ279" s="365">
        <v>1.4606368281606285E-2</v>
      </c>
      <c r="EK279" s="365">
        <v>1.4510337818628422E-2</v>
      </c>
      <c r="EL279" s="365">
        <v>1.4464001613279875E-2</v>
      </c>
      <c r="EM279" s="365">
        <v>1.4417813374433071E-2</v>
      </c>
      <c r="EN279" s="365">
        <v>1.4371772629583073E-2</v>
      </c>
      <c r="EO279" s="365">
        <v>1.4325878907733808E-2</v>
      </c>
      <c r="EP279" s="365">
        <v>1.4280131739393251E-2</v>
      </c>
      <c r="EQ279" s="365">
        <v>1.4385761414498675E-2</v>
      </c>
      <c r="ER279" s="365">
        <v>1.4492172428912903E-2</v>
      </c>
      <c r="ES279" s="365">
        <v>1.4599370562177666E-2</v>
      </c>
      <c r="ET279" s="365">
        <v>1.4707361636585786E-2</v>
      </c>
      <c r="EU279" s="365">
        <v>1.4816151517497381E-2</v>
      </c>
      <c r="EV279" s="436">
        <v>1.4875872711215899E-2</v>
      </c>
      <c r="EW279" s="436">
        <v>1.4935593904934416E-2</v>
      </c>
      <c r="EX279" s="436">
        <v>1.4995315098652933E-2</v>
      </c>
      <c r="EY279" s="436">
        <v>1.5055036292371451E-2</v>
      </c>
      <c r="EZ279" s="365">
        <v>1.5114757486089968E-2</v>
      </c>
      <c r="FA279" s="436">
        <v>1.5163711213354802E-2</v>
      </c>
      <c r="FB279" s="436">
        <v>1.5212664940619637E-2</v>
      </c>
      <c r="FC279" s="436">
        <v>1.5261618667884469E-2</v>
      </c>
      <c r="FD279" s="436">
        <v>1.5310572395149304E-2</v>
      </c>
      <c r="FE279" s="365">
        <v>1.5359526122414138E-2</v>
      </c>
      <c r="FF279" s="364">
        <v>0</v>
      </c>
      <c r="FG279" s="364">
        <v>0</v>
      </c>
      <c r="FH279" s="364">
        <v>0</v>
      </c>
      <c r="FI279" s="365">
        <v>0</v>
      </c>
      <c r="FJ279" s="365">
        <v>0</v>
      </c>
      <c r="FK279" s="365">
        <v>0</v>
      </c>
      <c r="FL279" s="365">
        <v>0</v>
      </c>
      <c r="FM279" s="365">
        <v>0</v>
      </c>
      <c r="FN279" s="365">
        <v>0</v>
      </c>
      <c r="FO279" s="365">
        <v>0</v>
      </c>
      <c r="FP279" s="365">
        <v>0</v>
      </c>
      <c r="FQ279" s="365">
        <v>0</v>
      </c>
      <c r="FR279" s="365">
        <v>0</v>
      </c>
      <c r="FS279" s="365">
        <v>0</v>
      </c>
      <c r="FT279" s="365">
        <v>0</v>
      </c>
      <c r="FU279" s="436">
        <v>0</v>
      </c>
      <c r="FV279" s="436">
        <v>0</v>
      </c>
      <c r="FW279" s="436">
        <v>0</v>
      </c>
      <c r="FX279" s="436">
        <v>0</v>
      </c>
      <c r="FY279" s="365">
        <v>0</v>
      </c>
      <c r="FZ279" s="436">
        <v>0</v>
      </c>
      <c r="GA279" s="436">
        <v>0</v>
      </c>
      <c r="GB279" s="436">
        <v>0</v>
      </c>
      <c r="GC279" s="436">
        <v>0</v>
      </c>
      <c r="GD279" s="365">
        <v>0</v>
      </c>
    </row>
    <row r="280" spans="1:186" ht="15" x14ac:dyDescent="0.25">
      <c r="A280" s="357">
        <v>116</v>
      </c>
      <c r="B280" s="357">
        <v>97</v>
      </c>
      <c r="C280" s="357" t="s">
        <v>1190</v>
      </c>
      <c r="D280" s="2">
        <v>99712</v>
      </c>
      <c r="E280" s="268" t="s">
        <v>1527</v>
      </c>
      <c r="F280" s="358" t="s">
        <v>985</v>
      </c>
      <c r="G280" s="49">
        <v>120</v>
      </c>
      <c r="H280" s="49">
        <v>40</v>
      </c>
      <c r="I280" s="49">
        <v>39</v>
      </c>
      <c r="J280" s="49">
        <v>1</v>
      </c>
      <c r="K280" s="49">
        <v>0</v>
      </c>
      <c r="L280" s="49">
        <v>0</v>
      </c>
      <c r="M280" s="49">
        <v>0</v>
      </c>
      <c r="N280" s="49">
        <v>0</v>
      </c>
      <c r="O280" s="49">
        <v>0</v>
      </c>
      <c r="P280" s="49">
        <v>0</v>
      </c>
      <c r="Q280" s="49">
        <v>0</v>
      </c>
      <c r="R280" s="49">
        <v>0</v>
      </c>
      <c r="S280" s="49">
        <v>834.49503068156923</v>
      </c>
      <c r="T280" s="49">
        <v>834.49503068156923</v>
      </c>
      <c r="U280" s="49">
        <v>1408.3846153846155</v>
      </c>
      <c r="V280" s="49">
        <v>0</v>
      </c>
      <c r="W280" s="49">
        <v>0</v>
      </c>
      <c r="X280" s="49">
        <v>1365.173957061457</v>
      </c>
      <c r="Y280" s="434">
        <v>0</v>
      </c>
      <c r="Z280" s="434">
        <v>0</v>
      </c>
      <c r="AA280" s="49">
        <v>0.91649341649341654</v>
      </c>
      <c r="AB280" s="49">
        <v>39.031531531531535</v>
      </c>
      <c r="AC280" s="49">
        <v>5.1975051975051978E-2</v>
      </c>
      <c r="AD280" s="285">
        <v>0</v>
      </c>
      <c r="AE280" s="285">
        <v>0</v>
      </c>
      <c r="AF280" s="359">
        <v>40</v>
      </c>
      <c r="AG280" s="360">
        <v>0.89358108108108103</v>
      </c>
      <c r="AH280" s="360">
        <v>38.055743243243242</v>
      </c>
      <c r="AI280" s="361">
        <v>38.949324324324323</v>
      </c>
      <c r="AJ280" s="360">
        <v>5.0675675675675678E-2</v>
      </c>
      <c r="AK280" s="360">
        <v>0.83319722051645106</v>
      </c>
      <c r="AL280" s="360">
        <v>35.484121325170371</v>
      </c>
      <c r="AM280" s="360">
        <v>36.317318545686824</v>
      </c>
      <c r="AN280" s="360">
        <v>4.7251260142709889E-2</v>
      </c>
      <c r="AO280" s="360">
        <v>0.81535173039730402</v>
      </c>
      <c r="AP280" s="360">
        <v>34.724119346164201</v>
      </c>
      <c r="AQ280" s="360">
        <v>35.539471076561505</v>
      </c>
      <c r="AR280" s="360">
        <v>4.6239228566954865E-2</v>
      </c>
      <c r="AS280" s="360">
        <v>0</v>
      </c>
      <c r="AT280" s="360">
        <v>0</v>
      </c>
      <c r="AU280" s="360">
        <v>33.016591635379392</v>
      </c>
      <c r="AV280" s="360">
        <v>34.627649006464949</v>
      </c>
      <c r="AW280" s="360">
        <v>36.317318545686824</v>
      </c>
      <c r="AX280" s="360">
        <v>38.089436164223628</v>
      </c>
      <c r="AY280" s="360">
        <v>39.948024948024951</v>
      </c>
      <c r="AZ280" s="360">
        <v>32.42813646482076</v>
      </c>
      <c r="BA280" s="360">
        <v>33.948178418853153</v>
      </c>
      <c r="BB280" s="360">
        <v>35.539471076561505</v>
      </c>
      <c r="BC280" s="360">
        <v>37.205354255482341</v>
      </c>
      <c r="BD280" s="360">
        <v>38.949324324324323</v>
      </c>
      <c r="BE280" s="360">
        <v>0</v>
      </c>
      <c r="BF280" s="360">
        <v>0</v>
      </c>
      <c r="BG280" s="360">
        <v>0</v>
      </c>
      <c r="BH280" s="360">
        <v>0</v>
      </c>
      <c r="BI280" s="360">
        <v>0</v>
      </c>
      <c r="BJ280" s="362">
        <v>40.326304674414935</v>
      </c>
      <c r="BK280" s="362">
        <v>40.708166444011901</v>
      </c>
      <c r="BL280" s="362">
        <v>41.093644176248077</v>
      </c>
      <c r="BM280" s="363">
        <v>40.823471495427604</v>
      </c>
      <c r="BN280" s="363">
        <v>40.555075081446567</v>
      </c>
      <c r="BO280" s="363">
        <v>40.42556959987968</v>
      </c>
      <c r="BP280" s="363">
        <v>40.296477671233667</v>
      </c>
      <c r="BQ280" s="363">
        <v>40.167797974900182</v>
      </c>
      <c r="BR280" s="363">
        <v>40.039529194488019</v>
      </c>
      <c r="BS280" s="363">
        <v>39.911670017809648</v>
      </c>
      <c r="BT280" s="363">
        <v>40.20689535703157</v>
      </c>
      <c r="BU280" s="363">
        <v>40.504304468590753</v>
      </c>
      <c r="BV280" s="363">
        <v>40.803913505780926</v>
      </c>
      <c r="BW280" s="363">
        <v>41.105738741381224</v>
      </c>
      <c r="BX280" s="363">
        <v>41.40979656853996</v>
      </c>
      <c r="BY280" s="435">
        <v>41.576711875783786</v>
      </c>
      <c r="BZ280" s="435">
        <v>41.743627183027613</v>
      </c>
      <c r="CA280" s="435">
        <v>41.910542490271439</v>
      </c>
      <c r="CB280" s="435">
        <v>42.077457797515265</v>
      </c>
      <c r="CC280" s="363">
        <v>42.244373104759092</v>
      </c>
      <c r="CD280" s="435">
        <v>42.381194322125459</v>
      </c>
      <c r="CE280" s="435">
        <v>42.518015539491827</v>
      </c>
      <c r="CF280" s="435">
        <v>42.654836756858195</v>
      </c>
      <c r="CG280" s="435">
        <v>42.791657974224563</v>
      </c>
      <c r="CH280" s="363">
        <v>42.928479191590931</v>
      </c>
      <c r="CI280" s="362">
        <v>39.318147057554555</v>
      </c>
      <c r="CJ280" s="362">
        <v>39.690462282911597</v>
      </c>
      <c r="CK280" s="362">
        <v>40.066303071841865</v>
      </c>
      <c r="CL280" s="363">
        <v>39.802884708041908</v>
      </c>
      <c r="CM280" s="363">
        <v>39.541198204410392</v>
      </c>
      <c r="CN280" s="363">
        <v>39.414930359882682</v>
      </c>
      <c r="CO280" s="363">
        <v>39.289065729452815</v>
      </c>
      <c r="CP280" s="363">
        <v>39.163603025527671</v>
      </c>
      <c r="CQ280" s="363">
        <v>39.03854096462581</v>
      </c>
      <c r="CR280" s="363">
        <v>38.913878267364396</v>
      </c>
      <c r="CS280" s="363">
        <v>39.201722973105774</v>
      </c>
      <c r="CT280" s="363">
        <v>39.491696856875976</v>
      </c>
      <c r="CU280" s="363">
        <v>39.783815668136391</v>
      </c>
      <c r="CV280" s="363">
        <v>40.078095272846681</v>
      </c>
      <c r="CW280" s="363">
        <v>40.374551654326446</v>
      </c>
      <c r="CX280" s="435">
        <v>40.537294078889175</v>
      </c>
      <c r="CY280" s="435">
        <v>40.700036503451912</v>
      </c>
      <c r="CZ280" s="435">
        <v>40.862778928014642</v>
      </c>
      <c r="DA280" s="435">
        <v>41.025521352577378</v>
      </c>
      <c r="DB280" s="363">
        <v>41.188263777140108</v>
      </c>
      <c r="DC280" s="435">
        <v>41.321664464072313</v>
      </c>
      <c r="DD280" s="435">
        <v>41.455065151004526</v>
      </c>
      <c r="DE280" s="435">
        <v>41.588465837936731</v>
      </c>
      <c r="DF280" s="435">
        <v>41.721866524868943</v>
      </c>
      <c r="DG280" s="363">
        <v>41.855267211801149</v>
      </c>
      <c r="DH280" s="362">
        <v>0</v>
      </c>
      <c r="DI280" s="362">
        <v>0</v>
      </c>
      <c r="DJ280" s="362">
        <v>0</v>
      </c>
      <c r="DK280" s="363">
        <v>0</v>
      </c>
      <c r="DL280" s="363">
        <v>0</v>
      </c>
      <c r="DM280" s="363">
        <v>0</v>
      </c>
      <c r="DN280" s="363">
        <v>0</v>
      </c>
      <c r="DO280" s="363">
        <v>0</v>
      </c>
      <c r="DP280" s="363">
        <v>0</v>
      </c>
      <c r="DQ280" s="363">
        <v>0</v>
      </c>
      <c r="DR280" s="363">
        <v>0</v>
      </c>
      <c r="DS280" s="363">
        <v>0</v>
      </c>
      <c r="DT280" s="363">
        <v>0</v>
      </c>
      <c r="DU280" s="363">
        <v>0</v>
      </c>
      <c r="DV280" s="363">
        <v>0</v>
      </c>
      <c r="DW280" s="435">
        <v>0</v>
      </c>
      <c r="DX280" s="435">
        <v>0</v>
      </c>
      <c r="DY280" s="435">
        <v>0</v>
      </c>
      <c r="DZ280" s="435">
        <v>0</v>
      </c>
      <c r="EA280" s="363">
        <v>0</v>
      </c>
      <c r="EB280" s="435">
        <v>0</v>
      </c>
      <c r="EC280" s="435">
        <v>0</v>
      </c>
      <c r="ED280" s="435">
        <v>0</v>
      </c>
      <c r="EE280" s="435">
        <v>0</v>
      </c>
      <c r="EF280" s="363">
        <v>0</v>
      </c>
      <c r="EG280" s="364">
        <v>5.2467219196480522E-2</v>
      </c>
      <c r="EH280" s="364">
        <v>5.2964046895669921E-2</v>
      </c>
      <c r="EI280" s="364">
        <v>5.346557920406983E-2</v>
      </c>
      <c r="EJ280" s="365">
        <v>5.3114066478568304E-2</v>
      </c>
      <c r="EK280" s="365">
        <v>5.2764864795012439E-2</v>
      </c>
      <c r="EL280" s="365">
        <v>5.2596369502835902E-2</v>
      </c>
      <c r="EM280" s="365">
        <v>5.2428412270665706E-2</v>
      </c>
      <c r="EN280" s="365">
        <v>5.2260991380302074E-2</v>
      </c>
      <c r="EO280" s="365">
        <v>5.2094105119032029E-2</v>
      </c>
      <c r="EP280" s="365">
        <v>5.1927751779611814E-2</v>
      </c>
      <c r="EQ280" s="365">
        <v>5.2311859689086089E-2</v>
      </c>
      <c r="ER280" s="365">
        <v>5.269880883241055E-2</v>
      </c>
      <c r="ES280" s="365">
        <v>5.30886202261006E-2</v>
      </c>
      <c r="ET280" s="365">
        <v>5.3481315042130127E-2</v>
      </c>
      <c r="EU280" s="365">
        <v>5.3876914609081381E-2</v>
      </c>
      <c r="EV280" s="436">
        <v>5.4094082586239628E-2</v>
      </c>
      <c r="EW280" s="436">
        <v>5.4311250563397875E-2</v>
      </c>
      <c r="EX280" s="436">
        <v>5.4528418540556116E-2</v>
      </c>
      <c r="EY280" s="436">
        <v>5.4745586517714363E-2</v>
      </c>
      <c r="EZ280" s="365">
        <v>5.4962754494872611E-2</v>
      </c>
      <c r="FA280" s="436">
        <v>5.5140768048562917E-2</v>
      </c>
      <c r="FB280" s="436">
        <v>5.5318781602253217E-2</v>
      </c>
      <c r="FC280" s="436">
        <v>5.5496795155943524E-2</v>
      </c>
      <c r="FD280" s="436">
        <v>5.5674808709633823E-2</v>
      </c>
      <c r="FE280" s="365">
        <v>5.585282226332413E-2</v>
      </c>
      <c r="FF280" s="364">
        <v>0</v>
      </c>
      <c r="FG280" s="364">
        <v>0</v>
      </c>
      <c r="FH280" s="364">
        <v>0</v>
      </c>
      <c r="FI280" s="365">
        <v>0</v>
      </c>
      <c r="FJ280" s="365">
        <v>0</v>
      </c>
      <c r="FK280" s="365">
        <v>0</v>
      </c>
      <c r="FL280" s="365">
        <v>0</v>
      </c>
      <c r="FM280" s="365">
        <v>0</v>
      </c>
      <c r="FN280" s="365">
        <v>0</v>
      </c>
      <c r="FO280" s="365">
        <v>0</v>
      </c>
      <c r="FP280" s="365">
        <v>0</v>
      </c>
      <c r="FQ280" s="365">
        <v>0</v>
      </c>
      <c r="FR280" s="365">
        <v>0</v>
      </c>
      <c r="FS280" s="365">
        <v>0</v>
      </c>
      <c r="FT280" s="365">
        <v>0</v>
      </c>
      <c r="FU280" s="436">
        <v>0</v>
      </c>
      <c r="FV280" s="436">
        <v>0</v>
      </c>
      <c r="FW280" s="436">
        <v>0</v>
      </c>
      <c r="FX280" s="436">
        <v>0</v>
      </c>
      <c r="FY280" s="365">
        <v>0</v>
      </c>
      <c r="FZ280" s="436">
        <v>0</v>
      </c>
      <c r="GA280" s="436">
        <v>0</v>
      </c>
      <c r="GB280" s="436">
        <v>0</v>
      </c>
      <c r="GC280" s="436">
        <v>0</v>
      </c>
      <c r="GD280" s="365">
        <v>0</v>
      </c>
    </row>
    <row r="281" spans="1:186" ht="15" x14ac:dyDescent="0.25">
      <c r="A281" s="357">
        <v>119</v>
      </c>
      <c r="B281" s="357">
        <v>97</v>
      </c>
      <c r="C281" s="357" t="s">
        <v>1191</v>
      </c>
      <c r="D281" s="2">
        <v>99712</v>
      </c>
      <c r="E281" s="268" t="s">
        <v>19</v>
      </c>
      <c r="F281" s="358" t="s">
        <v>915</v>
      </c>
      <c r="G281" s="49">
        <v>146</v>
      </c>
      <c r="H281" s="49">
        <v>52</v>
      </c>
      <c r="I281" s="49">
        <v>52</v>
      </c>
      <c r="J281" s="49">
        <v>0</v>
      </c>
      <c r="K281" s="49">
        <v>0</v>
      </c>
      <c r="L281" s="49">
        <v>32</v>
      </c>
      <c r="M281" s="49">
        <v>32</v>
      </c>
      <c r="N281" s="49">
        <v>1</v>
      </c>
      <c r="O281" s="49">
        <v>0</v>
      </c>
      <c r="P281" s="49">
        <v>0</v>
      </c>
      <c r="Q281" s="49">
        <v>33</v>
      </c>
      <c r="R281" s="49">
        <v>0</v>
      </c>
      <c r="S281" s="49">
        <v>3082.875</v>
      </c>
      <c r="T281" s="49">
        <v>3082.875</v>
      </c>
      <c r="U281" s="49">
        <v>6720</v>
      </c>
      <c r="V281" s="49">
        <v>0</v>
      </c>
      <c r="W281" s="49">
        <v>0</v>
      </c>
      <c r="X281" s="49">
        <v>3193.090909090909</v>
      </c>
      <c r="Y281" s="434">
        <v>98652</v>
      </c>
      <c r="Z281" s="434">
        <v>6720</v>
      </c>
      <c r="AA281" s="49">
        <v>0</v>
      </c>
      <c r="AB281" s="49">
        <v>52</v>
      </c>
      <c r="AC281" s="49">
        <v>0</v>
      </c>
      <c r="AD281" s="285">
        <v>1</v>
      </c>
      <c r="AE281" s="285">
        <v>0</v>
      </c>
      <c r="AF281" s="359">
        <v>53</v>
      </c>
      <c r="AG281" s="360">
        <v>0</v>
      </c>
      <c r="AH281" s="360">
        <v>52</v>
      </c>
      <c r="AI281" s="361">
        <v>52</v>
      </c>
      <c r="AJ281" s="360">
        <v>0</v>
      </c>
      <c r="AK281" s="360">
        <v>0</v>
      </c>
      <c r="AL281" s="360">
        <v>47.273940747578386</v>
      </c>
      <c r="AM281" s="360">
        <v>47.273940747578386</v>
      </c>
      <c r="AN281" s="360">
        <v>0</v>
      </c>
      <c r="AO281" s="360">
        <v>0</v>
      </c>
      <c r="AP281" s="360">
        <v>47.447613740171278</v>
      </c>
      <c r="AQ281" s="360">
        <v>47.447613740171278</v>
      </c>
      <c r="AR281" s="360">
        <v>0</v>
      </c>
      <c r="AS281" s="360">
        <v>0.92984135081383867</v>
      </c>
      <c r="AT281" s="360">
        <v>0</v>
      </c>
      <c r="AU281" s="360">
        <v>42.977412957799082</v>
      </c>
      <c r="AV281" s="360">
        <v>45.074512461602971</v>
      </c>
      <c r="AW281" s="360">
        <v>47.273940747578386</v>
      </c>
      <c r="AX281" s="360">
        <v>49.580690988267563</v>
      </c>
      <c r="AY281" s="360">
        <v>52</v>
      </c>
      <c r="AZ281" s="360">
        <v>43.293770185317122</v>
      </c>
      <c r="BA281" s="360">
        <v>45.32312969233999</v>
      </c>
      <c r="BB281" s="360">
        <v>47.447613740171278</v>
      </c>
      <c r="BC281" s="360">
        <v>49.671681212627654</v>
      </c>
      <c r="BD281" s="360">
        <v>52</v>
      </c>
      <c r="BE281" s="360">
        <v>0.86460493768330426</v>
      </c>
      <c r="BF281" s="360">
        <v>0.89663003695825327</v>
      </c>
      <c r="BG281" s="360">
        <v>0.92984135081383867</v>
      </c>
      <c r="BH281" s="360">
        <v>0.96428281681975381</v>
      </c>
      <c r="BI281" s="360">
        <v>1</v>
      </c>
      <c r="BJ281" s="362">
        <v>52.481462747222274</v>
      </c>
      <c r="BK281" s="362">
        <v>52.967383309386143</v>
      </c>
      <c r="BL281" s="362">
        <v>53.457802960949849</v>
      </c>
      <c r="BM281" s="363">
        <v>53.106341360835046</v>
      </c>
      <c r="BN281" s="363">
        <v>52.757190466538916</v>
      </c>
      <c r="BO281" s="363">
        <v>52.588719680977221</v>
      </c>
      <c r="BP281" s="363">
        <v>52.420786877164311</v>
      </c>
      <c r="BQ281" s="363">
        <v>52.253390337150307</v>
      </c>
      <c r="BR281" s="363">
        <v>52.08652834847134</v>
      </c>
      <c r="BS281" s="363">
        <v>51.920199204131976</v>
      </c>
      <c r="BT281" s="363">
        <v>52.304251247448377</v>
      </c>
      <c r="BU281" s="363">
        <v>52.691144111374797</v>
      </c>
      <c r="BV281" s="363">
        <v>53.080898809369906</v>
      </c>
      <c r="BW281" s="363">
        <v>53.473536510328266</v>
      </c>
      <c r="BX281" s="363">
        <v>53.869078539730005</v>
      </c>
      <c r="BY281" s="435">
        <v>54.086214931127593</v>
      </c>
      <c r="BZ281" s="435">
        <v>54.303351322525174</v>
      </c>
      <c r="CA281" s="435">
        <v>54.520487713922762</v>
      </c>
      <c r="CB281" s="435">
        <v>54.737624105320343</v>
      </c>
      <c r="CC281" s="363">
        <v>54.954760496717931</v>
      </c>
      <c r="CD281" s="435">
        <v>55.132748159420188</v>
      </c>
      <c r="CE281" s="435">
        <v>55.310735822122446</v>
      </c>
      <c r="CF281" s="435">
        <v>55.488723484824703</v>
      </c>
      <c r="CG281" s="435">
        <v>55.666711147526961</v>
      </c>
      <c r="CH281" s="363">
        <v>55.844698810229218</v>
      </c>
      <c r="CI281" s="362">
        <v>52.481462747222274</v>
      </c>
      <c r="CJ281" s="362">
        <v>52.967383309386143</v>
      </c>
      <c r="CK281" s="362">
        <v>53.457802960949849</v>
      </c>
      <c r="CL281" s="363">
        <v>53.106341360835046</v>
      </c>
      <c r="CM281" s="363">
        <v>52.757190466538916</v>
      </c>
      <c r="CN281" s="363">
        <v>52.588719680977221</v>
      </c>
      <c r="CO281" s="363">
        <v>52.420786877164311</v>
      </c>
      <c r="CP281" s="363">
        <v>52.253390337150307</v>
      </c>
      <c r="CQ281" s="363">
        <v>52.08652834847134</v>
      </c>
      <c r="CR281" s="363">
        <v>51.920199204131976</v>
      </c>
      <c r="CS281" s="363">
        <v>52.304251247448377</v>
      </c>
      <c r="CT281" s="363">
        <v>52.691144111374797</v>
      </c>
      <c r="CU281" s="363">
        <v>53.080898809369906</v>
      </c>
      <c r="CV281" s="363">
        <v>53.473536510328266</v>
      </c>
      <c r="CW281" s="363">
        <v>53.869078539730005</v>
      </c>
      <c r="CX281" s="435">
        <v>54.086214931127593</v>
      </c>
      <c r="CY281" s="435">
        <v>54.303351322525174</v>
      </c>
      <c r="CZ281" s="435">
        <v>54.520487713922762</v>
      </c>
      <c r="DA281" s="435">
        <v>54.737624105320343</v>
      </c>
      <c r="DB281" s="363">
        <v>54.954760496717931</v>
      </c>
      <c r="DC281" s="435">
        <v>55.132748159420188</v>
      </c>
      <c r="DD281" s="435">
        <v>55.310735822122446</v>
      </c>
      <c r="DE281" s="435">
        <v>55.488723484824703</v>
      </c>
      <c r="DF281" s="435">
        <v>55.666711147526961</v>
      </c>
      <c r="DG281" s="363">
        <v>55.844698810229218</v>
      </c>
      <c r="DH281" s="362">
        <v>1.0092588989850437</v>
      </c>
      <c r="DI281" s="362">
        <v>1.0186035251805028</v>
      </c>
      <c r="DJ281" s="362">
        <v>1.0280346723259586</v>
      </c>
      <c r="DK281" s="363">
        <v>1.0212757954006739</v>
      </c>
      <c r="DL281" s="363">
        <v>1.0145613551257484</v>
      </c>
      <c r="DM281" s="363">
        <v>1.011321532326485</v>
      </c>
      <c r="DN281" s="363">
        <v>1.0080920553300827</v>
      </c>
      <c r="DO281" s="363">
        <v>1.0048728910990443</v>
      </c>
      <c r="DP281" s="363">
        <v>1.0016640067013718</v>
      </c>
      <c r="DQ281" s="363">
        <v>0.99846536931023022</v>
      </c>
      <c r="DR281" s="363">
        <v>1.0058509855278532</v>
      </c>
      <c r="DS281" s="363">
        <v>1.0132912329110537</v>
      </c>
      <c r="DT281" s="363">
        <v>1.0207865155648057</v>
      </c>
      <c r="DU281" s="363">
        <v>1.0283372405832358</v>
      </c>
      <c r="DV281" s="363">
        <v>1.0359438180717309</v>
      </c>
      <c r="DW281" s="435">
        <v>1.0401195179062999</v>
      </c>
      <c r="DX281" s="435">
        <v>1.0442952177408689</v>
      </c>
      <c r="DY281" s="435">
        <v>1.0484709175754376</v>
      </c>
      <c r="DZ281" s="435">
        <v>1.0526466174100066</v>
      </c>
      <c r="EA281" s="363">
        <v>1.0568223172445756</v>
      </c>
      <c r="EB281" s="435">
        <v>1.0602451569119267</v>
      </c>
      <c r="EC281" s="435">
        <v>1.0636679965792777</v>
      </c>
      <c r="ED281" s="435">
        <v>1.0670908362466289</v>
      </c>
      <c r="EE281" s="435">
        <v>1.0705136759139799</v>
      </c>
      <c r="EF281" s="363">
        <v>1.073936515581331</v>
      </c>
      <c r="EG281" s="364">
        <v>0</v>
      </c>
      <c r="EH281" s="364">
        <v>0</v>
      </c>
      <c r="EI281" s="364">
        <v>0</v>
      </c>
      <c r="EJ281" s="365">
        <v>0</v>
      </c>
      <c r="EK281" s="365">
        <v>0</v>
      </c>
      <c r="EL281" s="365">
        <v>0</v>
      </c>
      <c r="EM281" s="365">
        <v>0</v>
      </c>
      <c r="EN281" s="365">
        <v>0</v>
      </c>
      <c r="EO281" s="365">
        <v>0</v>
      </c>
      <c r="EP281" s="365">
        <v>0</v>
      </c>
      <c r="EQ281" s="365">
        <v>0</v>
      </c>
      <c r="ER281" s="365">
        <v>0</v>
      </c>
      <c r="ES281" s="365">
        <v>0</v>
      </c>
      <c r="ET281" s="365">
        <v>0</v>
      </c>
      <c r="EU281" s="365">
        <v>0</v>
      </c>
      <c r="EV281" s="436">
        <v>0</v>
      </c>
      <c r="EW281" s="436">
        <v>0</v>
      </c>
      <c r="EX281" s="436">
        <v>0</v>
      </c>
      <c r="EY281" s="436">
        <v>0</v>
      </c>
      <c r="EZ281" s="365">
        <v>0</v>
      </c>
      <c r="FA281" s="436">
        <v>0</v>
      </c>
      <c r="FB281" s="436">
        <v>0</v>
      </c>
      <c r="FC281" s="436">
        <v>0</v>
      </c>
      <c r="FD281" s="436">
        <v>0</v>
      </c>
      <c r="FE281" s="365">
        <v>0</v>
      </c>
      <c r="FF281" s="364">
        <v>0</v>
      </c>
      <c r="FG281" s="364">
        <v>0</v>
      </c>
      <c r="FH281" s="364">
        <v>0</v>
      </c>
      <c r="FI281" s="365">
        <v>0</v>
      </c>
      <c r="FJ281" s="365">
        <v>0</v>
      </c>
      <c r="FK281" s="365">
        <v>0</v>
      </c>
      <c r="FL281" s="365">
        <v>0</v>
      </c>
      <c r="FM281" s="365">
        <v>0</v>
      </c>
      <c r="FN281" s="365">
        <v>0</v>
      </c>
      <c r="FO281" s="365">
        <v>0</v>
      </c>
      <c r="FP281" s="365">
        <v>0</v>
      </c>
      <c r="FQ281" s="365">
        <v>0</v>
      </c>
      <c r="FR281" s="365">
        <v>0</v>
      </c>
      <c r="FS281" s="365">
        <v>0</v>
      </c>
      <c r="FT281" s="365">
        <v>0</v>
      </c>
      <c r="FU281" s="436">
        <v>0</v>
      </c>
      <c r="FV281" s="436">
        <v>0</v>
      </c>
      <c r="FW281" s="436">
        <v>0</v>
      </c>
      <c r="FX281" s="436">
        <v>0</v>
      </c>
      <c r="FY281" s="365">
        <v>0</v>
      </c>
      <c r="FZ281" s="436">
        <v>0</v>
      </c>
      <c r="GA281" s="436">
        <v>0</v>
      </c>
      <c r="GB281" s="436">
        <v>0</v>
      </c>
      <c r="GC281" s="436">
        <v>0</v>
      </c>
      <c r="GD281" s="365">
        <v>0</v>
      </c>
    </row>
    <row r="282" spans="1:186" ht="15" x14ac:dyDescent="0.25">
      <c r="A282" s="357">
        <v>120</v>
      </c>
      <c r="B282" s="357">
        <v>97</v>
      </c>
      <c r="C282" s="357" t="s">
        <v>1192</v>
      </c>
      <c r="D282" s="2">
        <v>99712</v>
      </c>
      <c r="E282" s="268" t="s">
        <v>19</v>
      </c>
      <c r="F282" s="358" t="s">
        <v>915</v>
      </c>
      <c r="G282" s="49">
        <v>59</v>
      </c>
      <c r="H282" s="49">
        <v>23</v>
      </c>
      <c r="I282" s="49">
        <v>22</v>
      </c>
      <c r="J282" s="49">
        <v>1</v>
      </c>
      <c r="K282" s="49">
        <v>0</v>
      </c>
      <c r="L282" s="49">
        <v>40</v>
      </c>
      <c r="M282" s="49">
        <v>40</v>
      </c>
      <c r="N282" s="49">
        <v>0</v>
      </c>
      <c r="O282" s="49">
        <v>0</v>
      </c>
      <c r="P282" s="49">
        <v>0</v>
      </c>
      <c r="Q282" s="49">
        <v>40</v>
      </c>
      <c r="R282" s="49">
        <v>0</v>
      </c>
      <c r="S282" s="49">
        <v>2665.0250000000001</v>
      </c>
      <c r="T282" s="49">
        <v>2665.0250000000001</v>
      </c>
      <c r="U282" s="49">
        <v>0</v>
      </c>
      <c r="V282" s="49">
        <v>0</v>
      </c>
      <c r="W282" s="49">
        <v>0</v>
      </c>
      <c r="X282" s="49">
        <v>2665.0250000000001</v>
      </c>
      <c r="Y282" s="434">
        <v>106601</v>
      </c>
      <c r="Z282" s="434">
        <v>0</v>
      </c>
      <c r="AA282" s="49">
        <v>0</v>
      </c>
      <c r="AB282" s="49">
        <v>23</v>
      </c>
      <c r="AC282" s="49">
        <v>0</v>
      </c>
      <c r="AD282" s="285">
        <v>0</v>
      </c>
      <c r="AE282" s="285">
        <v>0</v>
      </c>
      <c r="AF282" s="359">
        <v>23</v>
      </c>
      <c r="AG282" s="360">
        <v>0</v>
      </c>
      <c r="AH282" s="360">
        <v>22</v>
      </c>
      <c r="AI282" s="361">
        <v>22</v>
      </c>
      <c r="AJ282" s="360">
        <v>0</v>
      </c>
      <c r="AK282" s="360">
        <v>0</v>
      </c>
      <c r="AL282" s="360">
        <v>20.909627638351978</v>
      </c>
      <c r="AM282" s="360">
        <v>20.909627638351978</v>
      </c>
      <c r="AN282" s="360">
        <v>0</v>
      </c>
      <c r="AO282" s="360">
        <v>0</v>
      </c>
      <c r="AP282" s="360">
        <v>20.073990428534003</v>
      </c>
      <c r="AQ282" s="360">
        <v>20.073990428534003</v>
      </c>
      <c r="AR282" s="360">
        <v>0</v>
      </c>
      <c r="AS282" s="360">
        <v>0</v>
      </c>
      <c r="AT282" s="360">
        <v>0</v>
      </c>
      <c r="AU282" s="360">
        <v>19.009240346718826</v>
      </c>
      <c r="AV282" s="360">
        <v>19.936803588785931</v>
      </c>
      <c r="AW282" s="360">
        <v>20.909627638351978</v>
      </c>
      <c r="AX282" s="360">
        <v>21.929921014041422</v>
      </c>
      <c r="AY282" s="360">
        <v>23</v>
      </c>
      <c r="AZ282" s="360">
        <v>18.316595078403399</v>
      </c>
      <c r="BA282" s="360">
        <v>19.175170254451533</v>
      </c>
      <c r="BB282" s="360">
        <v>20.073990428534003</v>
      </c>
      <c r="BC282" s="360">
        <v>21.014942051496313</v>
      </c>
      <c r="BD282" s="360">
        <v>22</v>
      </c>
      <c r="BE282" s="360">
        <v>0</v>
      </c>
      <c r="BF282" s="360">
        <v>0</v>
      </c>
      <c r="BG282" s="360">
        <v>0</v>
      </c>
      <c r="BH282" s="360">
        <v>0</v>
      </c>
      <c r="BI282" s="360">
        <v>0</v>
      </c>
      <c r="BJ282" s="362">
        <v>23.212954676656004</v>
      </c>
      <c r="BK282" s="362">
        <v>23.427881079151565</v>
      </c>
      <c r="BL282" s="362">
        <v>23.644797463497046</v>
      </c>
      <c r="BM282" s="363">
        <v>23.489343294215502</v>
      </c>
      <c r="BN282" s="363">
        <v>23.334911167892212</v>
      </c>
      <c r="BO282" s="363">
        <v>23.260395243509155</v>
      </c>
      <c r="BP282" s="363">
        <v>23.186117272591904</v>
      </c>
      <c r="BQ282" s="363">
        <v>23.112076495278018</v>
      </c>
      <c r="BR282" s="363">
        <v>23.038272154131551</v>
      </c>
      <c r="BS282" s="363">
        <v>22.964703494135293</v>
      </c>
      <c r="BT282" s="363">
        <v>23.134572667140624</v>
      </c>
      <c r="BU282" s="363">
        <v>23.305698356954235</v>
      </c>
      <c r="BV282" s="363">
        <v>23.478089857990533</v>
      </c>
      <c r="BW282" s="363">
        <v>23.651756533414421</v>
      </c>
      <c r="BX282" s="363">
        <v>23.826707815649808</v>
      </c>
      <c r="BY282" s="435">
        <v>23.922748911844895</v>
      </c>
      <c r="BZ282" s="435">
        <v>24.018790008039979</v>
      </c>
      <c r="CA282" s="435">
        <v>24.114831104235066</v>
      </c>
      <c r="CB282" s="435">
        <v>24.210872200430149</v>
      </c>
      <c r="CC282" s="363">
        <v>24.306913296625236</v>
      </c>
      <c r="CD282" s="435">
        <v>24.385638608974311</v>
      </c>
      <c r="CE282" s="435">
        <v>24.464363921323386</v>
      </c>
      <c r="CF282" s="435">
        <v>24.543089233672461</v>
      </c>
      <c r="CG282" s="435">
        <v>24.621814546021536</v>
      </c>
      <c r="CH282" s="363">
        <v>24.700539858370611</v>
      </c>
      <c r="CI282" s="362">
        <v>22.203695777670962</v>
      </c>
      <c r="CJ282" s="362">
        <v>22.409277553971062</v>
      </c>
      <c r="CK282" s="362">
        <v>22.616762791171087</v>
      </c>
      <c r="CL282" s="363">
        <v>22.468067498814825</v>
      </c>
      <c r="CM282" s="363">
        <v>22.320349812766462</v>
      </c>
      <c r="CN282" s="363">
        <v>22.249073711182668</v>
      </c>
      <c r="CO282" s="363">
        <v>22.178025217261819</v>
      </c>
      <c r="CP282" s="363">
        <v>22.107203604178974</v>
      </c>
      <c r="CQ282" s="363">
        <v>22.036608147430179</v>
      </c>
      <c r="CR282" s="363">
        <v>21.966238124825061</v>
      </c>
      <c r="CS282" s="363">
        <v>22.12872168161277</v>
      </c>
      <c r="CT282" s="363">
        <v>22.29240712404318</v>
      </c>
      <c r="CU282" s="363">
        <v>22.457303342425725</v>
      </c>
      <c r="CV282" s="363">
        <v>22.623419292831187</v>
      </c>
      <c r="CW282" s="363">
        <v>22.790763997578075</v>
      </c>
      <c r="CX282" s="435">
        <v>22.882629393938593</v>
      </c>
      <c r="CY282" s="435">
        <v>22.974494790299111</v>
      </c>
      <c r="CZ282" s="435">
        <v>23.066360186659626</v>
      </c>
      <c r="DA282" s="435">
        <v>23.158225583020144</v>
      </c>
      <c r="DB282" s="363">
        <v>23.250090979380662</v>
      </c>
      <c r="DC282" s="435">
        <v>23.325393452062386</v>
      </c>
      <c r="DD282" s="435">
        <v>23.40069592474411</v>
      </c>
      <c r="DE282" s="435">
        <v>23.475998397425833</v>
      </c>
      <c r="DF282" s="435">
        <v>23.551300870107557</v>
      </c>
      <c r="DG282" s="363">
        <v>23.626603342789281</v>
      </c>
      <c r="DH282" s="362">
        <v>0</v>
      </c>
      <c r="DI282" s="362">
        <v>0</v>
      </c>
      <c r="DJ282" s="362">
        <v>0</v>
      </c>
      <c r="DK282" s="363">
        <v>0</v>
      </c>
      <c r="DL282" s="363">
        <v>0</v>
      </c>
      <c r="DM282" s="363">
        <v>0</v>
      </c>
      <c r="DN282" s="363">
        <v>0</v>
      </c>
      <c r="DO282" s="363">
        <v>0</v>
      </c>
      <c r="DP282" s="363">
        <v>0</v>
      </c>
      <c r="DQ282" s="363">
        <v>0</v>
      </c>
      <c r="DR282" s="363">
        <v>0</v>
      </c>
      <c r="DS282" s="363">
        <v>0</v>
      </c>
      <c r="DT282" s="363">
        <v>0</v>
      </c>
      <c r="DU282" s="363">
        <v>0</v>
      </c>
      <c r="DV282" s="363">
        <v>0</v>
      </c>
      <c r="DW282" s="435">
        <v>0</v>
      </c>
      <c r="DX282" s="435">
        <v>0</v>
      </c>
      <c r="DY282" s="435">
        <v>0</v>
      </c>
      <c r="DZ282" s="435">
        <v>0</v>
      </c>
      <c r="EA282" s="363">
        <v>0</v>
      </c>
      <c r="EB282" s="435">
        <v>0</v>
      </c>
      <c r="EC282" s="435">
        <v>0</v>
      </c>
      <c r="ED282" s="435">
        <v>0</v>
      </c>
      <c r="EE282" s="435">
        <v>0</v>
      </c>
      <c r="EF282" s="363">
        <v>0</v>
      </c>
      <c r="EG282" s="364">
        <v>0</v>
      </c>
      <c r="EH282" s="364">
        <v>0</v>
      </c>
      <c r="EI282" s="364">
        <v>0</v>
      </c>
      <c r="EJ282" s="365">
        <v>0</v>
      </c>
      <c r="EK282" s="365">
        <v>0</v>
      </c>
      <c r="EL282" s="365">
        <v>0</v>
      </c>
      <c r="EM282" s="365">
        <v>0</v>
      </c>
      <c r="EN282" s="365">
        <v>0</v>
      </c>
      <c r="EO282" s="365">
        <v>0</v>
      </c>
      <c r="EP282" s="365">
        <v>0</v>
      </c>
      <c r="EQ282" s="365">
        <v>0</v>
      </c>
      <c r="ER282" s="365">
        <v>0</v>
      </c>
      <c r="ES282" s="365">
        <v>0</v>
      </c>
      <c r="ET282" s="365">
        <v>0</v>
      </c>
      <c r="EU282" s="365">
        <v>0</v>
      </c>
      <c r="EV282" s="436">
        <v>0</v>
      </c>
      <c r="EW282" s="436">
        <v>0</v>
      </c>
      <c r="EX282" s="436">
        <v>0</v>
      </c>
      <c r="EY282" s="436">
        <v>0</v>
      </c>
      <c r="EZ282" s="365">
        <v>0</v>
      </c>
      <c r="FA282" s="436">
        <v>0</v>
      </c>
      <c r="FB282" s="436">
        <v>0</v>
      </c>
      <c r="FC282" s="436">
        <v>0</v>
      </c>
      <c r="FD282" s="436">
        <v>0</v>
      </c>
      <c r="FE282" s="365">
        <v>0</v>
      </c>
      <c r="FF282" s="364">
        <v>0</v>
      </c>
      <c r="FG282" s="364">
        <v>0</v>
      </c>
      <c r="FH282" s="364">
        <v>0</v>
      </c>
      <c r="FI282" s="365">
        <v>0</v>
      </c>
      <c r="FJ282" s="365">
        <v>0</v>
      </c>
      <c r="FK282" s="365">
        <v>0</v>
      </c>
      <c r="FL282" s="365">
        <v>0</v>
      </c>
      <c r="FM282" s="365">
        <v>0</v>
      </c>
      <c r="FN282" s="365">
        <v>0</v>
      </c>
      <c r="FO282" s="365">
        <v>0</v>
      </c>
      <c r="FP282" s="365">
        <v>0</v>
      </c>
      <c r="FQ282" s="365">
        <v>0</v>
      </c>
      <c r="FR282" s="365">
        <v>0</v>
      </c>
      <c r="FS282" s="365">
        <v>0</v>
      </c>
      <c r="FT282" s="365">
        <v>0</v>
      </c>
      <c r="FU282" s="436">
        <v>0</v>
      </c>
      <c r="FV282" s="436">
        <v>0</v>
      </c>
      <c r="FW282" s="436">
        <v>0</v>
      </c>
      <c r="FX282" s="436">
        <v>0</v>
      </c>
      <c r="FY282" s="365">
        <v>0</v>
      </c>
      <c r="FZ282" s="436">
        <v>0</v>
      </c>
      <c r="GA282" s="436">
        <v>0</v>
      </c>
      <c r="GB282" s="436">
        <v>0</v>
      </c>
      <c r="GC282" s="436">
        <v>0</v>
      </c>
      <c r="GD282" s="365">
        <v>0</v>
      </c>
    </row>
    <row r="283" spans="1:186" ht="15" x14ac:dyDescent="0.25">
      <c r="A283" s="357">
        <v>122</v>
      </c>
      <c r="B283" s="357">
        <v>97</v>
      </c>
      <c r="C283" s="357" t="s">
        <v>1193</v>
      </c>
      <c r="D283" s="2">
        <v>99712</v>
      </c>
      <c r="E283" s="268" t="s">
        <v>19</v>
      </c>
      <c r="F283" s="358" t="s">
        <v>915</v>
      </c>
      <c r="G283" s="49">
        <v>100</v>
      </c>
      <c r="H283" s="49">
        <v>55</v>
      </c>
      <c r="I283" s="49">
        <v>48</v>
      </c>
      <c r="J283" s="49">
        <v>7</v>
      </c>
      <c r="K283" s="49">
        <v>0</v>
      </c>
      <c r="L283" s="49">
        <v>4</v>
      </c>
      <c r="M283" s="49">
        <v>4</v>
      </c>
      <c r="N283" s="49">
        <v>0</v>
      </c>
      <c r="O283" s="49">
        <v>0</v>
      </c>
      <c r="P283" s="49">
        <v>0</v>
      </c>
      <c r="Q283" s="49">
        <v>4</v>
      </c>
      <c r="R283" s="49">
        <v>0</v>
      </c>
      <c r="S283" s="49">
        <v>1750</v>
      </c>
      <c r="T283" s="49">
        <v>1750</v>
      </c>
      <c r="U283" s="49">
        <v>0</v>
      </c>
      <c r="V283" s="49">
        <v>0</v>
      </c>
      <c r="W283" s="49">
        <v>0</v>
      </c>
      <c r="X283" s="49">
        <v>1750</v>
      </c>
      <c r="Y283" s="434">
        <v>7000</v>
      </c>
      <c r="Z283" s="434">
        <v>0</v>
      </c>
      <c r="AA283" s="49">
        <v>0</v>
      </c>
      <c r="AB283" s="49">
        <v>55</v>
      </c>
      <c r="AC283" s="49">
        <v>0</v>
      </c>
      <c r="AD283" s="285">
        <v>0</v>
      </c>
      <c r="AE283" s="285">
        <v>0</v>
      </c>
      <c r="AF283" s="359">
        <v>55</v>
      </c>
      <c r="AG283" s="360">
        <v>0</v>
      </c>
      <c r="AH283" s="360">
        <v>48</v>
      </c>
      <c r="AI283" s="361">
        <v>48</v>
      </c>
      <c r="AJ283" s="360">
        <v>0</v>
      </c>
      <c r="AK283" s="360">
        <v>0</v>
      </c>
      <c r="AL283" s="360">
        <v>50.001283483015605</v>
      </c>
      <c r="AM283" s="360">
        <v>50.001283483015605</v>
      </c>
      <c r="AN283" s="360">
        <v>0</v>
      </c>
      <c r="AO283" s="360">
        <v>0</v>
      </c>
      <c r="AP283" s="360">
        <v>43.797797298619642</v>
      </c>
      <c r="AQ283" s="360">
        <v>43.797797298619642</v>
      </c>
      <c r="AR283" s="360">
        <v>0</v>
      </c>
      <c r="AS283" s="360">
        <v>0</v>
      </c>
      <c r="AT283" s="360">
        <v>0</v>
      </c>
      <c r="AU283" s="360">
        <v>45.4568790899798</v>
      </c>
      <c r="AV283" s="360">
        <v>47.674965103618533</v>
      </c>
      <c r="AW283" s="360">
        <v>50.001283483015605</v>
      </c>
      <c r="AX283" s="360">
        <v>52.441115468359925</v>
      </c>
      <c r="AY283" s="360">
        <v>55</v>
      </c>
      <c r="AZ283" s="360">
        <v>39.96348017106196</v>
      </c>
      <c r="BA283" s="360">
        <v>41.836735100621524</v>
      </c>
      <c r="BB283" s="360">
        <v>43.797797298619642</v>
      </c>
      <c r="BC283" s="360">
        <v>45.850782657810136</v>
      </c>
      <c r="BD283" s="360">
        <v>48</v>
      </c>
      <c r="BE283" s="360">
        <v>0</v>
      </c>
      <c r="BF283" s="360">
        <v>0</v>
      </c>
      <c r="BG283" s="360">
        <v>0</v>
      </c>
      <c r="BH283" s="360">
        <v>0</v>
      </c>
      <c r="BI283" s="360">
        <v>0</v>
      </c>
      <c r="BJ283" s="362">
        <v>55.696177585612965</v>
      </c>
      <c r="BK283" s="362">
        <v>56.401167229966099</v>
      </c>
      <c r="BL283" s="362">
        <v>57.115080474109931</v>
      </c>
      <c r="BM283" s="363">
        <v>56.739573878958986</v>
      </c>
      <c r="BN283" s="363">
        <v>56.366536074919452</v>
      </c>
      <c r="BO283" s="363">
        <v>56.186539480560313</v>
      </c>
      <c r="BP283" s="363">
        <v>56.007117673588112</v>
      </c>
      <c r="BQ283" s="363">
        <v>55.828268818520662</v>
      </c>
      <c r="BR283" s="363">
        <v>55.649991085737092</v>
      </c>
      <c r="BS283" s="363">
        <v>55.472282651459075</v>
      </c>
      <c r="BT283" s="363">
        <v>55.882609341770049</v>
      </c>
      <c r="BU283" s="363">
        <v>56.295971205409643</v>
      </c>
      <c r="BV283" s="363">
        <v>56.712390693457337</v>
      </c>
      <c r="BW283" s="363">
        <v>57.131890423062529</v>
      </c>
      <c r="BX283" s="363">
        <v>57.554493178672892</v>
      </c>
      <c r="BY283" s="435">
        <v>57.786484801628106</v>
      </c>
      <c r="BZ283" s="435">
        <v>58.018476424583326</v>
      </c>
      <c r="CA283" s="435">
        <v>58.25046804753854</v>
      </c>
      <c r="CB283" s="435">
        <v>58.48245967049376</v>
      </c>
      <c r="CC283" s="363">
        <v>58.714451293448974</v>
      </c>
      <c r="CD283" s="435">
        <v>58.904615855319655</v>
      </c>
      <c r="CE283" s="435">
        <v>59.094780417190336</v>
      </c>
      <c r="CF283" s="435">
        <v>59.284944979061009</v>
      </c>
      <c r="CG283" s="435">
        <v>59.47510954093169</v>
      </c>
      <c r="CH283" s="363">
        <v>59.665274102802371</v>
      </c>
      <c r="CI283" s="362">
        <v>48.607573165625858</v>
      </c>
      <c r="CJ283" s="362">
        <v>49.222836855243145</v>
      </c>
      <c r="CK283" s="362">
        <v>49.84588841376867</v>
      </c>
      <c r="CL283" s="363">
        <v>49.518173567091488</v>
      </c>
      <c r="CM283" s="363">
        <v>49.19261330174789</v>
      </c>
      <c r="CN283" s="363">
        <v>49.035525364852639</v>
      </c>
      <c r="CO283" s="363">
        <v>48.878939060585992</v>
      </c>
      <c r="CP283" s="363">
        <v>48.722852787072583</v>
      </c>
      <c r="CQ283" s="363">
        <v>48.567264947552374</v>
      </c>
      <c r="CR283" s="363">
        <v>48.412173950364291</v>
      </c>
      <c r="CS283" s="363">
        <v>48.770277243726589</v>
      </c>
      <c r="CT283" s="363">
        <v>49.131029415630238</v>
      </c>
      <c r="CU283" s="363">
        <v>49.494450059744587</v>
      </c>
      <c r="CV283" s="363">
        <v>49.860558914672751</v>
      </c>
      <c r="CW283" s="363">
        <v>50.22937586502362</v>
      </c>
      <c r="CX283" s="435">
        <v>50.431841281420901</v>
      </c>
      <c r="CY283" s="435">
        <v>50.634306697818175</v>
      </c>
      <c r="CZ283" s="435">
        <v>50.836772114215456</v>
      </c>
      <c r="DA283" s="435">
        <v>51.039237530612731</v>
      </c>
      <c r="DB283" s="363">
        <v>51.241702947010012</v>
      </c>
      <c r="DC283" s="435">
        <v>51.407664746460789</v>
      </c>
      <c r="DD283" s="435">
        <v>51.573626545911566</v>
      </c>
      <c r="DE283" s="435">
        <v>51.739588345362336</v>
      </c>
      <c r="DF283" s="435">
        <v>51.905550144813112</v>
      </c>
      <c r="DG283" s="363">
        <v>52.071511944263889</v>
      </c>
      <c r="DH283" s="362">
        <v>0</v>
      </c>
      <c r="DI283" s="362">
        <v>0</v>
      </c>
      <c r="DJ283" s="362">
        <v>0</v>
      </c>
      <c r="DK283" s="363">
        <v>0</v>
      </c>
      <c r="DL283" s="363">
        <v>0</v>
      </c>
      <c r="DM283" s="363">
        <v>0</v>
      </c>
      <c r="DN283" s="363">
        <v>0</v>
      </c>
      <c r="DO283" s="363">
        <v>0</v>
      </c>
      <c r="DP283" s="363">
        <v>0</v>
      </c>
      <c r="DQ283" s="363">
        <v>0</v>
      </c>
      <c r="DR283" s="363">
        <v>0</v>
      </c>
      <c r="DS283" s="363">
        <v>0</v>
      </c>
      <c r="DT283" s="363">
        <v>0</v>
      </c>
      <c r="DU283" s="363">
        <v>0</v>
      </c>
      <c r="DV283" s="363">
        <v>0</v>
      </c>
      <c r="DW283" s="435">
        <v>0</v>
      </c>
      <c r="DX283" s="435">
        <v>0</v>
      </c>
      <c r="DY283" s="435">
        <v>0</v>
      </c>
      <c r="DZ283" s="435">
        <v>0</v>
      </c>
      <c r="EA283" s="363">
        <v>0</v>
      </c>
      <c r="EB283" s="435">
        <v>0</v>
      </c>
      <c r="EC283" s="435">
        <v>0</v>
      </c>
      <c r="ED283" s="435">
        <v>0</v>
      </c>
      <c r="EE283" s="435">
        <v>0</v>
      </c>
      <c r="EF283" s="363">
        <v>0</v>
      </c>
      <c r="EG283" s="364">
        <v>0</v>
      </c>
      <c r="EH283" s="364">
        <v>0</v>
      </c>
      <c r="EI283" s="364">
        <v>0</v>
      </c>
      <c r="EJ283" s="365">
        <v>0</v>
      </c>
      <c r="EK283" s="365">
        <v>0</v>
      </c>
      <c r="EL283" s="365">
        <v>0</v>
      </c>
      <c r="EM283" s="365">
        <v>0</v>
      </c>
      <c r="EN283" s="365">
        <v>0</v>
      </c>
      <c r="EO283" s="365">
        <v>0</v>
      </c>
      <c r="EP283" s="365">
        <v>0</v>
      </c>
      <c r="EQ283" s="365">
        <v>0</v>
      </c>
      <c r="ER283" s="365">
        <v>0</v>
      </c>
      <c r="ES283" s="365">
        <v>0</v>
      </c>
      <c r="ET283" s="365">
        <v>0</v>
      </c>
      <c r="EU283" s="365">
        <v>0</v>
      </c>
      <c r="EV283" s="436">
        <v>0</v>
      </c>
      <c r="EW283" s="436">
        <v>0</v>
      </c>
      <c r="EX283" s="436">
        <v>0</v>
      </c>
      <c r="EY283" s="436">
        <v>0</v>
      </c>
      <c r="EZ283" s="365">
        <v>0</v>
      </c>
      <c r="FA283" s="436">
        <v>0</v>
      </c>
      <c r="FB283" s="436">
        <v>0</v>
      </c>
      <c r="FC283" s="436">
        <v>0</v>
      </c>
      <c r="FD283" s="436">
        <v>0</v>
      </c>
      <c r="FE283" s="365">
        <v>0</v>
      </c>
      <c r="FF283" s="364">
        <v>0</v>
      </c>
      <c r="FG283" s="364">
        <v>0</v>
      </c>
      <c r="FH283" s="364">
        <v>0</v>
      </c>
      <c r="FI283" s="365">
        <v>0</v>
      </c>
      <c r="FJ283" s="365">
        <v>0</v>
      </c>
      <c r="FK283" s="365">
        <v>0</v>
      </c>
      <c r="FL283" s="365">
        <v>0</v>
      </c>
      <c r="FM283" s="365">
        <v>0</v>
      </c>
      <c r="FN283" s="365">
        <v>0</v>
      </c>
      <c r="FO283" s="365">
        <v>0</v>
      </c>
      <c r="FP283" s="365">
        <v>0</v>
      </c>
      <c r="FQ283" s="365">
        <v>0</v>
      </c>
      <c r="FR283" s="365">
        <v>0</v>
      </c>
      <c r="FS283" s="365">
        <v>0</v>
      </c>
      <c r="FT283" s="365">
        <v>0</v>
      </c>
      <c r="FU283" s="436">
        <v>0</v>
      </c>
      <c r="FV283" s="436">
        <v>0</v>
      </c>
      <c r="FW283" s="436">
        <v>0</v>
      </c>
      <c r="FX283" s="436">
        <v>0</v>
      </c>
      <c r="FY283" s="365">
        <v>0</v>
      </c>
      <c r="FZ283" s="436">
        <v>0</v>
      </c>
      <c r="GA283" s="436">
        <v>0</v>
      </c>
      <c r="GB283" s="436">
        <v>0</v>
      </c>
      <c r="GC283" s="436">
        <v>0</v>
      </c>
      <c r="GD283" s="365">
        <v>0</v>
      </c>
    </row>
    <row r="284" spans="1:186" ht="15" x14ac:dyDescent="0.25">
      <c r="A284" s="357">
        <v>125</v>
      </c>
      <c r="B284" s="357">
        <v>97</v>
      </c>
      <c r="C284" s="357" t="s">
        <v>1194</v>
      </c>
      <c r="D284" s="2">
        <v>99712</v>
      </c>
      <c r="E284" s="268" t="s">
        <v>19</v>
      </c>
      <c r="F284" s="358" t="s">
        <v>915</v>
      </c>
      <c r="G284" s="49">
        <v>31</v>
      </c>
      <c r="H284" s="49">
        <v>17</v>
      </c>
      <c r="I284" s="49">
        <v>15</v>
      </c>
      <c r="J284" s="49">
        <v>2</v>
      </c>
      <c r="K284" s="49">
        <v>0</v>
      </c>
      <c r="L284" s="49">
        <v>0</v>
      </c>
      <c r="M284" s="49">
        <v>0</v>
      </c>
      <c r="N284" s="49">
        <v>0</v>
      </c>
      <c r="O284" s="49">
        <v>0</v>
      </c>
      <c r="P284" s="49">
        <v>0</v>
      </c>
      <c r="Q284" s="49">
        <v>0</v>
      </c>
      <c r="R284" s="49">
        <v>0</v>
      </c>
      <c r="S284" s="49">
        <v>834.49503068156923</v>
      </c>
      <c r="T284" s="49">
        <v>834.49503068156923</v>
      </c>
      <c r="U284" s="49">
        <v>1408.3846153846155</v>
      </c>
      <c r="V284" s="49">
        <v>0</v>
      </c>
      <c r="W284" s="49">
        <v>0</v>
      </c>
      <c r="X284" s="49">
        <v>1365.173957061457</v>
      </c>
      <c r="Y284" s="434">
        <v>0</v>
      </c>
      <c r="Z284" s="434">
        <v>0</v>
      </c>
      <c r="AA284" s="49">
        <v>0.38950970200970203</v>
      </c>
      <c r="AB284" s="49">
        <v>16.588400900900901</v>
      </c>
      <c r="AC284" s="49">
        <v>2.2089397089397091E-2</v>
      </c>
      <c r="AD284" s="285">
        <v>0</v>
      </c>
      <c r="AE284" s="285">
        <v>0</v>
      </c>
      <c r="AF284" s="359">
        <v>16.999999999999996</v>
      </c>
      <c r="AG284" s="360">
        <v>0.34368503118503119</v>
      </c>
      <c r="AH284" s="360">
        <v>14.636824324324325</v>
      </c>
      <c r="AI284" s="361">
        <v>14.980509355509355</v>
      </c>
      <c r="AJ284" s="360">
        <v>1.9490644490644492E-2</v>
      </c>
      <c r="AK284" s="360">
        <v>0.35410881871949168</v>
      </c>
      <c r="AL284" s="360">
        <v>15.080751563197406</v>
      </c>
      <c r="AM284" s="360">
        <v>15.434860381916899</v>
      </c>
      <c r="AN284" s="360">
        <v>2.0081785560651703E-2</v>
      </c>
      <c r="AO284" s="360">
        <v>0.31359681938357847</v>
      </c>
      <c r="AP284" s="360">
        <v>13.355430517755462</v>
      </c>
      <c r="AQ284" s="360">
        <v>13.66902733713904</v>
      </c>
      <c r="AR284" s="360">
        <v>1.7784318679598024E-2</v>
      </c>
      <c r="AS284" s="360">
        <v>0</v>
      </c>
      <c r="AT284" s="360">
        <v>0</v>
      </c>
      <c r="AU284" s="360">
        <v>14.03205144503624</v>
      </c>
      <c r="AV284" s="360">
        <v>14.7167508277476</v>
      </c>
      <c r="AW284" s="360">
        <v>15.434860381916897</v>
      </c>
      <c r="AX284" s="360">
        <v>16.188010369795037</v>
      </c>
      <c r="AY284" s="360">
        <v>16.977910602910601</v>
      </c>
      <c r="AZ284" s="360">
        <v>12.472360178777215</v>
      </c>
      <c r="BA284" s="360">
        <v>13.056991699558903</v>
      </c>
      <c r="BB284" s="360">
        <v>13.66902733713904</v>
      </c>
      <c r="BC284" s="360">
        <v>14.309751636723977</v>
      </c>
      <c r="BD284" s="360">
        <v>14.980509355509355</v>
      </c>
      <c r="BE284" s="360">
        <v>0</v>
      </c>
      <c r="BF284" s="360">
        <v>0</v>
      </c>
      <c r="BG284" s="360">
        <v>0</v>
      </c>
      <c r="BH284" s="360">
        <v>0</v>
      </c>
      <c r="BI284" s="360">
        <v>0</v>
      </c>
      <c r="BJ284" s="362">
        <v>17.192813163134002</v>
      </c>
      <c r="BK284" s="362">
        <v>17.410435911457736</v>
      </c>
      <c r="BL284" s="362">
        <v>17.630813279408788</v>
      </c>
      <c r="BM284" s="363">
        <v>17.514898417531043</v>
      </c>
      <c r="BN284" s="363">
        <v>17.399745645013052</v>
      </c>
      <c r="BO284" s="363">
        <v>17.34418262523382</v>
      </c>
      <c r="BP284" s="363">
        <v>17.288797036161334</v>
      </c>
      <c r="BQ284" s="363">
        <v>17.233588311201917</v>
      </c>
      <c r="BR284" s="363">
        <v>17.178555885571203</v>
      </c>
      <c r="BS284" s="363">
        <v>17.123699196288381</v>
      </c>
      <c r="BT284" s="363">
        <v>17.250362648399069</v>
      </c>
      <c r="BU284" s="363">
        <v>17.377963025990443</v>
      </c>
      <c r="BV284" s="363">
        <v>17.506507259470144</v>
      </c>
      <c r="BW284" s="363">
        <v>17.636002330509818</v>
      </c>
      <c r="BX284" s="363">
        <v>17.766455272424299</v>
      </c>
      <c r="BY284" s="435">
        <v>17.838068600336261</v>
      </c>
      <c r="BZ284" s="435">
        <v>17.909681928248219</v>
      </c>
      <c r="CA284" s="435">
        <v>17.98129525616018</v>
      </c>
      <c r="CB284" s="435">
        <v>18.052908584072139</v>
      </c>
      <c r="CC284" s="363">
        <v>18.1245219119841</v>
      </c>
      <c r="CD284" s="435">
        <v>18.183223674371046</v>
      </c>
      <c r="CE284" s="435">
        <v>18.241925436757992</v>
      </c>
      <c r="CF284" s="435">
        <v>18.300627199144941</v>
      </c>
      <c r="CG284" s="435">
        <v>18.359328961531887</v>
      </c>
      <c r="CH284" s="363">
        <v>18.418030723918832</v>
      </c>
      <c r="CI284" s="362">
        <v>15.170129261588826</v>
      </c>
      <c r="CJ284" s="362">
        <v>15.362149333639179</v>
      </c>
      <c r="CK284" s="362">
        <v>15.55659995241952</v>
      </c>
      <c r="CL284" s="363">
        <v>15.454322133115626</v>
      </c>
      <c r="CM284" s="363">
        <v>15.352716745599754</v>
      </c>
      <c r="CN284" s="363">
        <v>15.303690551676901</v>
      </c>
      <c r="CO284" s="363">
        <v>15.254820914260003</v>
      </c>
      <c r="CP284" s="363">
        <v>15.206107333413456</v>
      </c>
      <c r="CQ284" s="363">
        <v>15.157549310798123</v>
      </c>
      <c r="CR284" s="363">
        <v>15.109146349666219</v>
      </c>
      <c r="CS284" s="363">
        <v>15.22090821917565</v>
      </c>
      <c r="CT284" s="363">
        <v>15.333496787638627</v>
      </c>
      <c r="CU284" s="363">
        <v>15.446918170120716</v>
      </c>
      <c r="CV284" s="363">
        <v>15.561178526920429</v>
      </c>
      <c r="CW284" s="363">
        <v>15.676284063903793</v>
      </c>
      <c r="CX284" s="435">
        <v>15.739472294414346</v>
      </c>
      <c r="CY284" s="435">
        <v>15.802660524924899</v>
      </c>
      <c r="CZ284" s="435">
        <v>15.865848755435453</v>
      </c>
      <c r="DA284" s="435">
        <v>15.929036985946006</v>
      </c>
      <c r="DB284" s="363">
        <v>15.992225216456559</v>
      </c>
      <c r="DC284" s="435">
        <v>16.044020889150925</v>
      </c>
      <c r="DD284" s="435">
        <v>16.09581656184529</v>
      </c>
      <c r="DE284" s="435">
        <v>16.147612234539654</v>
      </c>
      <c r="DF284" s="435">
        <v>16.199407907234018</v>
      </c>
      <c r="DG284" s="363">
        <v>16.251203579928383</v>
      </c>
      <c r="DH284" s="362">
        <v>0</v>
      </c>
      <c r="DI284" s="362">
        <v>0</v>
      </c>
      <c r="DJ284" s="362">
        <v>0</v>
      </c>
      <c r="DK284" s="363">
        <v>0</v>
      </c>
      <c r="DL284" s="363">
        <v>0</v>
      </c>
      <c r="DM284" s="363">
        <v>0</v>
      </c>
      <c r="DN284" s="363">
        <v>0</v>
      </c>
      <c r="DO284" s="363">
        <v>0</v>
      </c>
      <c r="DP284" s="363">
        <v>0</v>
      </c>
      <c r="DQ284" s="363">
        <v>0</v>
      </c>
      <c r="DR284" s="363">
        <v>0</v>
      </c>
      <c r="DS284" s="363">
        <v>0</v>
      </c>
      <c r="DT284" s="363">
        <v>0</v>
      </c>
      <c r="DU284" s="363">
        <v>0</v>
      </c>
      <c r="DV284" s="363">
        <v>0</v>
      </c>
      <c r="DW284" s="435">
        <v>0</v>
      </c>
      <c r="DX284" s="435">
        <v>0</v>
      </c>
      <c r="DY284" s="435">
        <v>0</v>
      </c>
      <c r="DZ284" s="435">
        <v>0</v>
      </c>
      <c r="EA284" s="363">
        <v>0</v>
      </c>
      <c r="EB284" s="435">
        <v>0</v>
      </c>
      <c r="EC284" s="435">
        <v>0</v>
      </c>
      <c r="ED284" s="435">
        <v>0</v>
      </c>
      <c r="EE284" s="435">
        <v>0</v>
      </c>
      <c r="EF284" s="363">
        <v>0</v>
      </c>
      <c r="EG284" s="364">
        <v>2.23689996918215E-2</v>
      </c>
      <c r="EH284" s="364">
        <v>2.2652141440876575E-2</v>
      </c>
      <c r="EI284" s="364">
        <v>2.2938867134281539E-2</v>
      </c>
      <c r="EJ284" s="365">
        <v>2.2788054147191057E-2</v>
      </c>
      <c r="EK284" s="365">
        <v>2.2638232689322219E-2</v>
      </c>
      <c r="EL284" s="365">
        <v>2.2565941484821526E-2</v>
      </c>
      <c r="EM284" s="365">
        <v>2.2493881129535959E-2</v>
      </c>
      <c r="EN284" s="365">
        <v>2.2422050886289253E-2</v>
      </c>
      <c r="EO284" s="365">
        <v>2.2350450020259184E-2</v>
      </c>
      <c r="EP284" s="365">
        <v>2.2279077798970055E-2</v>
      </c>
      <c r="EQ284" s="365">
        <v>2.2443875420763822E-2</v>
      </c>
      <c r="ER284" s="365">
        <v>2.2609892045264698E-2</v>
      </c>
      <c r="ES284" s="365">
        <v>2.2777136689396495E-2</v>
      </c>
      <c r="ET284" s="365">
        <v>2.2945618436780928E-2</v>
      </c>
      <c r="EU284" s="365">
        <v>2.3115346438230943E-2</v>
      </c>
      <c r="EV284" s="436">
        <v>2.3208520166974059E-2</v>
      </c>
      <c r="EW284" s="436">
        <v>2.3301693895717176E-2</v>
      </c>
      <c r="EX284" s="436">
        <v>2.3394867624460296E-2</v>
      </c>
      <c r="EY284" s="436">
        <v>2.3488041353203412E-2</v>
      </c>
      <c r="EZ284" s="365">
        <v>2.3581215081946529E-2</v>
      </c>
      <c r="FA284" s="436">
        <v>2.3657590000482759E-2</v>
      </c>
      <c r="FB284" s="436">
        <v>2.3733964919018989E-2</v>
      </c>
      <c r="FC284" s="436">
        <v>2.3810339837555219E-2</v>
      </c>
      <c r="FD284" s="436">
        <v>2.388671475609145E-2</v>
      </c>
      <c r="FE284" s="365">
        <v>2.396308967462768E-2</v>
      </c>
      <c r="FF284" s="364">
        <v>0</v>
      </c>
      <c r="FG284" s="364">
        <v>0</v>
      </c>
      <c r="FH284" s="364">
        <v>0</v>
      </c>
      <c r="FI284" s="365">
        <v>0</v>
      </c>
      <c r="FJ284" s="365">
        <v>0</v>
      </c>
      <c r="FK284" s="365">
        <v>0</v>
      </c>
      <c r="FL284" s="365">
        <v>0</v>
      </c>
      <c r="FM284" s="365">
        <v>0</v>
      </c>
      <c r="FN284" s="365">
        <v>0</v>
      </c>
      <c r="FO284" s="365">
        <v>0</v>
      </c>
      <c r="FP284" s="365">
        <v>0</v>
      </c>
      <c r="FQ284" s="365">
        <v>0</v>
      </c>
      <c r="FR284" s="365">
        <v>0</v>
      </c>
      <c r="FS284" s="365">
        <v>0</v>
      </c>
      <c r="FT284" s="365">
        <v>0</v>
      </c>
      <c r="FU284" s="436">
        <v>0</v>
      </c>
      <c r="FV284" s="436">
        <v>0</v>
      </c>
      <c r="FW284" s="436">
        <v>0</v>
      </c>
      <c r="FX284" s="436">
        <v>0</v>
      </c>
      <c r="FY284" s="365">
        <v>0</v>
      </c>
      <c r="FZ284" s="436">
        <v>0</v>
      </c>
      <c r="GA284" s="436">
        <v>0</v>
      </c>
      <c r="GB284" s="436">
        <v>0</v>
      </c>
      <c r="GC284" s="436">
        <v>0</v>
      </c>
      <c r="GD284" s="365">
        <v>0</v>
      </c>
    </row>
    <row r="285" spans="1:186" ht="15" x14ac:dyDescent="0.25">
      <c r="A285" s="357">
        <v>129</v>
      </c>
      <c r="B285" s="357">
        <v>97</v>
      </c>
      <c r="C285" s="357" t="s">
        <v>1195</v>
      </c>
      <c r="D285" s="2">
        <v>99712</v>
      </c>
      <c r="E285" s="268" t="s">
        <v>19</v>
      </c>
      <c r="F285" s="358" t="s">
        <v>915</v>
      </c>
      <c r="G285" s="49">
        <v>14</v>
      </c>
      <c r="H285" s="49">
        <v>6</v>
      </c>
      <c r="I285" s="49">
        <v>6</v>
      </c>
      <c r="J285" s="49">
        <v>0</v>
      </c>
      <c r="K285" s="49">
        <v>0</v>
      </c>
      <c r="L285" s="49">
        <v>60</v>
      </c>
      <c r="M285" s="49">
        <v>60</v>
      </c>
      <c r="N285" s="49">
        <v>0</v>
      </c>
      <c r="O285" s="49">
        <v>0</v>
      </c>
      <c r="P285" s="49">
        <v>0</v>
      </c>
      <c r="Q285" s="49">
        <v>60</v>
      </c>
      <c r="R285" s="49">
        <v>0</v>
      </c>
      <c r="S285" s="49">
        <v>1559.2</v>
      </c>
      <c r="T285" s="49">
        <v>1559.2</v>
      </c>
      <c r="U285" s="49">
        <v>0</v>
      </c>
      <c r="V285" s="49">
        <v>0</v>
      </c>
      <c r="W285" s="49">
        <v>0</v>
      </c>
      <c r="X285" s="49">
        <v>1559.2</v>
      </c>
      <c r="Y285" s="434">
        <v>93552</v>
      </c>
      <c r="Z285" s="434">
        <v>0</v>
      </c>
      <c r="AA285" s="49">
        <v>0</v>
      </c>
      <c r="AB285" s="49">
        <v>6</v>
      </c>
      <c r="AC285" s="49">
        <v>0</v>
      </c>
      <c r="AD285" s="285">
        <v>0</v>
      </c>
      <c r="AE285" s="285">
        <v>0</v>
      </c>
      <c r="AF285" s="359">
        <v>6</v>
      </c>
      <c r="AG285" s="360">
        <v>0</v>
      </c>
      <c r="AH285" s="360">
        <v>6</v>
      </c>
      <c r="AI285" s="361">
        <v>6</v>
      </c>
      <c r="AJ285" s="360">
        <v>0</v>
      </c>
      <c r="AK285" s="360">
        <v>0</v>
      </c>
      <c r="AL285" s="360">
        <v>5.4546854708744297</v>
      </c>
      <c r="AM285" s="360">
        <v>5.4546854708744297</v>
      </c>
      <c r="AN285" s="360">
        <v>0</v>
      </c>
      <c r="AO285" s="360">
        <v>0</v>
      </c>
      <c r="AP285" s="360">
        <v>5.4747246623274552</v>
      </c>
      <c r="AQ285" s="360">
        <v>5.4747246623274552</v>
      </c>
      <c r="AR285" s="360">
        <v>0</v>
      </c>
      <c r="AS285" s="360">
        <v>0</v>
      </c>
      <c r="AT285" s="360">
        <v>0</v>
      </c>
      <c r="AU285" s="360">
        <v>4.9589322643614322</v>
      </c>
      <c r="AV285" s="360">
        <v>5.2009052840311121</v>
      </c>
      <c r="AW285" s="360">
        <v>5.4546854708744297</v>
      </c>
      <c r="AX285" s="360">
        <v>5.7208489601847186</v>
      </c>
      <c r="AY285" s="360">
        <v>6</v>
      </c>
      <c r="AZ285" s="360">
        <v>4.995435021382745</v>
      </c>
      <c r="BA285" s="360">
        <v>5.2295918875776906</v>
      </c>
      <c r="BB285" s="360">
        <v>5.4747246623274552</v>
      </c>
      <c r="BC285" s="360">
        <v>5.731347832226267</v>
      </c>
      <c r="BD285" s="360">
        <v>6</v>
      </c>
      <c r="BE285" s="360">
        <v>0</v>
      </c>
      <c r="BF285" s="360">
        <v>0</v>
      </c>
      <c r="BG285" s="360">
        <v>0</v>
      </c>
      <c r="BH285" s="360">
        <v>0</v>
      </c>
      <c r="BI285" s="360">
        <v>0</v>
      </c>
      <c r="BJ285" s="362">
        <v>6.0759466457032323</v>
      </c>
      <c r="BK285" s="362">
        <v>6.1528546069053931</v>
      </c>
      <c r="BL285" s="362">
        <v>6.2307360517210837</v>
      </c>
      <c r="BM285" s="363">
        <v>6.1897716958864359</v>
      </c>
      <c r="BN285" s="363">
        <v>6.1490766627184863</v>
      </c>
      <c r="BO285" s="363">
        <v>6.1294406706065798</v>
      </c>
      <c r="BP285" s="363">
        <v>6.109867382573249</v>
      </c>
      <c r="BQ285" s="363">
        <v>6.0903565983840728</v>
      </c>
      <c r="BR285" s="363">
        <v>6.0709081184440468</v>
      </c>
      <c r="BS285" s="363">
        <v>6.0515217437955364</v>
      </c>
      <c r="BT285" s="363">
        <v>6.0962846554658237</v>
      </c>
      <c r="BU285" s="363">
        <v>6.1413786769537797</v>
      </c>
      <c r="BV285" s="363">
        <v>6.1868062574680733</v>
      </c>
      <c r="BW285" s="363">
        <v>6.2325698643340939</v>
      </c>
      <c r="BX285" s="363">
        <v>6.2786719831279525</v>
      </c>
      <c r="BY285" s="435">
        <v>6.3039801601776126</v>
      </c>
      <c r="BZ285" s="435">
        <v>6.3292883372272719</v>
      </c>
      <c r="CA285" s="435">
        <v>6.3545965142769321</v>
      </c>
      <c r="CB285" s="435">
        <v>6.3799046913265913</v>
      </c>
      <c r="CC285" s="363">
        <v>6.4052128683762515</v>
      </c>
      <c r="CD285" s="435">
        <v>6.4259580933075986</v>
      </c>
      <c r="CE285" s="435">
        <v>6.4467033182389457</v>
      </c>
      <c r="CF285" s="435">
        <v>6.4674485431702919</v>
      </c>
      <c r="CG285" s="435">
        <v>6.4881937681016391</v>
      </c>
      <c r="CH285" s="363">
        <v>6.5089389930329862</v>
      </c>
      <c r="CI285" s="362">
        <v>6.0759466457032323</v>
      </c>
      <c r="CJ285" s="362">
        <v>6.1528546069053931</v>
      </c>
      <c r="CK285" s="362">
        <v>6.2307360517210837</v>
      </c>
      <c r="CL285" s="363">
        <v>6.1897716958864359</v>
      </c>
      <c r="CM285" s="363">
        <v>6.1490766627184863</v>
      </c>
      <c r="CN285" s="363">
        <v>6.1294406706065798</v>
      </c>
      <c r="CO285" s="363">
        <v>6.109867382573249</v>
      </c>
      <c r="CP285" s="363">
        <v>6.0903565983840728</v>
      </c>
      <c r="CQ285" s="363">
        <v>6.0709081184440468</v>
      </c>
      <c r="CR285" s="363">
        <v>6.0515217437955364</v>
      </c>
      <c r="CS285" s="363">
        <v>6.0962846554658237</v>
      </c>
      <c r="CT285" s="363">
        <v>6.1413786769537797</v>
      </c>
      <c r="CU285" s="363">
        <v>6.1868062574680733</v>
      </c>
      <c r="CV285" s="363">
        <v>6.2325698643340939</v>
      </c>
      <c r="CW285" s="363">
        <v>6.2786719831279525</v>
      </c>
      <c r="CX285" s="435">
        <v>6.3039801601776126</v>
      </c>
      <c r="CY285" s="435">
        <v>6.3292883372272719</v>
      </c>
      <c r="CZ285" s="435">
        <v>6.3545965142769321</v>
      </c>
      <c r="DA285" s="435">
        <v>6.3799046913265913</v>
      </c>
      <c r="DB285" s="363">
        <v>6.4052128683762515</v>
      </c>
      <c r="DC285" s="435">
        <v>6.4259580933075986</v>
      </c>
      <c r="DD285" s="435">
        <v>6.4467033182389457</v>
      </c>
      <c r="DE285" s="435">
        <v>6.4674485431702919</v>
      </c>
      <c r="DF285" s="435">
        <v>6.4881937681016391</v>
      </c>
      <c r="DG285" s="363">
        <v>6.5089389930329862</v>
      </c>
      <c r="DH285" s="362">
        <v>0</v>
      </c>
      <c r="DI285" s="362">
        <v>0</v>
      </c>
      <c r="DJ285" s="362">
        <v>0</v>
      </c>
      <c r="DK285" s="363">
        <v>0</v>
      </c>
      <c r="DL285" s="363">
        <v>0</v>
      </c>
      <c r="DM285" s="363">
        <v>0</v>
      </c>
      <c r="DN285" s="363">
        <v>0</v>
      </c>
      <c r="DO285" s="363">
        <v>0</v>
      </c>
      <c r="DP285" s="363">
        <v>0</v>
      </c>
      <c r="DQ285" s="363">
        <v>0</v>
      </c>
      <c r="DR285" s="363">
        <v>0</v>
      </c>
      <c r="DS285" s="363">
        <v>0</v>
      </c>
      <c r="DT285" s="363">
        <v>0</v>
      </c>
      <c r="DU285" s="363">
        <v>0</v>
      </c>
      <c r="DV285" s="363">
        <v>0</v>
      </c>
      <c r="DW285" s="435">
        <v>0</v>
      </c>
      <c r="DX285" s="435">
        <v>0</v>
      </c>
      <c r="DY285" s="435">
        <v>0</v>
      </c>
      <c r="DZ285" s="435">
        <v>0</v>
      </c>
      <c r="EA285" s="363">
        <v>0</v>
      </c>
      <c r="EB285" s="435">
        <v>0</v>
      </c>
      <c r="EC285" s="435">
        <v>0</v>
      </c>
      <c r="ED285" s="435">
        <v>0</v>
      </c>
      <c r="EE285" s="435">
        <v>0</v>
      </c>
      <c r="EF285" s="363">
        <v>0</v>
      </c>
      <c r="EG285" s="364">
        <v>0</v>
      </c>
      <c r="EH285" s="364">
        <v>0</v>
      </c>
      <c r="EI285" s="364">
        <v>0</v>
      </c>
      <c r="EJ285" s="365">
        <v>0</v>
      </c>
      <c r="EK285" s="365">
        <v>0</v>
      </c>
      <c r="EL285" s="365">
        <v>0</v>
      </c>
      <c r="EM285" s="365">
        <v>0</v>
      </c>
      <c r="EN285" s="365">
        <v>0</v>
      </c>
      <c r="EO285" s="365">
        <v>0</v>
      </c>
      <c r="EP285" s="365">
        <v>0</v>
      </c>
      <c r="EQ285" s="365">
        <v>0</v>
      </c>
      <c r="ER285" s="365">
        <v>0</v>
      </c>
      <c r="ES285" s="365">
        <v>0</v>
      </c>
      <c r="ET285" s="365">
        <v>0</v>
      </c>
      <c r="EU285" s="365">
        <v>0</v>
      </c>
      <c r="EV285" s="436">
        <v>0</v>
      </c>
      <c r="EW285" s="436">
        <v>0</v>
      </c>
      <c r="EX285" s="436">
        <v>0</v>
      </c>
      <c r="EY285" s="436">
        <v>0</v>
      </c>
      <c r="EZ285" s="365">
        <v>0</v>
      </c>
      <c r="FA285" s="436">
        <v>0</v>
      </c>
      <c r="FB285" s="436">
        <v>0</v>
      </c>
      <c r="FC285" s="436">
        <v>0</v>
      </c>
      <c r="FD285" s="436">
        <v>0</v>
      </c>
      <c r="FE285" s="365">
        <v>0</v>
      </c>
      <c r="FF285" s="364">
        <v>0</v>
      </c>
      <c r="FG285" s="364">
        <v>0</v>
      </c>
      <c r="FH285" s="364">
        <v>0</v>
      </c>
      <c r="FI285" s="365">
        <v>0</v>
      </c>
      <c r="FJ285" s="365">
        <v>0</v>
      </c>
      <c r="FK285" s="365">
        <v>0</v>
      </c>
      <c r="FL285" s="365">
        <v>0</v>
      </c>
      <c r="FM285" s="365">
        <v>0</v>
      </c>
      <c r="FN285" s="365">
        <v>0</v>
      </c>
      <c r="FO285" s="365">
        <v>0</v>
      </c>
      <c r="FP285" s="365">
        <v>0</v>
      </c>
      <c r="FQ285" s="365">
        <v>0</v>
      </c>
      <c r="FR285" s="365">
        <v>0</v>
      </c>
      <c r="FS285" s="365">
        <v>0</v>
      </c>
      <c r="FT285" s="365">
        <v>0</v>
      </c>
      <c r="FU285" s="436">
        <v>0</v>
      </c>
      <c r="FV285" s="436">
        <v>0</v>
      </c>
      <c r="FW285" s="436">
        <v>0</v>
      </c>
      <c r="FX285" s="436">
        <v>0</v>
      </c>
      <c r="FY285" s="365">
        <v>0</v>
      </c>
      <c r="FZ285" s="436">
        <v>0</v>
      </c>
      <c r="GA285" s="436">
        <v>0</v>
      </c>
      <c r="GB285" s="436">
        <v>0</v>
      </c>
      <c r="GC285" s="436">
        <v>0</v>
      </c>
      <c r="GD285" s="365">
        <v>0</v>
      </c>
    </row>
    <row r="286" spans="1:186" ht="15" x14ac:dyDescent="0.25">
      <c r="A286" s="357">
        <v>132</v>
      </c>
      <c r="B286" s="357">
        <v>97</v>
      </c>
      <c r="C286" s="357" t="s">
        <v>1196</v>
      </c>
      <c r="D286" s="2">
        <v>99712</v>
      </c>
      <c r="E286" s="268" t="s">
        <v>19</v>
      </c>
      <c r="F286" s="358" t="s">
        <v>915</v>
      </c>
      <c r="G286" s="49">
        <v>79</v>
      </c>
      <c r="H286" s="49">
        <v>43</v>
      </c>
      <c r="I286" s="49">
        <v>34</v>
      </c>
      <c r="J286" s="49">
        <v>9</v>
      </c>
      <c r="K286" s="49">
        <v>0</v>
      </c>
      <c r="L286" s="49">
        <v>34</v>
      </c>
      <c r="M286" s="49">
        <v>34</v>
      </c>
      <c r="N286" s="49">
        <v>0</v>
      </c>
      <c r="O286" s="49">
        <v>0</v>
      </c>
      <c r="P286" s="49">
        <v>0</v>
      </c>
      <c r="Q286" s="49">
        <v>34</v>
      </c>
      <c r="R286" s="49">
        <v>0</v>
      </c>
      <c r="S286" s="49">
        <v>1787.6764705882354</v>
      </c>
      <c r="T286" s="49">
        <v>1787.6764705882354</v>
      </c>
      <c r="U286" s="49">
        <v>0</v>
      </c>
      <c r="V286" s="49">
        <v>0</v>
      </c>
      <c r="W286" s="49">
        <v>0</v>
      </c>
      <c r="X286" s="49">
        <v>1787.6764705882354</v>
      </c>
      <c r="Y286" s="434">
        <v>60781</v>
      </c>
      <c r="Z286" s="434">
        <v>0</v>
      </c>
      <c r="AA286" s="49">
        <v>0</v>
      </c>
      <c r="AB286" s="49">
        <v>43</v>
      </c>
      <c r="AC286" s="49">
        <v>0</v>
      </c>
      <c r="AD286" s="285">
        <v>0</v>
      </c>
      <c r="AE286" s="285">
        <v>0</v>
      </c>
      <c r="AF286" s="359">
        <v>43</v>
      </c>
      <c r="AG286" s="360">
        <v>0</v>
      </c>
      <c r="AH286" s="360">
        <v>34</v>
      </c>
      <c r="AI286" s="361">
        <v>34</v>
      </c>
      <c r="AJ286" s="360">
        <v>0</v>
      </c>
      <c r="AK286" s="360">
        <v>0</v>
      </c>
      <c r="AL286" s="360">
        <v>39.091912541266744</v>
      </c>
      <c r="AM286" s="360">
        <v>39.091912541266744</v>
      </c>
      <c r="AN286" s="360">
        <v>0</v>
      </c>
      <c r="AO286" s="360">
        <v>0</v>
      </c>
      <c r="AP286" s="360">
        <v>31.023439753188914</v>
      </c>
      <c r="AQ286" s="360">
        <v>31.023439753188914</v>
      </c>
      <c r="AR286" s="360">
        <v>0</v>
      </c>
      <c r="AS286" s="360">
        <v>0</v>
      </c>
      <c r="AT286" s="360">
        <v>0</v>
      </c>
      <c r="AU286" s="360">
        <v>35.539014561256934</v>
      </c>
      <c r="AV286" s="360">
        <v>37.273154535556309</v>
      </c>
      <c r="AW286" s="360">
        <v>39.091912541266744</v>
      </c>
      <c r="AX286" s="360">
        <v>40.999417547990483</v>
      </c>
      <c r="AY286" s="360">
        <v>43</v>
      </c>
      <c r="AZ286" s="360">
        <v>28.307465121168889</v>
      </c>
      <c r="BA286" s="360">
        <v>29.634354029606914</v>
      </c>
      <c r="BB286" s="360">
        <v>31.023439753188914</v>
      </c>
      <c r="BC286" s="360">
        <v>32.477637715948852</v>
      </c>
      <c r="BD286" s="360">
        <v>34</v>
      </c>
      <c r="BE286" s="360">
        <v>0</v>
      </c>
      <c r="BF286" s="360">
        <v>0</v>
      </c>
      <c r="BG286" s="360">
        <v>0</v>
      </c>
      <c r="BH286" s="360">
        <v>0</v>
      </c>
      <c r="BI286" s="360">
        <v>0</v>
      </c>
      <c r="BJ286" s="362">
        <v>43.544284294206498</v>
      </c>
      <c r="BK286" s="362">
        <v>44.095458016155312</v>
      </c>
      <c r="BL286" s="362">
        <v>44.653608370667769</v>
      </c>
      <c r="BM286" s="363">
        <v>44.360030487186123</v>
      </c>
      <c r="BN286" s="363">
        <v>44.068382749482488</v>
      </c>
      <c r="BO286" s="363">
        <v>43.927658139347159</v>
      </c>
      <c r="BP286" s="363">
        <v>43.787382908441622</v>
      </c>
      <c r="BQ286" s="363">
        <v>43.647555621752524</v>
      </c>
      <c r="BR286" s="363">
        <v>43.508174848849002</v>
      </c>
      <c r="BS286" s="363">
        <v>43.369239163868009</v>
      </c>
      <c r="BT286" s="363">
        <v>43.690040030838411</v>
      </c>
      <c r="BU286" s="363">
        <v>44.013213851502087</v>
      </c>
      <c r="BV286" s="363">
        <v>44.338778178521196</v>
      </c>
      <c r="BW286" s="363">
        <v>44.666750694394345</v>
      </c>
      <c r="BX286" s="363">
        <v>44.997149212416993</v>
      </c>
      <c r="BY286" s="435">
        <v>45.178524481272888</v>
      </c>
      <c r="BZ286" s="435">
        <v>45.359899750128783</v>
      </c>
      <c r="CA286" s="435">
        <v>45.541275018984685</v>
      </c>
      <c r="CB286" s="435">
        <v>45.72265028784058</v>
      </c>
      <c r="CC286" s="363">
        <v>45.904025556696475</v>
      </c>
      <c r="CD286" s="435">
        <v>46.052699668704463</v>
      </c>
      <c r="CE286" s="435">
        <v>46.201373780712444</v>
      </c>
      <c r="CF286" s="435">
        <v>46.350047892720433</v>
      </c>
      <c r="CG286" s="435">
        <v>46.498722004728414</v>
      </c>
      <c r="CH286" s="363">
        <v>46.647396116736402</v>
      </c>
      <c r="CI286" s="362">
        <v>34.430364325651652</v>
      </c>
      <c r="CJ286" s="362">
        <v>34.866176105797223</v>
      </c>
      <c r="CK286" s="362">
        <v>35.30750429308614</v>
      </c>
      <c r="CL286" s="363">
        <v>35.07537294335647</v>
      </c>
      <c r="CM286" s="363">
        <v>34.844767755404753</v>
      </c>
      <c r="CN286" s="363">
        <v>34.73349713343729</v>
      </c>
      <c r="CO286" s="363">
        <v>34.622581834581744</v>
      </c>
      <c r="CP286" s="363">
        <v>34.512020724176409</v>
      </c>
      <c r="CQ286" s="363">
        <v>34.401812671182931</v>
      </c>
      <c r="CR286" s="363">
        <v>34.291956548174703</v>
      </c>
      <c r="CS286" s="363">
        <v>34.545613047639669</v>
      </c>
      <c r="CT286" s="363">
        <v>34.801145836071413</v>
      </c>
      <c r="CU286" s="363">
        <v>35.058568792319079</v>
      </c>
      <c r="CV286" s="363">
        <v>35.317895897893202</v>
      </c>
      <c r="CW286" s="363">
        <v>35.579141237725061</v>
      </c>
      <c r="CX286" s="435">
        <v>35.72255424100647</v>
      </c>
      <c r="CY286" s="435">
        <v>35.865967244287873</v>
      </c>
      <c r="CZ286" s="435">
        <v>36.009380247569283</v>
      </c>
      <c r="DA286" s="435">
        <v>36.152793250850685</v>
      </c>
      <c r="DB286" s="363">
        <v>36.296206254132095</v>
      </c>
      <c r="DC286" s="435">
        <v>36.413762528743057</v>
      </c>
      <c r="DD286" s="435">
        <v>36.531318803354026</v>
      </c>
      <c r="DE286" s="435">
        <v>36.648875077964988</v>
      </c>
      <c r="DF286" s="435">
        <v>36.766431352575957</v>
      </c>
      <c r="DG286" s="363">
        <v>36.883987627186919</v>
      </c>
      <c r="DH286" s="362">
        <v>0</v>
      </c>
      <c r="DI286" s="362">
        <v>0</v>
      </c>
      <c r="DJ286" s="362">
        <v>0</v>
      </c>
      <c r="DK286" s="363">
        <v>0</v>
      </c>
      <c r="DL286" s="363">
        <v>0</v>
      </c>
      <c r="DM286" s="363">
        <v>0</v>
      </c>
      <c r="DN286" s="363">
        <v>0</v>
      </c>
      <c r="DO286" s="363">
        <v>0</v>
      </c>
      <c r="DP286" s="363">
        <v>0</v>
      </c>
      <c r="DQ286" s="363">
        <v>0</v>
      </c>
      <c r="DR286" s="363">
        <v>0</v>
      </c>
      <c r="DS286" s="363">
        <v>0</v>
      </c>
      <c r="DT286" s="363">
        <v>0</v>
      </c>
      <c r="DU286" s="363">
        <v>0</v>
      </c>
      <c r="DV286" s="363">
        <v>0</v>
      </c>
      <c r="DW286" s="435">
        <v>0</v>
      </c>
      <c r="DX286" s="435">
        <v>0</v>
      </c>
      <c r="DY286" s="435">
        <v>0</v>
      </c>
      <c r="DZ286" s="435">
        <v>0</v>
      </c>
      <c r="EA286" s="363">
        <v>0</v>
      </c>
      <c r="EB286" s="435">
        <v>0</v>
      </c>
      <c r="EC286" s="435">
        <v>0</v>
      </c>
      <c r="ED286" s="435">
        <v>0</v>
      </c>
      <c r="EE286" s="435">
        <v>0</v>
      </c>
      <c r="EF286" s="363">
        <v>0</v>
      </c>
      <c r="EG286" s="364">
        <v>0</v>
      </c>
      <c r="EH286" s="364">
        <v>0</v>
      </c>
      <c r="EI286" s="364">
        <v>0</v>
      </c>
      <c r="EJ286" s="365">
        <v>0</v>
      </c>
      <c r="EK286" s="365">
        <v>0</v>
      </c>
      <c r="EL286" s="365">
        <v>0</v>
      </c>
      <c r="EM286" s="365">
        <v>0</v>
      </c>
      <c r="EN286" s="365">
        <v>0</v>
      </c>
      <c r="EO286" s="365">
        <v>0</v>
      </c>
      <c r="EP286" s="365">
        <v>0</v>
      </c>
      <c r="EQ286" s="365">
        <v>0</v>
      </c>
      <c r="ER286" s="365">
        <v>0</v>
      </c>
      <c r="ES286" s="365">
        <v>0</v>
      </c>
      <c r="ET286" s="365">
        <v>0</v>
      </c>
      <c r="EU286" s="365">
        <v>0</v>
      </c>
      <c r="EV286" s="436">
        <v>0</v>
      </c>
      <c r="EW286" s="436">
        <v>0</v>
      </c>
      <c r="EX286" s="436">
        <v>0</v>
      </c>
      <c r="EY286" s="436">
        <v>0</v>
      </c>
      <c r="EZ286" s="365">
        <v>0</v>
      </c>
      <c r="FA286" s="436">
        <v>0</v>
      </c>
      <c r="FB286" s="436">
        <v>0</v>
      </c>
      <c r="FC286" s="436">
        <v>0</v>
      </c>
      <c r="FD286" s="436">
        <v>0</v>
      </c>
      <c r="FE286" s="365">
        <v>0</v>
      </c>
      <c r="FF286" s="364">
        <v>0</v>
      </c>
      <c r="FG286" s="364">
        <v>0</v>
      </c>
      <c r="FH286" s="364">
        <v>0</v>
      </c>
      <c r="FI286" s="365">
        <v>0</v>
      </c>
      <c r="FJ286" s="365">
        <v>0</v>
      </c>
      <c r="FK286" s="365">
        <v>0</v>
      </c>
      <c r="FL286" s="365">
        <v>0</v>
      </c>
      <c r="FM286" s="365">
        <v>0</v>
      </c>
      <c r="FN286" s="365">
        <v>0</v>
      </c>
      <c r="FO286" s="365">
        <v>0</v>
      </c>
      <c r="FP286" s="365">
        <v>0</v>
      </c>
      <c r="FQ286" s="365">
        <v>0</v>
      </c>
      <c r="FR286" s="365">
        <v>0</v>
      </c>
      <c r="FS286" s="365">
        <v>0</v>
      </c>
      <c r="FT286" s="365">
        <v>0</v>
      </c>
      <c r="FU286" s="436">
        <v>0</v>
      </c>
      <c r="FV286" s="436">
        <v>0</v>
      </c>
      <c r="FW286" s="436">
        <v>0</v>
      </c>
      <c r="FX286" s="436">
        <v>0</v>
      </c>
      <c r="FY286" s="365">
        <v>0</v>
      </c>
      <c r="FZ286" s="436">
        <v>0</v>
      </c>
      <c r="GA286" s="436">
        <v>0</v>
      </c>
      <c r="GB286" s="436">
        <v>0</v>
      </c>
      <c r="GC286" s="436">
        <v>0</v>
      </c>
      <c r="GD286" s="365">
        <v>0</v>
      </c>
    </row>
    <row r="287" spans="1:186" ht="15" x14ac:dyDescent="0.25">
      <c r="A287" s="357">
        <v>133</v>
      </c>
      <c r="B287" s="357">
        <v>97</v>
      </c>
      <c r="C287" s="357" t="s">
        <v>1197</v>
      </c>
      <c r="D287" s="2">
        <v>99712</v>
      </c>
      <c r="E287" s="268" t="s">
        <v>19</v>
      </c>
      <c r="F287" s="358" t="s">
        <v>915</v>
      </c>
      <c r="G287" s="49">
        <v>14</v>
      </c>
      <c r="H287" s="49">
        <v>7</v>
      </c>
      <c r="I287" s="49">
        <v>5</v>
      </c>
      <c r="J287" s="49">
        <v>2</v>
      </c>
      <c r="K287" s="49">
        <v>0</v>
      </c>
      <c r="L287" s="49">
        <v>10</v>
      </c>
      <c r="M287" s="49">
        <v>10</v>
      </c>
      <c r="N287" s="49">
        <v>0</v>
      </c>
      <c r="O287" s="49">
        <v>0</v>
      </c>
      <c r="P287" s="49">
        <v>0</v>
      </c>
      <c r="Q287" s="49">
        <v>10</v>
      </c>
      <c r="R287" s="49">
        <v>0</v>
      </c>
      <c r="S287" s="49">
        <v>1791.7</v>
      </c>
      <c r="T287" s="49">
        <v>1791.7</v>
      </c>
      <c r="U287" s="49">
        <v>0</v>
      </c>
      <c r="V287" s="49">
        <v>0</v>
      </c>
      <c r="W287" s="49">
        <v>0</v>
      </c>
      <c r="X287" s="49">
        <v>1791.7</v>
      </c>
      <c r="Y287" s="434">
        <v>17917</v>
      </c>
      <c r="Z287" s="434">
        <v>0</v>
      </c>
      <c r="AA287" s="49">
        <v>0</v>
      </c>
      <c r="AB287" s="49">
        <v>7</v>
      </c>
      <c r="AC287" s="49">
        <v>0</v>
      </c>
      <c r="AD287" s="285">
        <v>0</v>
      </c>
      <c r="AE287" s="285">
        <v>0</v>
      </c>
      <c r="AF287" s="359">
        <v>7</v>
      </c>
      <c r="AG287" s="360">
        <v>0</v>
      </c>
      <c r="AH287" s="360">
        <v>5</v>
      </c>
      <c r="AI287" s="361">
        <v>5</v>
      </c>
      <c r="AJ287" s="360">
        <v>0</v>
      </c>
      <c r="AK287" s="360">
        <v>0</v>
      </c>
      <c r="AL287" s="360">
        <v>6.3637997160201678</v>
      </c>
      <c r="AM287" s="360">
        <v>6.3637997160201678</v>
      </c>
      <c r="AN287" s="360">
        <v>0</v>
      </c>
      <c r="AO287" s="360">
        <v>0</v>
      </c>
      <c r="AP287" s="360">
        <v>4.5622705519395463</v>
      </c>
      <c r="AQ287" s="360">
        <v>4.5622705519395463</v>
      </c>
      <c r="AR287" s="360">
        <v>0</v>
      </c>
      <c r="AS287" s="360">
        <v>0</v>
      </c>
      <c r="AT287" s="360">
        <v>0</v>
      </c>
      <c r="AU287" s="360">
        <v>5.7854209750883383</v>
      </c>
      <c r="AV287" s="360">
        <v>6.0677228313696316</v>
      </c>
      <c r="AW287" s="360">
        <v>6.3637997160201678</v>
      </c>
      <c r="AX287" s="360">
        <v>6.6743237868821721</v>
      </c>
      <c r="AY287" s="360">
        <v>7</v>
      </c>
      <c r="AZ287" s="360">
        <v>4.1628625178189544</v>
      </c>
      <c r="BA287" s="360">
        <v>4.3579932396480761</v>
      </c>
      <c r="BB287" s="360">
        <v>4.5622705519395463</v>
      </c>
      <c r="BC287" s="360">
        <v>4.7761231935218893</v>
      </c>
      <c r="BD287" s="360">
        <v>5</v>
      </c>
      <c r="BE287" s="360">
        <v>0</v>
      </c>
      <c r="BF287" s="360">
        <v>0</v>
      </c>
      <c r="BG287" s="360">
        <v>0</v>
      </c>
      <c r="BH287" s="360">
        <v>0</v>
      </c>
      <c r="BI287" s="360">
        <v>0</v>
      </c>
      <c r="BJ287" s="362">
        <v>7.0886044199871048</v>
      </c>
      <c r="BK287" s="362">
        <v>7.1783303747229583</v>
      </c>
      <c r="BL287" s="362">
        <v>7.2691920603412647</v>
      </c>
      <c r="BM287" s="363">
        <v>7.2214003118675087</v>
      </c>
      <c r="BN287" s="363">
        <v>7.1739227731715678</v>
      </c>
      <c r="BO287" s="363">
        <v>7.1510141157076772</v>
      </c>
      <c r="BP287" s="363">
        <v>7.1281786130021247</v>
      </c>
      <c r="BQ287" s="363">
        <v>7.1054160314480859</v>
      </c>
      <c r="BR287" s="363">
        <v>7.0827261381847215</v>
      </c>
      <c r="BS287" s="363">
        <v>7.0601087010947925</v>
      </c>
      <c r="BT287" s="363">
        <v>7.1123320980434617</v>
      </c>
      <c r="BU287" s="363">
        <v>7.1649417897794097</v>
      </c>
      <c r="BV287" s="363">
        <v>7.2179406337127521</v>
      </c>
      <c r="BW287" s="363">
        <v>7.2713315083897774</v>
      </c>
      <c r="BX287" s="363">
        <v>7.3251173136492778</v>
      </c>
      <c r="BY287" s="435">
        <v>7.3546435202072145</v>
      </c>
      <c r="BZ287" s="435">
        <v>7.3841697267651512</v>
      </c>
      <c r="CA287" s="435">
        <v>7.4136959333230878</v>
      </c>
      <c r="CB287" s="435">
        <v>7.4432221398810245</v>
      </c>
      <c r="CC287" s="363">
        <v>7.4727483464389612</v>
      </c>
      <c r="CD287" s="435">
        <v>7.4969511088588661</v>
      </c>
      <c r="CE287" s="435">
        <v>7.5211538712787709</v>
      </c>
      <c r="CF287" s="435">
        <v>7.5453566336986748</v>
      </c>
      <c r="CG287" s="435">
        <v>7.5695593961185796</v>
      </c>
      <c r="CH287" s="363">
        <v>7.5937621585384845</v>
      </c>
      <c r="CI287" s="362">
        <v>5.0632888714193598</v>
      </c>
      <c r="CJ287" s="362">
        <v>5.127378839087827</v>
      </c>
      <c r="CK287" s="362">
        <v>5.1922800431009026</v>
      </c>
      <c r="CL287" s="363">
        <v>5.1581430799053622</v>
      </c>
      <c r="CM287" s="363">
        <v>5.1242305522654048</v>
      </c>
      <c r="CN287" s="363">
        <v>5.1078672255054833</v>
      </c>
      <c r="CO287" s="363">
        <v>5.0915561521443742</v>
      </c>
      <c r="CP287" s="363">
        <v>5.0752971653200607</v>
      </c>
      <c r="CQ287" s="363">
        <v>5.059090098703372</v>
      </c>
      <c r="CR287" s="363">
        <v>5.0429347864962795</v>
      </c>
      <c r="CS287" s="363">
        <v>5.0802372128881865</v>
      </c>
      <c r="CT287" s="363">
        <v>5.1178155641281489</v>
      </c>
      <c r="CU287" s="363">
        <v>5.1556718812233937</v>
      </c>
      <c r="CV287" s="363">
        <v>5.1938082202784113</v>
      </c>
      <c r="CW287" s="363">
        <v>5.2322266526066263</v>
      </c>
      <c r="CX287" s="435">
        <v>5.2533168001480099</v>
      </c>
      <c r="CY287" s="435">
        <v>5.2744069476893927</v>
      </c>
      <c r="CZ287" s="435">
        <v>5.2954970952307763</v>
      </c>
      <c r="DA287" s="435">
        <v>5.316587242772159</v>
      </c>
      <c r="DB287" s="363">
        <v>5.3376773903135426</v>
      </c>
      <c r="DC287" s="435">
        <v>5.354965077756332</v>
      </c>
      <c r="DD287" s="435">
        <v>5.3722527651991205</v>
      </c>
      <c r="DE287" s="435">
        <v>5.38954045264191</v>
      </c>
      <c r="DF287" s="435">
        <v>5.4068281400846985</v>
      </c>
      <c r="DG287" s="363">
        <v>5.4241158275274879</v>
      </c>
      <c r="DH287" s="362">
        <v>0</v>
      </c>
      <c r="DI287" s="362">
        <v>0</v>
      </c>
      <c r="DJ287" s="362">
        <v>0</v>
      </c>
      <c r="DK287" s="363">
        <v>0</v>
      </c>
      <c r="DL287" s="363">
        <v>0</v>
      </c>
      <c r="DM287" s="363">
        <v>0</v>
      </c>
      <c r="DN287" s="363">
        <v>0</v>
      </c>
      <c r="DO287" s="363">
        <v>0</v>
      </c>
      <c r="DP287" s="363">
        <v>0</v>
      </c>
      <c r="DQ287" s="363">
        <v>0</v>
      </c>
      <c r="DR287" s="363">
        <v>0</v>
      </c>
      <c r="DS287" s="363">
        <v>0</v>
      </c>
      <c r="DT287" s="363">
        <v>0</v>
      </c>
      <c r="DU287" s="363">
        <v>0</v>
      </c>
      <c r="DV287" s="363">
        <v>0</v>
      </c>
      <c r="DW287" s="435">
        <v>0</v>
      </c>
      <c r="DX287" s="435">
        <v>0</v>
      </c>
      <c r="DY287" s="435">
        <v>0</v>
      </c>
      <c r="DZ287" s="435">
        <v>0</v>
      </c>
      <c r="EA287" s="363">
        <v>0</v>
      </c>
      <c r="EB287" s="435">
        <v>0</v>
      </c>
      <c r="EC287" s="435">
        <v>0</v>
      </c>
      <c r="ED287" s="435">
        <v>0</v>
      </c>
      <c r="EE287" s="435">
        <v>0</v>
      </c>
      <c r="EF287" s="363">
        <v>0</v>
      </c>
      <c r="EG287" s="364">
        <v>0</v>
      </c>
      <c r="EH287" s="364">
        <v>0</v>
      </c>
      <c r="EI287" s="364">
        <v>0</v>
      </c>
      <c r="EJ287" s="365">
        <v>0</v>
      </c>
      <c r="EK287" s="365">
        <v>0</v>
      </c>
      <c r="EL287" s="365">
        <v>0</v>
      </c>
      <c r="EM287" s="365">
        <v>0</v>
      </c>
      <c r="EN287" s="365">
        <v>0</v>
      </c>
      <c r="EO287" s="365">
        <v>0</v>
      </c>
      <c r="EP287" s="365">
        <v>0</v>
      </c>
      <c r="EQ287" s="365">
        <v>0</v>
      </c>
      <c r="ER287" s="365">
        <v>0</v>
      </c>
      <c r="ES287" s="365">
        <v>0</v>
      </c>
      <c r="ET287" s="365">
        <v>0</v>
      </c>
      <c r="EU287" s="365">
        <v>0</v>
      </c>
      <c r="EV287" s="436">
        <v>0</v>
      </c>
      <c r="EW287" s="436">
        <v>0</v>
      </c>
      <c r="EX287" s="436">
        <v>0</v>
      </c>
      <c r="EY287" s="436">
        <v>0</v>
      </c>
      <c r="EZ287" s="365">
        <v>0</v>
      </c>
      <c r="FA287" s="436">
        <v>0</v>
      </c>
      <c r="FB287" s="436">
        <v>0</v>
      </c>
      <c r="FC287" s="436">
        <v>0</v>
      </c>
      <c r="FD287" s="436">
        <v>0</v>
      </c>
      <c r="FE287" s="365">
        <v>0</v>
      </c>
      <c r="FF287" s="364">
        <v>0</v>
      </c>
      <c r="FG287" s="364">
        <v>0</v>
      </c>
      <c r="FH287" s="364">
        <v>0</v>
      </c>
      <c r="FI287" s="365">
        <v>0</v>
      </c>
      <c r="FJ287" s="365">
        <v>0</v>
      </c>
      <c r="FK287" s="365">
        <v>0</v>
      </c>
      <c r="FL287" s="365">
        <v>0</v>
      </c>
      <c r="FM287" s="365">
        <v>0</v>
      </c>
      <c r="FN287" s="365">
        <v>0</v>
      </c>
      <c r="FO287" s="365">
        <v>0</v>
      </c>
      <c r="FP287" s="365">
        <v>0</v>
      </c>
      <c r="FQ287" s="365">
        <v>0</v>
      </c>
      <c r="FR287" s="365">
        <v>0</v>
      </c>
      <c r="FS287" s="365">
        <v>0</v>
      </c>
      <c r="FT287" s="365">
        <v>0</v>
      </c>
      <c r="FU287" s="436">
        <v>0</v>
      </c>
      <c r="FV287" s="436">
        <v>0</v>
      </c>
      <c r="FW287" s="436">
        <v>0</v>
      </c>
      <c r="FX287" s="436">
        <v>0</v>
      </c>
      <c r="FY287" s="365">
        <v>0</v>
      </c>
      <c r="FZ287" s="436">
        <v>0</v>
      </c>
      <c r="GA287" s="436">
        <v>0</v>
      </c>
      <c r="GB287" s="436">
        <v>0</v>
      </c>
      <c r="GC287" s="436">
        <v>0</v>
      </c>
      <c r="GD287" s="365">
        <v>0</v>
      </c>
    </row>
    <row r="288" spans="1:186" ht="15" x14ac:dyDescent="0.25">
      <c r="A288" s="357">
        <v>134</v>
      </c>
      <c r="B288" s="357">
        <v>97</v>
      </c>
      <c r="C288" s="357" t="s">
        <v>1198</v>
      </c>
      <c r="D288" s="2">
        <v>99712</v>
      </c>
      <c r="E288" s="268" t="s">
        <v>19</v>
      </c>
      <c r="F288" s="358" t="s">
        <v>915</v>
      </c>
      <c r="G288" s="49">
        <v>19</v>
      </c>
      <c r="H288" s="49">
        <v>7</v>
      </c>
      <c r="I288" s="49">
        <v>7</v>
      </c>
      <c r="J288" s="49">
        <v>0</v>
      </c>
      <c r="K288" s="49">
        <v>0</v>
      </c>
      <c r="L288" s="49">
        <v>18</v>
      </c>
      <c r="M288" s="49">
        <v>18</v>
      </c>
      <c r="N288" s="49">
        <v>0</v>
      </c>
      <c r="O288" s="49">
        <v>0</v>
      </c>
      <c r="P288" s="49">
        <v>0</v>
      </c>
      <c r="Q288" s="49">
        <v>18</v>
      </c>
      <c r="R288" s="49">
        <v>0</v>
      </c>
      <c r="S288" s="49">
        <v>2543.6111111111113</v>
      </c>
      <c r="T288" s="49">
        <v>2543.6111111111113</v>
      </c>
      <c r="U288" s="49">
        <v>0</v>
      </c>
      <c r="V288" s="49">
        <v>0</v>
      </c>
      <c r="W288" s="49">
        <v>0</v>
      </c>
      <c r="X288" s="49">
        <v>2543.6111111111113</v>
      </c>
      <c r="Y288" s="434">
        <v>45785</v>
      </c>
      <c r="Z288" s="434">
        <v>0</v>
      </c>
      <c r="AA288" s="49">
        <v>0</v>
      </c>
      <c r="AB288" s="49">
        <v>7</v>
      </c>
      <c r="AC288" s="49">
        <v>0</v>
      </c>
      <c r="AD288" s="285">
        <v>0</v>
      </c>
      <c r="AE288" s="285">
        <v>0</v>
      </c>
      <c r="AF288" s="359">
        <v>7</v>
      </c>
      <c r="AG288" s="360">
        <v>0</v>
      </c>
      <c r="AH288" s="360">
        <v>7</v>
      </c>
      <c r="AI288" s="361">
        <v>7</v>
      </c>
      <c r="AJ288" s="360">
        <v>0</v>
      </c>
      <c r="AK288" s="360">
        <v>0</v>
      </c>
      <c r="AL288" s="360">
        <v>6.3637997160201678</v>
      </c>
      <c r="AM288" s="360">
        <v>6.3637997160201678</v>
      </c>
      <c r="AN288" s="360">
        <v>0</v>
      </c>
      <c r="AO288" s="360">
        <v>0</v>
      </c>
      <c r="AP288" s="360">
        <v>6.387178772715365</v>
      </c>
      <c r="AQ288" s="360">
        <v>6.387178772715365</v>
      </c>
      <c r="AR288" s="360">
        <v>0</v>
      </c>
      <c r="AS288" s="360">
        <v>0</v>
      </c>
      <c r="AT288" s="360">
        <v>0</v>
      </c>
      <c r="AU288" s="360">
        <v>5.7854209750883383</v>
      </c>
      <c r="AV288" s="360">
        <v>6.0677228313696316</v>
      </c>
      <c r="AW288" s="360">
        <v>6.3637997160201678</v>
      </c>
      <c r="AX288" s="360">
        <v>6.6743237868821721</v>
      </c>
      <c r="AY288" s="360">
        <v>7</v>
      </c>
      <c r="AZ288" s="360">
        <v>5.8280075249465364</v>
      </c>
      <c r="BA288" s="360">
        <v>6.1011905355073059</v>
      </c>
      <c r="BB288" s="360">
        <v>6.387178772715365</v>
      </c>
      <c r="BC288" s="360">
        <v>6.6865724709306456</v>
      </c>
      <c r="BD288" s="360">
        <v>7</v>
      </c>
      <c r="BE288" s="360">
        <v>0</v>
      </c>
      <c r="BF288" s="360">
        <v>0</v>
      </c>
      <c r="BG288" s="360">
        <v>0</v>
      </c>
      <c r="BH288" s="360">
        <v>0</v>
      </c>
      <c r="BI288" s="360">
        <v>0</v>
      </c>
      <c r="BJ288" s="362">
        <v>7.0886044199871048</v>
      </c>
      <c r="BK288" s="362">
        <v>7.1783303747229583</v>
      </c>
      <c r="BL288" s="362">
        <v>7.2691920603412647</v>
      </c>
      <c r="BM288" s="363">
        <v>7.2214003118675087</v>
      </c>
      <c r="BN288" s="363">
        <v>7.1739227731715678</v>
      </c>
      <c r="BO288" s="363">
        <v>7.1510141157076772</v>
      </c>
      <c r="BP288" s="363">
        <v>7.1281786130021247</v>
      </c>
      <c r="BQ288" s="363">
        <v>7.1054160314480859</v>
      </c>
      <c r="BR288" s="363">
        <v>7.0827261381847215</v>
      </c>
      <c r="BS288" s="363">
        <v>7.0601087010947925</v>
      </c>
      <c r="BT288" s="363">
        <v>7.1123320980434617</v>
      </c>
      <c r="BU288" s="363">
        <v>7.1649417897794097</v>
      </c>
      <c r="BV288" s="363">
        <v>7.2179406337127521</v>
      </c>
      <c r="BW288" s="363">
        <v>7.2713315083897774</v>
      </c>
      <c r="BX288" s="363">
        <v>7.3251173136492778</v>
      </c>
      <c r="BY288" s="435">
        <v>7.3546435202072145</v>
      </c>
      <c r="BZ288" s="435">
        <v>7.3841697267651512</v>
      </c>
      <c r="CA288" s="435">
        <v>7.4136959333230878</v>
      </c>
      <c r="CB288" s="435">
        <v>7.4432221398810245</v>
      </c>
      <c r="CC288" s="363">
        <v>7.4727483464389612</v>
      </c>
      <c r="CD288" s="435">
        <v>7.4969511088588661</v>
      </c>
      <c r="CE288" s="435">
        <v>7.5211538712787709</v>
      </c>
      <c r="CF288" s="435">
        <v>7.5453566336986748</v>
      </c>
      <c r="CG288" s="435">
        <v>7.5695593961185796</v>
      </c>
      <c r="CH288" s="363">
        <v>7.5937621585384845</v>
      </c>
      <c r="CI288" s="362">
        <v>7.0886044199871048</v>
      </c>
      <c r="CJ288" s="362">
        <v>7.1783303747229583</v>
      </c>
      <c r="CK288" s="362">
        <v>7.2691920603412647</v>
      </c>
      <c r="CL288" s="363">
        <v>7.2214003118675087</v>
      </c>
      <c r="CM288" s="363">
        <v>7.1739227731715678</v>
      </c>
      <c r="CN288" s="363">
        <v>7.1510141157076772</v>
      </c>
      <c r="CO288" s="363">
        <v>7.1281786130021247</v>
      </c>
      <c r="CP288" s="363">
        <v>7.1054160314480859</v>
      </c>
      <c r="CQ288" s="363">
        <v>7.0827261381847215</v>
      </c>
      <c r="CR288" s="363">
        <v>7.0601087010947925</v>
      </c>
      <c r="CS288" s="363">
        <v>7.1123320980434617</v>
      </c>
      <c r="CT288" s="363">
        <v>7.1649417897794097</v>
      </c>
      <c r="CU288" s="363">
        <v>7.2179406337127521</v>
      </c>
      <c r="CV288" s="363">
        <v>7.2713315083897774</v>
      </c>
      <c r="CW288" s="363">
        <v>7.3251173136492778</v>
      </c>
      <c r="CX288" s="435">
        <v>7.3546435202072145</v>
      </c>
      <c r="CY288" s="435">
        <v>7.3841697267651512</v>
      </c>
      <c r="CZ288" s="435">
        <v>7.4136959333230878</v>
      </c>
      <c r="DA288" s="435">
        <v>7.4432221398810245</v>
      </c>
      <c r="DB288" s="363">
        <v>7.4727483464389612</v>
      </c>
      <c r="DC288" s="435">
        <v>7.4969511088588661</v>
      </c>
      <c r="DD288" s="435">
        <v>7.5211538712787709</v>
      </c>
      <c r="DE288" s="435">
        <v>7.5453566336986748</v>
      </c>
      <c r="DF288" s="435">
        <v>7.5695593961185796</v>
      </c>
      <c r="DG288" s="363">
        <v>7.5937621585384845</v>
      </c>
      <c r="DH288" s="362">
        <v>0</v>
      </c>
      <c r="DI288" s="362">
        <v>0</v>
      </c>
      <c r="DJ288" s="362">
        <v>0</v>
      </c>
      <c r="DK288" s="363">
        <v>0</v>
      </c>
      <c r="DL288" s="363">
        <v>0</v>
      </c>
      <c r="DM288" s="363">
        <v>0</v>
      </c>
      <c r="DN288" s="363">
        <v>0</v>
      </c>
      <c r="DO288" s="363">
        <v>0</v>
      </c>
      <c r="DP288" s="363">
        <v>0</v>
      </c>
      <c r="DQ288" s="363">
        <v>0</v>
      </c>
      <c r="DR288" s="363">
        <v>0</v>
      </c>
      <c r="DS288" s="363">
        <v>0</v>
      </c>
      <c r="DT288" s="363">
        <v>0</v>
      </c>
      <c r="DU288" s="363">
        <v>0</v>
      </c>
      <c r="DV288" s="363">
        <v>0</v>
      </c>
      <c r="DW288" s="435">
        <v>0</v>
      </c>
      <c r="DX288" s="435">
        <v>0</v>
      </c>
      <c r="DY288" s="435">
        <v>0</v>
      </c>
      <c r="DZ288" s="435">
        <v>0</v>
      </c>
      <c r="EA288" s="363">
        <v>0</v>
      </c>
      <c r="EB288" s="435">
        <v>0</v>
      </c>
      <c r="EC288" s="435">
        <v>0</v>
      </c>
      <c r="ED288" s="435">
        <v>0</v>
      </c>
      <c r="EE288" s="435">
        <v>0</v>
      </c>
      <c r="EF288" s="363">
        <v>0</v>
      </c>
      <c r="EG288" s="364">
        <v>0</v>
      </c>
      <c r="EH288" s="364">
        <v>0</v>
      </c>
      <c r="EI288" s="364">
        <v>0</v>
      </c>
      <c r="EJ288" s="365">
        <v>0</v>
      </c>
      <c r="EK288" s="365">
        <v>0</v>
      </c>
      <c r="EL288" s="365">
        <v>0</v>
      </c>
      <c r="EM288" s="365">
        <v>0</v>
      </c>
      <c r="EN288" s="365">
        <v>0</v>
      </c>
      <c r="EO288" s="365">
        <v>0</v>
      </c>
      <c r="EP288" s="365">
        <v>0</v>
      </c>
      <c r="EQ288" s="365">
        <v>0</v>
      </c>
      <c r="ER288" s="365">
        <v>0</v>
      </c>
      <c r="ES288" s="365">
        <v>0</v>
      </c>
      <c r="ET288" s="365">
        <v>0</v>
      </c>
      <c r="EU288" s="365">
        <v>0</v>
      </c>
      <c r="EV288" s="436">
        <v>0</v>
      </c>
      <c r="EW288" s="436">
        <v>0</v>
      </c>
      <c r="EX288" s="436">
        <v>0</v>
      </c>
      <c r="EY288" s="436">
        <v>0</v>
      </c>
      <c r="EZ288" s="365">
        <v>0</v>
      </c>
      <c r="FA288" s="436">
        <v>0</v>
      </c>
      <c r="FB288" s="436">
        <v>0</v>
      </c>
      <c r="FC288" s="436">
        <v>0</v>
      </c>
      <c r="FD288" s="436">
        <v>0</v>
      </c>
      <c r="FE288" s="365">
        <v>0</v>
      </c>
      <c r="FF288" s="364">
        <v>0</v>
      </c>
      <c r="FG288" s="364">
        <v>0</v>
      </c>
      <c r="FH288" s="364">
        <v>0</v>
      </c>
      <c r="FI288" s="365">
        <v>0</v>
      </c>
      <c r="FJ288" s="365">
        <v>0</v>
      </c>
      <c r="FK288" s="365">
        <v>0</v>
      </c>
      <c r="FL288" s="365">
        <v>0</v>
      </c>
      <c r="FM288" s="365">
        <v>0</v>
      </c>
      <c r="FN288" s="365">
        <v>0</v>
      </c>
      <c r="FO288" s="365">
        <v>0</v>
      </c>
      <c r="FP288" s="365">
        <v>0</v>
      </c>
      <c r="FQ288" s="365">
        <v>0</v>
      </c>
      <c r="FR288" s="365">
        <v>0</v>
      </c>
      <c r="FS288" s="365">
        <v>0</v>
      </c>
      <c r="FT288" s="365">
        <v>0</v>
      </c>
      <c r="FU288" s="436">
        <v>0</v>
      </c>
      <c r="FV288" s="436">
        <v>0</v>
      </c>
      <c r="FW288" s="436">
        <v>0</v>
      </c>
      <c r="FX288" s="436">
        <v>0</v>
      </c>
      <c r="FY288" s="365">
        <v>0</v>
      </c>
      <c r="FZ288" s="436">
        <v>0</v>
      </c>
      <c r="GA288" s="436">
        <v>0</v>
      </c>
      <c r="GB288" s="436">
        <v>0</v>
      </c>
      <c r="GC288" s="436">
        <v>0</v>
      </c>
      <c r="GD288" s="365">
        <v>0</v>
      </c>
    </row>
    <row r="289" spans="1:186" ht="15" x14ac:dyDescent="0.25">
      <c r="A289" s="357">
        <v>135</v>
      </c>
      <c r="B289" s="357">
        <v>97</v>
      </c>
      <c r="C289" s="357" t="s">
        <v>1199</v>
      </c>
      <c r="D289" s="2">
        <v>99712</v>
      </c>
      <c r="E289" s="268" t="s">
        <v>19</v>
      </c>
      <c r="F289" s="358" t="s">
        <v>915</v>
      </c>
      <c r="G289" s="49">
        <v>3</v>
      </c>
      <c r="H289" s="49">
        <v>1</v>
      </c>
      <c r="I289" s="49">
        <v>1</v>
      </c>
      <c r="J289" s="49">
        <v>0</v>
      </c>
      <c r="K289" s="49">
        <v>0</v>
      </c>
      <c r="L289" s="49">
        <v>8</v>
      </c>
      <c r="M289" s="49">
        <v>8</v>
      </c>
      <c r="N289" s="49">
        <v>0</v>
      </c>
      <c r="O289" s="49">
        <v>0</v>
      </c>
      <c r="P289" s="49">
        <v>0</v>
      </c>
      <c r="Q289" s="49">
        <v>8</v>
      </c>
      <c r="R289" s="49">
        <v>0</v>
      </c>
      <c r="S289" s="49">
        <v>1390.25</v>
      </c>
      <c r="T289" s="49">
        <v>1390.25</v>
      </c>
      <c r="U289" s="49">
        <v>0</v>
      </c>
      <c r="V289" s="49">
        <v>0</v>
      </c>
      <c r="W289" s="49">
        <v>0</v>
      </c>
      <c r="X289" s="49">
        <v>1390.25</v>
      </c>
      <c r="Y289" s="434">
        <v>11122</v>
      </c>
      <c r="Z289" s="434">
        <v>0</v>
      </c>
      <c r="AA289" s="49">
        <v>0</v>
      </c>
      <c r="AB289" s="49">
        <v>1</v>
      </c>
      <c r="AC289" s="49">
        <v>0</v>
      </c>
      <c r="AD289" s="285">
        <v>0</v>
      </c>
      <c r="AE289" s="285">
        <v>0</v>
      </c>
      <c r="AF289" s="359">
        <v>1</v>
      </c>
      <c r="AG289" s="360">
        <v>0</v>
      </c>
      <c r="AH289" s="360">
        <v>1</v>
      </c>
      <c r="AI289" s="361">
        <v>1</v>
      </c>
      <c r="AJ289" s="360">
        <v>0</v>
      </c>
      <c r="AK289" s="360">
        <v>0</v>
      </c>
      <c r="AL289" s="360">
        <v>0.90911424514573824</v>
      </c>
      <c r="AM289" s="360">
        <v>0.90911424514573824</v>
      </c>
      <c r="AN289" s="360">
        <v>0</v>
      </c>
      <c r="AO289" s="360">
        <v>0</v>
      </c>
      <c r="AP289" s="360">
        <v>0.91245411038790925</v>
      </c>
      <c r="AQ289" s="360">
        <v>0.91245411038790925</v>
      </c>
      <c r="AR289" s="360">
        <v>0</v>
      </c>
      <c r="AS289" s="360">
        <v>0</v>
      </c>
      <c r="AT289" s="360">
        <v>0</v>
      </c>
      <c r="AU289" s="360">
        <v>0.82648871072690544</v>
      </c>
      <c r="AV289" s="360">
        <v>0.86681754733851879</v>
      </c>
      <c r="AW289" s="360">
        <v>0.90911424514573824</v>
      </c>
      <c r="AX289" s="360">
        <v>0.95347482669745309</v>
      </c>
      <c r="AY289" s="360">
        <v>1</v>
      </c>
      <c r="AZ289" s="360">
        <v>0.83257250356379087</v>
      </c>
      <c r="BA289" s="360">
        <v>0.87159864792961517</v>
      </c>
      <c r="BB289" s="360">
        <v>0.91245411038790925</v>
      </c>
      <c r="BC289" s="360">
        <v>0.9552246387043779</v>
      </c>
      <c r="BD289" s="360">
        <v>1</v>
      </c>
      <c r="BE289" s="360">
        <v>0</v>
      </c>
      <c r="BF289" s="360">
        <v>0</v>
      </c>
      <c r="BG289" s="360">
        <v>0</v>
      </c>
      <c r="BH289" s="360">
        <v>0</v>
      </c>
      <c r="BI289" s="360">
        <v>0</v>
      </c>
      <c r="BJ289" s="362">
        <v>1.012657774283872</v>
      </c>
      <c r="BK289" s="362">
        <v>1.0254757678175654</v>
      </c>
      <c r="BL289" s="362">
        <v>1.0384560086201806</v>
      </c>
      <c r="BM289" s="363">
        <v>1.0316286159810726</v>
      </c>
      <c r="BN289" s="363">
        <v>1.024846110453081</v>
      </c>
      <c r="BO289" s="363">
        <v>1.0215734451010967</v>
      </c>
      <c r="BP289" s="363">
        <v>1.0183112304288748</v>
      </c>
      <c r="BQ289" s="363">
        <v>1.0150594330640121</v>
      </c>
      <c r="BR289" s="363">
        <v>1.0118180197406743</v>
      </c>
      <c r="BS289" s="363">
        <v>1.0085869572992561</v>
      </c>
      <c r="BT289" s="363">
        <v>1.0160474425776373</v>
      </c>
      <c r="BU289" s="363">
        <v>1.02356311282563</v>
      </c>
      <c r="BV289" s="363">
        <v>1.0311343762446787</v>
      </c>
      <c r="BW289" s="363">
        <v>1.0387616440556824</v>
      </c>
      <c r="BX289" s="363">
        <v>1.0464453305213253</v>
      </c>
      <c r="BY289" s="435">
        <v>1.050663360029602</v>
      </c>
      <c r="BZ289" s="435">
        <v>1.0548813895378786</v>
      </c>
      <c r="CA289" s="435">
        <v>1.0590994190461553</v>
      </c>
      <c r="CB289" s="435">
        <v>1.0633174485544319</v>
      </c>
      <c r="CC289" s="363">
        <v>1.0675354780627087</v>
      </c>
      <c r="CD289" s="435">
        <v>1.0709930155512664</v>
      </c>
      <c r="CE289" s="435">
        <v>1.0744505530398243</v>
      </c>
      <c r="CF289" s="435">
        <v>1.077908090528382</v>
      </c>
      <c r="CG289" s="435">
        <v>1.0813656280169399</v>
      </c>
      <c r="CH289" s="363">
        <v>1.0848231655054976</v>
      </c>
      <c r="CI289" s="362">
        <v>1.012657774283872</v>
      </c>
      <c r="CJ289" s="362">
        <v>1.0254757678175654</v>
      </c>
      <c r="CK289" s="362">
        <v>1.0384560086201806</v>
      </c>
      <c r="CL289" s="363">
        <v>1.0316286159810726</v>
      </c>
      <c r="CM289" s="363">
        <v>1.024846110453081</v>
      </c>
      <c r="CN289" s="363">
        <v>1.0215734451010967</v>
      </c>
      <c r="CO289" s="363">
        <v>1.0183112304288748</v>
      </c>
      <c r="CP289" s="363">
        <v>1.0150594330640121</v>
      </c>
      <c r="CQ289" s="363">
        <v>1.0118180197406743</v>
      </c>
      <c r="CR289" s="363">
        <v>1.0085869572992561</v>
      </c>
      <c r="CS289" s="363">
        <v>1.0160474425776373</v>
      </c>
      <c r="CT289" s="363">
        <v>1.02356311282563</v>
      </c>
      <c r="CU289" s="363">
        <v>1.0311343762446787</v>
      </c>
      <c r="CV289" s="363">
        <v>1.0387616440556824</v>
      </c>
      <c r="CW289" s="363">
        <v>1.0464453305213253</v>
      </c>
      <c r="CX289" s="435">
        <v>1.050663360029602</v>
      </c>
      <c r="CY289" s="435">
        <v>1.0548813895378786</v>
      </c>
      <c r="CZ289" s="435">
        <v>1.0590994190461553</v>
      </c>
      <c r="DA289" s="435">
        <v>1.0633174485544319</v>
      </c>
      <c r="DB289" s="363">
        <v>1.0675354780627087</v>
      </c>
      <c r="DC289" s="435">
        <v>1.0709930155512664</v>
      </c>
      <c r="DD289" s="435">
        <v>1.0744505530398243</v>
      </c>
      <c r="DE289" s="435">
        <v>1.077908090528382</v>
      </c>
      <c r="DF289" s="435">
        <v>1.0813656280169399</v>
      </c>
      <c r="DG289" s="363">
        <v>1.0848231655054976</v>
      </c>
      <c r="DH289" s="362">
        <v>0</v>
      </c>
      <c r="DI289" s="362">
        <v>0</v>
      </c>
      <c r="DJ289" s="362">
        <v>0</v>
      </c>
      <c r="DK289" s="363">
        <v>0</v>
      </c>
      <c r="DL289" s="363">
        <v>0</v>
      </c>
      <c r="DM289" s="363">
        <v>0</v>
      </c>
      <c r="DN289" s="363">
        <v>0</v>
      </c>
      <c r="DO289" s="363">
        <v>0</v>
      </c>
      <c r="DP289" s="363">
        <v>0</v>
      </c>
      <c r="DQ289" s="363">
        <v>0</v>
      </c>
      <c r="DR289" s="363">
        <v>0</v>
      </c>
      <c r="DS289" s="363">
        <v>0</v>
      </c>
      <c r="DT289" s="363">
        <v>0</v>
      </c>
      <c r="DU289" s="363">
        <v>0</v>
      </c>
      <c r="DV289" s="363">
        <v>0</v>
      </c>
      <c r="DW289" s="435">
        <v>0</v>
      </c>
      <c r="DX289" s="435">
        <v>0</v>
      </c>
      <c r="DY289" s="435">
        <v>0</v>
      </c>
      <c r="DZ289" s="435">
        <v>0</v>
      </c>
      <c r="EA289" s="363">
        <v>0</v>
      </c>
      <c r="EB289" s="435">
        <v>0</v>
      </c>
      <c r="EC289" s="435">
        <v>0</v>
      </c>
      <c r="ED289" s="435">
        <v>0</v>
      </c>
      <c r="EE289" s="435">
        <v>0</v>
      </c>
      <c r="EF289" s="363">
        <v>0</v>
      </c>
      <c r="EG289" s="364">
        <v>0</v>
      </c>
      <c r="EH289" s="364">
        <v>0</v>
      </c>
      <c r="EI289" s="364">
        <v>0</v>
      </c>
      <c r="EJ289" s="365">
        <v>0</v>
      </c>
      <c r="EK289" s="365">
        <v>0</v>
      </c>
      <c r="EL289" s="365">
        <v>0</v>
      </c>
      <c r="EM289" s="365">
        <v>0</v>
      </c>
      <c r="EN289" s="365">
        <v>0</v>
      </c>
      <c r="EO289" s="365">
        <v>0</v>
      </c>
      <c r="EP289" s="365">
        <v>0</v>
      </c>
      <c r="EQ289" s="365">
        <v>0</v>
      </c>
      <c r="ER289" s="365">
        <v>0</v>
      </c>
      <c r="ES289" s="365">
        <v>0</v>
      </c>
      <c r="ET289" s="365">
        <v>0</v>
      </c>
      <c r="EU289" s="365">
        <v>0</v>
      </c>
      <c r="EV289" s="436">
        <v>0</v>
      </c>
      <c r="EW289" s="436">
        <v>0</v>
      </c>
      <c r="EX289" s="436">
        <v>0</v>
      </c>
      <c r="EY289" s="436">
        <v>0</v>
      </c>
      <c r="EZ289" s="365">
        <v>0</v>
      </c>
      <c r="FA289" s="436">
        <v>0</v>
      </c>
      <c r="FB289" s="436">
        <v>0</v>
      </c>
      <c r="FC289" s="436">
        <v>0</v>
      </c>
      <c r="FD289" s="436">
        <v>0</v>
      </c>
      <c r="FE289" s="365">
        <v>0</v>
      </c>
      <c r="FF289" s="364">
        <v>0</v>
      </c>
      <c r="FG289" s="364">
        <v>0</v>
      </c>
      <c r="FH289" s="364">
        <v>0</v>
      </c>
      <c r="FI289" s="365">
        <v>0</v>
      </c>
      <c r="FJ289" s="365">
        <v>0</v>
      </c>
      <c r="FK289" s="365">
        <v>0</v>
      </c>
      <c r="FL289" s="365">
        <v>0</v>
      </c>
      <c r="FM289" s="365">
        <v>0</v>
      </c>
      <c r="FN289" s="365">
        <v>0</v>
      </c>
      <c r="FO289" s="365">
        <v>0</v>
      </c>
      <c r="FP289" s="365">
        <v>0</v>
      </c>
      <c r="FQ289" s="365">
        <v>0</v>
      </c>
      <c r="FR289" s="365">
        <v>0</v>
      </c>
      <c r="FS289" s="365">
        <v>0</v>
      </c>
      <c r="FT289" s="365">
        <v>0</v>
      </c>
      <c r="FU289" s="436">
        <v>0</v>
      </c>
      <c r="FV289" s="436">
        <v>0</v>
      </c>
      <c r="FW289" s="436">
        <v>0</v>
      </c>
      <c r="FX289" s="436">
        <v>0</v>
      </c>
      <c r="FY289" s="365">
        <v>0</v>
      </c>
      <c r="FZ289" s="436">
        <v>0</v>
      </c>
      <c r="GA289" s="436">
        <v>0</v>
      </c>
      <c r="GB289" s="436">
        <v>0</v>
      </c>
      <c r="GC289" s="436">
        <v>0</v>
      </c>
      <c r="GD289" s="365">
        <v>0</v>
      </c>
    </row>
    <row r="290" spans="1:186" ht="15" x14ac:dyDescent="0.25">
      <c r="A290" s="357">
        <v>136</v>
      </c>
      <c r="B290" s="357">
        <v>97</v>
      </c>
      <c r="C290" s="357" t="s">
        <v>1200</v>
      </c>
      <c r="D290" s="2">
        <v>99712</v>
      </c>
      <c r="E290" s="268" t="s">
        <v>19</v>
      </c>
      <c r="F290" s="358" t="s">
        <v>915</v>
      </c>
      <c r="G290" s="49">
        <v>25</v>
      </c>
      <c r="H290" s="49">
        <v>12</v>
      </c>
      <c r="I290" s="49">
        <v>12</v>
      </c>
      <c r="J290" s="49">
        <v>0</v>
      </c>
      <c r="K290" s="49">
        <v>0</v>
      </c>
      <c r="L290" s="49">
        <v>23</v>
      </c>
      <c r="M290" s="49">
        <v>23</v>
      </c>
      <c r="N290" s="49">
        <v>2</v>
      </c>
      <c r="O290" s="49">
        <v>0</v>
      </c>
      <c r="P290" s="49">
        <v>0</v>
      </c>
      <c r="Q290" s="49">
        <v>25</v>
      </c>
      <c r="R290" s="49">
        <v>0</v>
      </c>
      <c r="S290" s="49">
        <v>1751.7391304347825</v>
      </c>
      <c r="T290" s="49">
        <v>1751.7391304347825</v>
      </c>
      <c r="U290" s="49">
        <v>1336</v>
      </c>
      <c r="V290" s="49">
        <v>0</v>
      </c>
      <c r="W290" s="49">
        <v>0</v>
      </c>
      <c r="X290" s="49">
        <v>1718.48</v>
      </c>
      <c r="Y290" s="434">
        <v>40290</v>
      </c>
      <c r="Z290" s="434">
        <v>2672</v>
      </c>
      <c r="AA290" s="49">
        <v>0</v>
      </c>
      <c r="AB290" s="49">
        <v>12</v>
      </c>
      <c r="AC290" s="49">
        <v>0</v>
      </c>
      <c r="AD290" s="285">
        <v>2</v>
      </c>
      <c r="AE290" s="285">
        <v>0</v>
      </c>
      <c r="AF290" s="359">
        <v>14</v>
      </c>
      <c r="AG290" s="360">
        <v>0</v>
      </c>
      <c r="AH290" s="360">
        <v>12</v>
      </c>
      <c r="AI290" s="361">
        <v>12</v>
      </c>
      <c r="AJ290" s="360">
        <v>0</v>
      </c>
      <c r="AK290" s="360">
        <v>0</v>
      </c>
      <c r="AL290" s="360">
        <v>10.909370941748859</v>
      </c>
      <c r="AM290" s="360">
        <v>10.909370941748859</v>
      </c>
      <c r="AN290" s="360">
        <v>0</v>
      </c>
      <c r="AO290" s="360">
        <v>0</v>
      </c>
      <c r="AP290" s="360">
        <v>10.94944932465491</v>
      </c>
      <c r="AQ290" s="360">
        <v>10.94944932465491</v>
      </c>
      <c r="AR290" s="360">
        <v>0</v>
      </c>
      <c r="AS290" s="360">
        <v>1.8596827016276773</v>
      </c>
      <c r="AT290" s="360">
        <v>0</v>
      </c>
      <c r="AU290" s="360">
        <v>9.9178645287228644</v>
      </c>
      <c r="AV290" s="360">
        <v>10.401810568062224</v>
      </c>
      <c r="AW290" s="360">
        <v>10.909370941748859</v>
      </c>
      <c r="AX290" s="360">
        <v>11.441697920369437</v>
      </c>
      <c r="AY290" s="360">
        <v>12</v>
      </c>
      <c r="AZ290" s="360">
        <v>9.99087004276549</v>
      </c>
      <c r="BA290" s="360">
        <v>10.459183775155381</v>
      </c>
      <c r="BB290" s="360">
        <v>10.94944932465491</v>
      </c>
      <c r="BC290" s="360">
        <v>11.462695664452534</v>
      </c>
      <c r="BD290" s="360">
        <v>12</v>
      </c>
      <c r="BE290" s="360">
        <v>1.7292098753666085</v>
      </c>
      <c r="BF290" s="360">
        <v>1.7932600739165065</v>
      </c>
      <c r="BG290" s="360">
        <v>1.8596827016276773</v>
      </c>
      <c r="BH290" s="360">
        <v>1.9285656336395076</v>
      </c>
      <c r="BI290" s="360">
        <v>2</v>
      </c>
      <c r="BJ290" s="362">
        <v>12.151893291406465</v>
      </c>
      <c r="BK290" s="362">
        <v>12.305709213810786</v>
      </c>
      <c r="BL290" s="362">
        <v>12.461472103442167</v>
      </c>
      <c r="BM290" s="363">
        <v>12.379543391772872</v>
      </c>
      <c r="BN290" s="363">
        <v>12.298153325436973</v>
      </c>
      <c r="BO290" s="363">
        <v>12.25888134121316</v>
      </c>
      <c r="BP290" s="363">
        <v>12.219734765146498</v>
      </c>
      <c r="BQ290" s="363">
        <v>12.180713196768146</v>
      </c>
      <c r="BR290" s="363">
        <v>12.141816236888094</v>
      </c>
      <c r="BS290" s="363">
        <v>12.103043487591073</v>
      </c>
      <c r="BT290" s="363">
        <v>12.192569310931647</v>
      </c>
      <c r="BU290" s="363">
        <v>12.282757353907559</v>
      </c>
      <c r="BV290" s="363">
        <v>12.373612514936147</v>
      </c>
      <c r="BW290" s="363">
        <v>12.465139728668188</v>
      </c>
      <c r="BX290" s="363">
        <v>12.557343966255905</v>
      </c>
      <c r="BY290" s="435">
        <v>12.607960320355225</v>
      </c>
      <c r="BZ290" s="435">
        <v>12.658576674454544</v>
      </c>
      <c r="CA290" s="435">
        <v>12.709193028553864</v>
      </c>
      <c r="CB290" s="435">
        <v>12.759809382653183</v>
      </c>
      <c r="CC290" s="363">
        <v>12.810425736752503</v>
      </c>
      <c r="CD290" s="435">
        <v>12.851916186615197</v>
      </c>
      <c r="CE290" s="435">
        <v>12.893406636477891</v>
      </c>
      <c r="CF290" s="435">
        <v>12.934897086340584</v>
      </c>
      <c r="CG290" s="435">
        <v>12.976387536203278</v>
      </c>
      <c r="CH290" s="363">
        <v>13.017877986065972</v>
      </c>
      <c r="CI290" s="362">
        <v>12.151893291406465</v>
      </c>
      <c r="CJ290" s="362">
        <v>12.305709213810786</v>
      </c>
      <c r="CK290" s="362">
        <v>12.461472103442167</v>
      </c>
      <c r="CL290" s="363">
        <v>12.379543391772872</v>
      </c>
      <c r="CM290" s="363">
        <v>12.298153325436973</v>
      </c>
      <c r="CN290" s="363">
        <v>12.25888134121316</v>
      </c>
      <c r="CO290" s="363">
        <v>12.219734765146498</v>
      </c>
      <c r="CP290" s="363">
        <v>12.180713196768146</v>
      </c>
      <c r="CQ290" s="363">
        <v>12.141816236888094</v>
      </c>
      <c r="CR290" s="363">
        <v>12.103043487591073</v>
      </c>
      <c r="CS290" s="363">
        <v>12.192569310931647</v>
      </c>
      <c r="CT290" s="363">
        <v>12.282757353907559</v>
      </c>
      <c r="CU290" s="363">
        <v>12.373612514936147</v>
      </c>
      <c r="CV290" s="363">
        <v>12.465139728668188</v>
      </c>
      <c r="CW290" s="363">
        <v>12.557343966255905</v>
      </c>
      <c r="CX290" s="435">
        <v>12.607960320355225</v>
      </c>
      <c r="CY290" s="435">
        <v>12.658576674454544</v>
      </c>
      <c r="CZ290" s="435">
        <v>12.709193028553864</v>
      </c>
      <c r="DA290" s="435">
        <v>12.759809382653183</v>
      </c>
      <c r="DB290" s="363">
        <v>12.810425736752503</v>
      </c>
      <c r="DC290" s="435">
        <v>12.851916186615197</v>
      </c>
      <c r="DD290" s="435">
        <v>12.893406636477891</v>
      </c>
      <c r="DE290" s="435">
        <v>12.934897086340584</v>
      </c>
      <c r="DF290" s="435">
        <v>12.976387536203278</v>
      </c>
      <c r="DG290" s="363">
        <v>13.017877986065972</v>
      </c>
      <c r="DH290" s="362">
        <v>2.0253155485677441</v>
      </c>
      <c r="DI290" s="362">
        <v>2.0509515356351309</v>
      </c>
      <c r="DJ290" s="362">
        <v>2.0769120172403612</v>
      </c>
      <c r="DK290" s="363">
        <v>2.0632572319621452</v>
      </c>
      <c r="DL290" s="363">
        <v>2.0496922209061621</v>
      </c>
      <c r="DM290" s="363">
        <v>2.0431468902021934</v>
      </c>
      <c r="DN290" s="363">
        <v>2.0366224608577497</v>
      </c>
      <c r="DO290" s="363">
        <v>2.0301188661280243</v>
      </c>
      <c r="DP290" s="363">
        <v>2.0236360394813486</v>
      </c>
      <c r="DQ290" s="363">
        <v>2.0171739145985121</v>
      </c>
      <c r="DR290" s="363">
        <v>2.0320948851552747</v>
      </c>
      <c r="DS290" s="363">
        <v>2.0471262256512599</v>
      </c>
      <c r="DT290" s="363">
        <v>2.0622687524893575</v>
      </c>
      <c r="DU290" s="363">
        <v>2.0775232881113648</v>
      </c>
      <c r="DV290" s="363">
        <v>2.0928906610426505</v>
      </c>
      <c r="DW290" s="435">
        <v>2.1013267200592041</v>
      </c>
      <c r="DX290" s="435">
        <v>2.1097627790757572</v>
      </c>
      <c r="DY290" s="435">
        <v>2.1181988380923107</v>
      </c>
      <c r="DZ290" s="435">
        <v>2.1266348971088638</v>
      </c>
      <c r="EA290" s="363">
        <v>2.1350709561254173</v>
      </c>
      <c r="EB290" s="435">
        <v>2.1419860311025327</v>
      </c>
      <c r="EC290" s="435">
        <v>2.1489011060796486</v>
      </c>
      <c r="ED290" s="435">
        <v>2.155816181056764</v>
      </c>
      <c r="EE290" s="435">
        <v>2.1627312560338798</v>
      </c>
      <c r="EF290" s="363">
        <v>2.1696463310109952</v>
      </c>
      <c r="EG290" s="364">
        <v>0</v>
      </c>
      <c r="EH290" s="364">
        <v>0</v>
      </c>
      <c r="EI290" s="364">
        <v>0</v>
      </c>
      <c r="EJ290" s="365">
        <v>0</v>
      </c>
      <c r="EK290" s="365">
        <v>0</v>
      </c>
      <c r="EL290" s="365">
        <v>0</v>
      </c>
      <c r="EM290" s="365">
        <v>0</v>
      </c>
      <c r="EN290" s="365">
        <v>0</v>
      </c>
      <c r="EO290" s="365">
        <v>0</v>
      </c>
      <c r="EP290" s="365">
        <v>0</v>
      </c>
      <c r="EQ290" s="365">
        <v>0</v>
      </c>
      <c r="ER290" s="365">
        <v>0</v>
      </c>
      <c r="ES290" s="365">
        <v>0</v>
      </c>
      <c r="ET290" s="365">
        <v>0</v>
      </c>
      <c r="EU290" s="365">
        <v>0</v>
      </c>
      <c r="EV290" s="436">
        <v>0</v>
      </c>
      <c r="EW290" s="436">
        <v>0</v>
      </c>
      <c r="EX290" s="436">
        <v>0</v>
      </c>
      <c r="EY290" s="436">
        <v>0</v>
      </c>
      <c r="EZ290" s="365">
        <v>0</v>
      </c>
      <c r="FA290" s="436">
        <v>0</v>
      </c>
      <c r="FB290" s="436">
        <v>0</v>
      </c>
      <c r="FC290" s="436">
        <v>0</v>
      </c>
      <c r="FD290" s="436">
        <v>0</v>
      </c>
      <c r="FE290" s="365">
        <v>0</v>
      </c>
      <c r="FF290" s="364">
        <v>0</v>
      </c>
      <c r="FG290" s="364">
        <v>0</v>
      </c>
      <c r="FH290" s="364">
        <v>0</v>
      </c>
      <c r="FI290" s="365">
        <v>0</v>
      </c>
      <c r="FJ290" s="365">
        <v>0</v>
      </c>
      <c r="FK290" s="365">
        <v>0</v>
      </c>
      <c r="FL290" s="365">
        <v>0</v>
      </c>
      <c r="FM290" s="365">
        <v>0</v>
      </c>
      <c r="FN290" s="365">
        <v>0</v>
      </c>
      <c r="FO290" s="365">
        <v>0</v>
      </c>
      <c r="FP290" s="365">
        <v>0</v>
      </c>
      <c r="FQ290" s="365">
        <v>0</v>
      </c>
      <c r="FR290" s="365">
        <v>0</v>
      </c>
      <c r="FS290" s="365">
        <v>0</v>
      </c>
      <c r="FT290" s="365">
        <v>0</v>
      </c>
      <c r="FU290" s="436">
        <v>0</v>
      </c>
      <c r="FV290" s="436">
        <v>0</v>
      </c>
      <c r="FW290" s="436">
        <v>0</v>
      </c>
      <c r="FX290" s="436">
        <v>0</v>
      </c>
      <c r="FY290" s="365">
        <v>0</v>
      </c>
      <c r="FZ290" s="436">
        <v>0</v>
      </c>
      <c r="GA290" s="436">
        <v>0</v>
      </c>
      <c r="GB290" s="436">
        <v>0</v>
      </c>
      <c r="GC290" s="436">
        <v>0</v>
      </c>
      <c r="GD290" s="365">
        <v>0</v>
      </c>
    </row>
    <row r="291" spans="1:186" ht="15" x14ac:dyDescent="0.25">
      <c r="A291" s="357">
        <v>137</v>
      </c>
      <c r="B291" s="357">
        <v>97</v>
      </c>
      <c r="C291" s="357" t="s">
        <v>1201</v>
      </c>
      <c r="D291" s="2">
        <v>99712</v>
      </c>
      <c r="E291" s="268" t="s">
        <v>19</v>
      </c>
      <c r="F291" s="358" t="s">
        <v>915</v>
      </c>
      <c r="G291" s="49">
        <v>1</v>
      </c>
      <c r="H291" s="49">
        <v>1</v>
      </c>
      <c r="I291" s="49">
        <v>1</v>
      </c>
      <c r="J291" s="49">
        <v>0</v>
      </c>
      <c r="K291" s="49">
        <v>0</v>
      </c>
      <c r="L291" s="49">
        <v>53</v>
      </c>
      <c r="M291" s="49">
        <v>53</v>
      </c>
      <c r="N291" s="49">
        <v>2</v>
      </c>
      <c r="O291" s="49">
        <v>0</v>
      </c>
      <c r="P291" s="49">
        <v>0</v>
      </c>
      <c r="Q291" s="49">
        <v>55</v>
      </c>
      <c r="R291" s="49">
        <v>0</v>
      </c>
      <c r="S291" s="49">
        <v>1733.2452830188679</v>
      </c>
      <c r="T291" s="49">
        <v>1733.2452830188679</v>
      </c>
      <c r="U291" s="49">
        <v>1620</v>
      </c>
      <c r="V291" s="49">
        <v>0</v>
      </c>
      <c r="W291" s="49">
        <v>0</v>
      </c>
      <c r="X291" s="49">
        <v>1729.1272727272728</v>
      </c>
      <c r="Y291" s="434">
        <v>91862</v>
      </c>
      <c r="Z291" s="434">
        <v>3240</v>
      </c>
      <c r="AA291" s="49">
        <v>0</v>
      </c>
      <c r="AB291" s="49">
        <v>1</v>
      </c>
      <c r="AC291" s="49">
        <v>0</v>
      </c>
      <c r="AD291" s="285">
        <v>2</v>
      </c>
      <c r="AE291" s="285">
        <v>0</v>
      </c>
      <c r="AF291" s="359">
        <v>3</v>
      </c>
      <c r="AG291" s="360">
        <v>0</v>
      </c>
      <c r="AH291" s="360">
        <v>1</v>
      </c>
      <c r="AI291" s="361">
        <v>1</v>
      </c>
      <c r="AJ291" s="360">
        <v>0</v>
      </c>
      <c r="AK291" s="360">
        <v>0</v>
      </c>
      <c r="AL291" s="360">
        <v>0.90911424514573824</v>
      </c>
      <c r="AM291" s="360">
        <v>0.90911424514573824</v>
      </c>
      <c r="AN291" s="360">
        <v>0</v>
      </c>
      <c r="AO291" s="360">
        <v>0</v>
      </c>
      <c r="AP291" s="360">
        <v>0.91245411038790925</v>
      </c>
      <c r="AQ291" s="360">
        <v>0.91245411038790925</v>
      </c>
      <c r="AR291" s="360">
        <v>0</v>
      </c>
      <c r="AS291" s="360">
        <v>1.8596827016276773</v>
      </c>
      <c r="AT291" s="360">
        <v>0</v>
      </c>
      <c r="AU291" s="360">
        <v>0.82648871072690544</v>
      </c>
      <c r="AV291" s="360">
        <v>0.86681754733851879</v>
      </c>
      <c r="AW291" s="360">
        <v>0.90911424514573824</v>
      </c>
      <c r="AX291" s="360">
        <v>0.95347482669745309</v>
      </c>
      <c r="AY291" s="360">
        <v>1</v>
      </c>
      <c r="AZ291" s="360">
        <v>0.83257250356379087</v>
      </c>
      <c r="BA291" s="360">
        <v>0.87159864792961517</v>
      </c>
      <c r="BB291" s="360">
        <v>0.91245411038790925</v>
      </c>
      <c r="BC291" s="360">
        <v>0.9552246387043779</v>
      </c>
      <c r="BD291" s="360">
        <v>1</v>
      </c>
      <c r="BE291" s="360">
        <v>1.7292098753666085</v>
      </c>
      <c r="BF291" s="360">
        <v>1.7932600739165065</v>
      </c>
      <c r="BG291" s="360">
        <v>1.8596827016276773</v>
      </c>
      <c r="BH291" s="360">
        <v>1.9285656336395076</v>
      </c>
      <c r="BI291" s="360">
        <v>2</v>
      </c>
      <c r="BJ291" s="362">
        <v>1.012657774283872</v>
      </c>
      <c r="BK291" s="362">
        <v>1.0254757678175654</v>
      </c>
      <c r="BL291" s="362">
        <v>1.0384560086201806</v>
      </c>
      <c r="BM291" s="363">
        <v>1.0316286159810726</v>
      </c>
      <c r="BN291" s="363">
        <v>1.024846110453081</v>
      </c>
      <c r="BO291" s="363">
        <v>1.0215734451010967</v>
      </c>
      <c r="BP291" s="363">
        <v>1.0183112304288748</v>
      </c>
      <c r="BQ291" s="363">
        <v>1.0150594330640121</v>
      </c>
      <c r="BR291" s="363">
        <v>1.0118180197406743</v>
      </c>
      <c r="BS291" s="363">
        <v>1.0085869572992561</v>
      </c>
      <c r="BT291" s="363">
        <v>1.0160474425776373</v>
      </c>
      <c r="BU291" s="363">
        <v>1.02356311282563</v>
      </c>
      <c r="BV291" s="363">
        <v>1.0311343762446787</v>
      </c>
      <c r="BW291" s="363">
        <v>1.0387616440556824</v>
      </c>
      <c r="BX291" s="363">
        <v>1.0464453305213253</v>
      </c>
      <c r="BY291" s="435">
        <v>1.050663360029602</v>
      </c>
      <c r="BZ291" s="435">
        <v>1.0548813895378786</v>
      </c>
      <c r="CA291" s="435">
        <v>1.0590994190461553</v>
      </c>
      <c r="CB291" s="435">
        <v>1.0633174485544319</v>
      </c>
      <c r="CC291" s="363">
        <v>1.0675354780627087</v>
      </c>
      <c r="CD291" s="435">
        <v>1.0709930155512664</v>
      </c>
      <c r="CE291" s="435">
        <v>1.0744505530398243</v>
      </c>
      <c r="CF291" s="435">
        <v>1.077908090528382</v>
      </c>
      <c r="CG291" s="435">
        <v>1.0813656280169399</v>
      </c>
      <c r="CH291" s="363">
        <v>1.0848231655054976</v>
      </c>
      <c r="CI291" s="362">
        <v>1.012657774283872</v>
      </c>
      <c r="CJ291" s="362">
        <v>1.0254757678175654</v>
      </c>
      <c r="CK291" s="362">
        <v>1.0384560086201806</v>
      </c>
      <c r="CL291" s="363">
        <v>1.0316286159810726</v>
      </c>
      <c r="CM291" s="363">
        <v>1.024846110453081</v>
      </c>
      <c r="CN291" s="363">
        <v>1.0215734451010967</v>
      </c>
      <c r="CO291" s="363">
        <v>1.0183112304288748</v>
      </c>
      <c r="CP291" s="363">
        <v>1.0150594330640121</v>
      </c>
      <c r="CQ291" s="363">
        <v>1.0118180197406743</v>
      </c>
      <c r="CR291" s="363">
        <v>1.0085869572992561</v>
      </c>
      <c r="CS291" s="363">
        <v>1.0160474425776373</v>
      </c>
      <c r="CT291" s="363">
        <v>1.02356311282563</v>
      </c>
      <c r="CU291" s="363">
        <v>1.0311343762446787</v>
      </c>
      <c r="CV291" s="363">
        <v>1.0387616440556824</v>
      </c>
      <c r="CW291" s="363">
        <v>1.0464453305213253</v>
      </c>
      <c r="CX291" s="435">
        <v>1.050663360029602</v>
      </c>
      <c r="CY291" s="435">
        <v>1.0548813895378786</v>
      </c>
      <c r="CZ291" s="435">
        <v>1.0590994190461553</v>
      </c>
      <c r="DA291" s="435">
        <v>1.0633174485544319</v>
      </c>
      <c r="DB291" s="363">
        <v>1.0675354780627087</v>
      </c>
      <c r="DC291" s="435">
        <v>1.0709930155512664</v>
      </c>
      <c r="DD291" s="435">
        <v>1.0744505530398243</v>
      </c>
      <c r="DE291" s="435">
        <v>1.077908090528382</v>
      </c>
      <c r="DF291" s="435">
        <v>1.0813656280169399</v>
      </c>
      <c r="DG291" s="363">
        <v>1.0848231655054976</v>
      </c>
      <c r="DH291" s="362">
        <v>2.0253155485677441</v>
      </c>
      <c r="DI291" s="362">
        <v>2.0509515356351309</v>
      </c>
      <c r="DJ291" s="362">
        <v>2.0769120172403612</v>
      </c>
      <c r="DK291" s="363">
        <v>2.0632572319621452</v>
      </c>
      <c r="DL291" s="363">
        <v>2.0496922209061621</v>
      </c>
      <c r="DM291" s="363">
        <v>2.0431468902021934</v>
      </c>
      <c r="DN291" s="363">
        <v>2.0366224608577497</v>
      </c>
      <c r="DO291" s="363">
        <v>2.0301188661280243</v>
      </c>
      <c r="DP291" s="363">
        <v>2.0236360394813486</v>
      </c>
      <c r="DQ291" s="363">
        <v>2.0171739145985121</v>
      </c>
      <c r="DR291" s="363">
        <v>2.0320948851552747</v>
      </c>
      <c r="DS291" s="363">
        <v>2.0471262256512599</v>
      </c>
      <c r="DT291" s="363">
        <v>2.0622687524893575</v>
      </c>
      <c r="DU291" s="363">
        <v>2.0775232881113648</v>
      </c>
      <c r="DV291" s="363">
        <v>2.0928906610426505</v>
      </c>
      <c r="DW291" s="435">
        <v>2.1013267200592041</v>
      </c>
      <c r="DX291" s="435">
        <v>2.1097627790757572</v>
      </c>
      <c r="DY291" s="435">
        <v>2.1181988380923107</v>
      </c>
      <c r="DZ291" s="435">
        <v>2.1266348971088638</v>
      </c>
      <c r="EA291" s="363">
        <v>2.1350709561254173</v>
      </c>
      <c r="EB291" s="435">
        <v>2.1419860311025327</v>
      </c>
      <c r="EC291" s="435">
        <v>2.1489011060796486</v>
      </c>
      <c r="ED291" s="435">
        <v>2.155816181056764</v>
      </c>
      <c r="EE291" s="435">
        <v>2.1627312560338798</v>
      </c>
      <c r="EF291" s="363">
        <v>2.1696463310109952</v>
      </c>
      <c r="EG291" s="364">
        <v>0</v>
      </c>
      <c r="EH291" s="364">
        <v>0</v>
      </c>
      <c r="EI291" s="364">
        <v>0</v>
      </c>
      <c r="EJ291" s="365">
        <v>0</v>
      </c>
      <c r="EK291" s="365">
        <v>0</v>
      </c>
      <c r="EL291" s="365">
        <v>0</v>
      </c>
      <c r="EM291" s="365">
        <v>0</v>
      </c>
      <c r="EN291" s="365">
        <v>0</v>
      </c>
      <c r="EO291" s="365">
        <v>0</v>
      </c>
      <c r="EP291" s="365">
        <v>0</v>
      </c>
      <c r="EQ291" s="365">
        <v>0</v>
      </c>
      <c r="ER291" s="365">
        <v>0</v>
      </c>
      <c r="ES291" s="365">
        <v>0</v>
      </c>
      <c r="ET291" s="365">
        <v>0</v>
      </c>
      <c r="EU291" s="365">
        <v>0</v>
      </c>
      <c r="EV291" s="436">
        <v>0</v>
      </c>
      <c r="EW291" s="436">
        <v>0</v>
      </c>
      <c r="EX291" s="436">
        <v>0</v>
      </c>
      <c r="EY291" s="436">
        <v>0</v>
      </c>
      <c r="EZ291" s="365">
        <v>0</v>
      </c>
      <c r="FA291" s="436">
        <v>0</v>
      </c>
      <c r="FB291" s="436">
        <v>0</v>
      </c>
      <c r="FC291" s="436">
        <v>0</v>
      </c>
      <c r="FD291" s="436">
        <v>0</v>
      </c>
      <c r="FE291" s="365">
        <v>0</v>
      </c>
      <c r="FF291" s="364">
        <v>0</v>
      </c>
      <c r="FG291" s="364">
        <v>0</v>
      </c>
      <c r="FH291" s="364">
        <v>0</v>
      </c>
      <c r="FI291" s="365">
        <v>0</v>
      </c>
      <c r="FJ291" s="365">
        <v>0</v>
      </c>
      <c r="FK291" s="365">
        <v>0</v>
      </c>
      <c r="FL291" s="365">
        <v>0</v>
      </c>
      <c r="FM291" s="365">
        <v>0</v>
      </c>
      <c r="FN291" s="365">
        <v>0</v>
      </c>
      <c r="FO291" s="365">
        <v>0</v>
      </c>
      <c r="FP291" s="365">
        <v>0</v>
      </c>
      <c r="FQ291" s="365">
        <v>0</v>
      </c>
      <c r="FR291" s="365">
        <v>0</v>
      </c>
      <c r="FS291" s="365">
        <v>0</v>
      </c>
      <c r="FT291" s="365">
        <v>0</v>
      </c>
      <c r="FU291" s="436">
        <v>0</v>
      </c>
      <c r="FV291" s="436">
        <v>0</v>
      </c>
      <c r="FW291" s="436">
        <v>0</v>
      </c>
      <c r="FX291" s="436">
        <v>0</v>
      </c>
      <c r="FY291" s="365">
        <v>0</v>
      </c>
      <c r="FZ291" s="436">
        <v>0</v>
      </c>
      <c r="GA291" s="436">
        <v>0</v>
      </c>
      <c r="GB291" s="436">
        <v>0</v>
      </c>
      <c r="GC291" s="436">
        <v>0</v>
      </c>
      <c r="GD291" s="365">
        <v>0</v>
      </c>
    </row>
    <row r="292" spans="1:186" ht="15" x14ac:dyDescent="0.25">
      <c r="A292" s="357">
        <v>138</v>
      </c>
      <c r="B292" s="357">
        <v>97</v>
      </c>
      <c r="C292" s="357" t="s">
        <v>1202</v>
      </c>
      <c r="D292" s="2">
        <v>99712</v>
      </c>
      <c r="E292" s="268" t="s">
        <v>19</v>
      </c>
      <c r="F292" s="358" t="s">
        <v>915</v>
      </c>
      <c r="G292" s="49">
        <v>32</v>
      </c>
      <c r="H292" s="49">
        <v>16</v>
      </c>
      <c r="I292" s="49">
        <v>13</v>
      </c>
      <c r="J292" s="49">
        <v>3</v>
      </c>
      <c r="K292" s="49">
        <v>0</v>
      </c>
      <c r="L292" s="49">
        <v>51</v>
      </c>
      <c r="M292" s="49">
        <v>51</v>
      </c>
      <c r="N292" s="49">
        <v>2</v>
      </c>
      <c r="O292" s="49">
        <v>0</v>
      </c>
      <c r="P292" s="49">
        <v>0</v>
      </c>
      <c r="Q292" s="49">
        <v>53</v>
      </c>
      <c r="R292" s="49">
        <v>0</v>
      </c>
      <c r="S292" s="49">
        <v>2051.4313725490197</v>
      </c>
      <c r="T292" s="49">
        <v>2051.4313725490197</v>
      </c>
      <c r="U292" s="49">
        <v>4336</v>
      </c>
      <c r="V292" s="49">
        <v>0</v>
      </c>
      <c r="W292" s="49">
        <v>0</v>
      </c>
      <c r="X292" s="49">
        <v>2137.6415094339623</v>
      </c>
      <c r="Y292" s="434">
        <v>104623</v>
      </c>
      <c r="Z292" s="434">
        <v>8672</v>
      </c>
      <c r="AA292" s="49">
        <v>0</v>
      </c>
      <c r="AB292" s="49">
        <v>16</v>
      </c>
      <c r="AC292" s="49">
        <v>0</v>
      </c>
      <c r="AD292" s="285">
        <v>2</v>
      </c>
      <c r="AE292" s="285">
        <v>0</v>
      </c>
      <c r="AF292" s="359">
        <v>18</v>
      </c>
      <c r="AG292" s="360">
        <v>0</v>
      </c>
      <c r="AH292" s="360">
        <v>13</v>
      </c>
      <c r="AI292" s="361">
        <v>13</v>
      </c>
      <c r="AJ292" s="360">
        <v>0</v>
      </c>
      <c r="AK292" s="360">
        <v>0</v>
      </c>
      <c r="AL292" s="360">
        <v>14.545827922331812</v>
      </c>
      <c r="AM292" s="360">
        <v>14.545827922331812</v>
      </c>
      <c r="AN292" s="360">
        <v>0</v>
      </c>
      <c r="AO292" s="360">
        <v>0</v>
      </c>
      <c r="AP292" s="360">
        <v>11.861903435042819</v>
      </c>
      <c r="AQ292" s="360">
        <v>11.861903435042819</v>
      </c>
      <c r="AR292" s="360">
        <v>0</v>
      </c>
      <c r="AS292" s="360">
        <v>1.8596827016276773</v>
      </c>
      <c r="AT292" s="360">
        <v>0</v>
      </c>
      <c r="AU292" s="360">
        <v>13.223819371630487</v>
      </c>
      <c r="AV292" s="360">
        <v>13.869080757416301</v>
      </c>
      <c r="AW292" s="360">
        <v>14.545827922331812</v>
      </c>
      <c r="AX292" s="360">
        <v>15.255597227159249</v>
      </c>
      <c r="AY292" s="360">
        <v>16</v>
      </c>
      <c r="AZ292" s="360">
        <v>10.82344254632928</v>
      </c>
      <c r="BA292" s="360">
        <v>11.330782423084997</v>
      </c>
      <c r="BB292" s="360">
        <v>11.861903435042819</v>
      </c>
      <c r="BC292" s="360">
        <v>12.417920303156913</v>
      </c>
      <c r="BD292" s="360">
        <v>13</v>
      </c>
      <c r="BE292" s="360">
        <v>1.7292098753666085</v>
      </c>
      <c r="BF292" s="360">
        <v>1.7932600739165065</v>
      </c>
      <c r="BG292" s="360">
        <v>1.8596827016276773</v>
      </c>
      <c r="BH292" s="360">
        <v>1.9285656336395076</v>
      </c>
      <c r="BI292" s="360">
        <v>2</v>
      </c>
      <c r="BJ292" s="362">
        <v>16.202524388541953</v>
      </c>
      <c r="BK292" s="362">
        <v>16.407612285081047</v>
      </c>
      <c r="BL292" s="362">
        <v>16.61529613792289</v>
      </c>
      <c r="BM292" s="363">
        <v>16.506057855697161</v>
      </c>
      <c r="BN292" s="363">
        <v>16.397537767249297</v>
      </c>
      <c r="BO292" s="363">
        <v>16.345175121617547</v>
      </c>
      <c r="BP292" s="363">
        <v>16.292979686861997</v>
      </c>
      <c r="BQ292" s="363">
        <v>16.240950929024194</v>
      </c>
      <c r="BR292" s="363">
        <v>16.189088315850789</v>
      </c>
      <c r="BS292" s="363">
        <v>16.137391316788097</v>
      </c>
      <c r="BT292" s="363">
        <v>16.256759081242198</v>
      </c>
      <c r="BU292" s="363">
        <v>16.377009805210079</v>
      </c>
      <c r="BV292" s="363">
        <v>16.49815001991486</v>
      </c>
      <c r="BW292" s="363">
        <v>16.620186304890918</v>
      </c>
      <c r="BX292" s="363">
        <v>16.743125288341204</v>
      </c>
      <c r="BY292" s="435">
        <v>16.810613760473633</v>
      </c>
      <c r="BZ292" s="435">
        <v>16.878102232606057</v>
      </c>
      <c r="CA292" s="435">
        <v>16.945590704738485</v>
      </c>
      <c r="CB292" s="435">
        <v>17.01307917687091</v>
      </c>
      <c r="CC292" s="363">
        <v>17.080567649003338</v>
      </c>
      <c r="CD292" s="435">
        <v>17.135888248820262</v>
      </c>
      <c r="CE292" s="435">
        <v>17.191208848637189</v>
      </c>
      <c r="CF292" s="435">
        <v>17.246529448454112</v>
      </c>
      <c r="CG292" s="435">
        <v>17.301850048271039</v>
      </c>
      <c r="CH292" s="363">
        <v>17.357170648087962</v>
      </c>
      <c r="CI292" s="362">
        <v>13.164551065690336</v>
      </c>
      <c r="CJ292" s="362">
        <v>13.331184981628351</v>
      </c>
      <c r="CK292" s="362">
        <v>13.499928112062348</v>
      </c>
      <c r="CL292" s="363">
        <v>13.411172007753944</v>
      </c>
      <c r="CM292" s="363">
        <v>13.322999435890052</v>
      </c>
      <c r="CN292" s="363">
        <v>13.280454786314257</v>
      </c>
      <c r="CO292" s="363">
        <v>13.238045995575373</v>
      </c>
      <c r="CP292" s="363">
        <v>13.195772629832158</v>
      </c>
      <c r="CQ292" s="363">
        <v>13.153634256628767</v>
      </c>
      <c r="CR292" s="363">
        <v>13.111630444890327</v>
      </c>
      <c r="CS292" s="363">
        <v>13.208616753509284</v>
      </c>
      <c r="CT292" s="363">
        <v>13.306320466733188</v>
      </c>
      <c r="CU292" s="363">
        <v>13.404746891180825</v>
      </c>
      <c r="CV292" s="363">
        <v>13.50390137272387</v>
      </c>
      <c r="CW292" s="363">
        <v>13.603789296777229</v>
      </c>
      <c r="CX292" s="435">
        <v>13.658623680384826</v>
      </c>
      <c r="CY292" s="435">
        <v>13.713458063992423</v>
      </c>
      <c r="CZ292" s="435">
        <v>13.768292447600018</v>
      </c>
      <c r="DA292" s="435">
        <v>13.823126831207615</v>
      </c>
      <c r="DB292" s="363">
        <v>13.877961214815212</v>
      </c>
      <c r="DC292" s="435">
        <v>13.922909202166464</v>
      </c>
      <c r="DD292" s="435">
        <v>13.967857189517716</v>
      </c>
      <c r="DE292" s="435">
        <v>14.012805176868966</v>
      </c>
      <c r="DF292" s="435">
        <v>14.057753164220218</v>
      </c>
      <c r="DG292" s="363">
        <v>14.10270115157147</v>
      </c>
      <c r="DH292" s="362">
        <v>2.0253155485677441</v>
      </c>
      <c r="DI292" s="362">
        <v>2.0509515356351309</v>
      </c>
      <c r="DJ292" s="362">
        <v>2.0769120172403612</v>
      </c>
      <c r="DK292" s="363">
        <v>2.0632572319621452</v>
      </c>
      <c r="DL292" s="363">
        <v>2.0496922209061621</v>
      </c>
      <c r="DM292" s="363">
        <v>2.0431468902021934</v>
      </c>
      <c r="DN292" s="363">
        <v>2.0366224608577497</v>
      </c>
      <c r="DO292" s="363">
        <v>2.0301188661280243</v>
      </c>
      <c r="DP292" s="363">
        <v>2.0236360394813486</v>
      </c>
      <c r="DQ292" s="363">
        <v>2.0171739145985121</v>
      </c>
      <c r="DR292" s="363">
        <v>2.0320948851552747</v>
      </c>
      <c r="DS292" s="363">
        <v>2.0471262256512599</v>
      </c>
      <c r="DT292" s="363">
        <v>2.0622687524893575</v>
      </c>
      <c r="DU292" s="363">
        <v>2.0775232881113648</v>
      </c>
      <c r="DV292" s="363">
        <v>2.0928906610426505</v>
      </c>
      <c r="DW292" s="435">
        <v>2.1013267200592041</v>
      </c>
      <c r="DX292" s="435">
        <v>2.1097627790757572</v>
      </c>
      <c r="DY292" s="435">
        <v>2.1181988380923107</v>
      </c>
      <c r="DZ292" s="435">
        <v>2.1266348971088638</v>
      </c>
      <c r="EA292" s="363">
        <v>2.1350709561254173</v>
      </c>
      <c r="EB292" s="435">
        <v>2.1419860311025327</v>
      </c>
      <c r="EC292" s="435">
        <v>2.1489011060796486</v>
      </c>
      <c r="ED292" s="435">
        <v>2.155816181056764</v>
      </c>
      <c r="EE292" s="435">
        <v>2.1627312560338798</v>
      </c>
      <c r="EF292" s="363">
        <v>2.1696463310109952</v>
      </c>
      <c r="EG292" s="364">
        <v>0</v>
      </c>
      <c r="EH292" s="364">
        <v>0</v>
      </c>
      <c r="EI292" s="364">
        <v>0</v>
      </c>
      <c r="EJ292" s="365">
        <v>0</v>
      </c>
      <c r="EK292" s="365">
        <v>0</v>
      </c>
      <c r="EL292" s="365">
        <v>0</v>
      </c>
      <c r="EM292" s="365">
        <v>0</v>
      </c>
      <c r="EN292" s="365">
        <v>0</v>
      </c>
      <c r="EO292" s="365">
        <v>0</v>
      </c>
      <c r="EP292" s="365">
        <v>0</v>
      </c>
      <c r="EQ292" s="365">
        <v>0</v>
      </c>
      <c r="ER292" s="365">
        <v>0</v>
      </c>
      <c r="ES292" s="365">
        <v>0</v>
      </c>
      <c r="ET292" s="365">
        <v>0</v>
      </c>
      <c r="EU292" s="365">
        <v>0</v>
      </c>
      <c r="EV292" s="436">
        <v>0</v>
      </c>
      <c r="EW292" s="436">
        <v>0</v>
      </c>
      <c r="EX292" s="436">
        <v>0</v>
      </c>
      <c r="EY292" s="436">
        <v>0</v>
      </c>
      <c r="EZ292" s="365">
        <v>0</v>
      </c>
      <c r="FA292" s="436">
        <v>0</v>
      </c>
      <c r="FB292" s="436">
        <v>0</v>
      </c>
      <c r="FC292" s="436">
        <v>0</v>
      </c>
      <c r="FD292" s="436">
        <v>0</v>
      </c>
      <c r="FE292" s="365">
        <v>0</v>
      </c>
      <c r="FF292" s="364">
        <v>0</v>
      </c>
      <c r="FG292" s="364">
        <v>0</v>
      </c>
      <c r="FH292" s="364">
        <v>0</v>
      </c>
      <c r="FI292" s="365">
        <v>0</v>
      </c>
      <c r="FJ292" s="365">
        <v>0</v>
      </c>
      <c r="FK292" s="365">
        <v>0</v>
      </c>
      <c r="FL292" s="365">
        <v>0</v>
      </c>
      <c r="FM292" s="365">
        <v>0</v>
      </c>
      <c r="FN292" s="365">
        <v>0</v>
      </c>
      <c r="FO292" s="365">
        <v>0</v>
      </c>
      <c r="FP292" s="365">
        <v>0</v>
      </c>
      <c r="FQ292" s="365">
        <v>0</v>
      </c>
      <c r="FR292" s="365">
        <v>0</v>
      </c>
      <c r="FS292" s="365">
        <v>0</v>
      </c>
      <c r="FT292" s="365">
        <v>0</v>
      </c>
      <c r="FU292" s="436">
        <v>0</v>
      </c>
      <c r="FV292" s="436">
        <v>0</v>
      </c>
      <c r="FW292" s="436">
        <v>0</v>
      </c>
      <c r="FX292" s="436">
        <v>0</v>
      </c>
      <c r="FY292" s="365">
        <v>0</v>
      </c>
      <c r="FZ292" s="436">
        <v>0</v>
      </c>
      <c r="GA292" s="436">
        <v>0</v>
      </c>
      <c r="GB292" s="436">
        <v>0</v>
      </c>
      <c r="GC292" s="436">
        <v>0</v>
      </c>
      <c r="GD292" s="365">
        <v>0</v>
      </c>
    </row>
    <row r="293" spans="1:186" ht="15" x14ac:dyDescent="0.25">
      <c r="A293" s="357">
        <v>139</v>
      </c>
      <c r="B293" s="357">
        <v>97</v>
      </c>
      <c r="C293" s="357" t="s">
        <v>1203</v>
      </c>
      <c r="D293" s="2">
        <v>99712</v>
      </c>
      <c r="E293" s="268" t="s">
        <v>19</v>
      </c>
      <c r="F293" s="358" t="s">
        <v>915</v>
      </c>
      <c r="G293" s="49">
        <v>44</v>
      </c>
      <c r="H293" s="49">
        <v>25</v>
      </c>
      <c r="I293" s="49">
        <v>19</v>
      </c>
      <c r="J293" s="49">
        <v>6</v>
      </c>
      <c r="K293" s="49">
        <v>0</v>
      </c>
      <c r="L293" s="49">
        <v>41</v>
      </c>
      <c r="M293" s="49">
        <v>41</v>
      </c>
      <c r="N293" s="49">
        <v>2</v>
      </c>
      <c r="O293" s="49">
        <v>0</v>
      </c>
      <c r="P293" s="49">
        <v>0</v>
      </c>
      <c r="Q293" s="49">
        <v>43</v>
      </c>
      <c r="R293" s="49">
        <v>0</v>
      </c>
      <c r="S293" s="49">
        <v>2037.3902439024391</v>
      </c>
      <c r="T293" s="49">
        <v>2037.3902439024391</v>
      </c>
      <c r="U293" s="49">
        <v>2499</v>
      </c>
      <c r="V293" s="49">
        <v>0</v>
      </c>
      <c r="W293" s="49">
        <v>0</v>
      </c>
      <c r="X293" s="49">
        <v>2058.8604651162791</v>
      </c>
      <c r="Y293" s="434">
        <v>83533</v>
      </c>
      <c r="Z293" s="434">
        <v>4998</v>
      </c>
      <c r="AA293" s="49">
        <v>0</v>
      </c>
      <c r="AB293" s="49">
        <v>25</v>
      </c>
      <c r="AC293" s="49">
        <v>0</v>
      </c>
      <c r="AD293" s="285">
        <v>2</v>
      </c>
      <c r="AE293" s="285">
        <v>0</v>
      </c>
      <c r="AF293" s="359">
        <v>27</v>
      </c>
      <c r="AG293" s="360">
        <v>0</v>
      </c>
      <c r="AH293" s="360">
        <v>19</v>
      </c>
      <c r="AI293" s="361">
        <v>19</v>
      </c>
      <c r="AJ293" s="360">
        <v>0</v>
      </c>
      <c r="AK293" s="360">
        <v>0</v>
      </c>
      <c r="AL293" s="360">
        <v>22.727856128643456</v>
      </c>
      <c r="AM293" s="360">
        <v>22.727856128643456</v>
      </c>
      <c r="AN293" s="360">
        <v>0</v>
      </c>
      <c r="AO293" s="360">
        <v>0</v>
      </c>
      <c r="AP293" s="360">
        <v>17.336628097370276</v>
      </c>
      <c r="AQ293" s="360">
        <v>17.336628097370276</v>
      </c>
      <c r="AR293" s="360">
        <v>0</v>
      </c>
      <c r="AS293" s="360">
        <v>1.8596827016276773</v>
      </c>
      <c r="AT293" s="360">
        <v>0</v>
      </c>
      <c r="AU293" s="360">
        <v>20.662217768172635</v>
      </c>
      <c r="AV293" s="360">
        <v>21.670438683462969</v>
      </c>
      <c r="AW293" s="360">
        <v>22.727856128643456</v>
      </c>
      <c r="AX293" s="360">
        <v>23.83687066743633</v>
      </c>
      <c r="AY293" s="360">
        <v>25</v>
      </c>
      <c r="AZ293" s="360">
        <v>15.818877567712025</v>
      </c>
      <c r="BA293" s="360">
        <v>16.560374310662688</v>
      </c>
      <c r="BB293" s="360">
        <v>17.336628097370276</v>
      </c>
      <c r="BC293" s="360">
        <v>18.149268135383181</v>
      </c>
      <c r="BD293" s="360">
        <v>19</v>
      </c>
      <c r="BE293" s="360">
        <v>1.7292098753666085</v>
      </c>
      <c r="BF293" s="360">
        <v>1.7932600739165065</v>
      </c>
      <c r="BG293" s="360">
        <v>1.8596827016276773</v>
      </c>
      <c r="BH293" s="360">
        <v>1.9285656336395076</v>
      </c>
      <c r="BI293" s="360">
        <v>2</v>
      </c>
      <c r="BJ293" s="362">
        <v>25.316444357096803</v>
      </c>
      <c r="BK293" s="362">
        <v>25.636894195439137</v>
      </c>
      <c r="BL293" s="362">
        <v>25.961400215504515</v>
      </c>
      <c r="BM293" s="363">
        <v>25.790715399526814</v>
      </c>
      <c r="BN293" s="363">
        <v>25.621152761327025</v>
      </c>
      <c r="BO293" s="363">
        <v>25.539336127527417</v>
      </c>
      <c r="BP293" s="363">
        <v>25.457780760721871</v>
      </c>
      <c r="BQ293" s="363">
        <v>25.376485826600302</v>
      </c>
      <c r="BR293" s="363">
        <v>25.29545049351686</v>
      </c>
      <c r="BS293" s="363">
        <v>25.2146739324814</v>
      </c>
      <c r="BT293" s="363">
        <v>25.401186064440932</v>
      </c>
      <c r="BU293" s="363">
        <v>25.589077820640746</v>
      </c>
      <c r="BV293" s="363">
        <v>25.778359406116969</v>
      </c>
      <c r="BW293" s="363">
        <v>25.969041101392058</v>
      </c>
      <c r="BX293" s="363">
        <v>26.161133263033133</v>
      </c>
      <c r="BY293" s="435">
        <v>26.26658400074005</v>
      </c>
      <c r="BZ293" s="435">
        <v>26.372034738446967</v>
      </c>
      <c r="CA293" s="435">
        <v>26.47748547615388</v>
      </c>
      <c r="CB293" s="435">
        <v>26.582936213860798</v>
      </c>
      <c r="CC293" s="363">
        <v>26.688386951567715</v>
      </c>
      <c r="CD293" s="435">
        <v>26.774825388781661</v>
      </c>
      <c r="CE293" s="435">
        <v>26.861263825995607</v>
      </c>
      <c r="CF293" s="435">
        <v>26.94770226320955</v>
      </c>
      <c r="CG293" s="435">
        <v>27.034140700423496</v>
      </c>
      <c r="CH293" s="363">
        <v>27.120579137637442</v>
      </c>
      <c r="CI293" s="362">
        <v>19.240497711393569</v>
      </c>
      <c r="CJ293" s="362">
        <v>19.484039588533744</v>
      </c>
      <c r="CK293" s="362">
        <v>19.73066416378343</v>
      </c>
      <c r="CL293" s="363">
        <v>19.600943703640379</v>
      </c>
      <c r="CM293" s="363">
        <v>19.472076098608539</v>
      </c>
      <c r="CN293" s="363">
        <v>19.409895456920836</v>
      </c>
      <c r="CO293" s="363">
        <v>19.347913378148622</v>
      </c>
      <c r="CP293" s="363">
        <v>19.286129228216229</v>
      </c>
      <c r="CQ293" s="363">
        <v>19.224542375072811</v>
      </c>
      <c r="CR293" s="363">
        <v>19.163152188685864</v>
      </c>
      <c r="CS293" s="363">
        <v>19.304901408975109</v>
      </c>
      <c r="CT293" s="363">
        <v>19.447699143686968</v>
      </c>
      <c r="CU293" s="363">
        <v>19.591553148648895</v>
      </c>
      <c r="CV293" s="363">
        <v>19.736471237057962</v>
      </c>
      <c r="CW293" s="363">
        <v>19.882461279905179</v>
      </c>
      <c r="CX293" s="435">
        <v>19.962603840562437</v>
      </c>
      <c r="CY293" s="435">
        <v>20.042746401219691</v>
      </c>
      <c r="CZ293" s="435">
        <v>20.122888961876949</v>
      </c>
      <c r="DA293" s="435">
        <v>20.203031522534204</v>
      </c>
      <c r="DB293" s="363">
        <v>20.283174083191462</v>
      </c>
      <c r="DC293" s="435">
        <v>20.348867295474061</v>
      </c>
      <c r="DD293" s="435">
        <v>20.414560507756658</v>
      </c>
      <c r="DE293" s="435">
        <v>20.480253720039258</v>
      </c>
      <c r="DF293" s="435">
        <v>20.545946932321854</v>
      </c>
      <c r="DG293" s="363">
        <v>20.611640144604454</v>
      </c>
      <c r="DH293" s="362">
        <v>2.0253155485677441</v>
      </c>
      <c r="DI293" s="362">
        <v>2.0509515356351309</v>
      </c>
      <c r="DJ293" s="362">
        <v>2.0769120172403612</v>
      </c>
      <c r="DK293" s="363">
        <v>2.0632572319621452</v>
      </c>
      <c r="DL293" s="363">
        <v>2.0496922209061621</v>
      </c>
      <c r="DM293" s="363">
        <v>2.0431468902021934</v>
      </c>
      <c r="DN293" s="363">
        <v>2.0366224608577497</v>
      </c>
      <c r="DO293" s="363">
        <v>2.0301188661280243</v>
      </c>
      <c r="DP293" s="363">
        <v>2.0236360394813486</v>
      </c>
      <c r="DQ293" s="363">
        <v>2.0171739145985121</v>
      </c>
      <c r="DR293" s="363">
        <v>2.0320948851552747</v>
      </c>
      <c r="DS293" s="363">
        <v>2.0471262256512599</v>
      </c>
      <c r="DT293" s="363">
        <v>2.0622687524893575</v>
      </c>
      <c r="DU293" s="363">
        <v>2.0775232881113648</v>
      </c>
      <c r="DV293" s="363">
        <v>2.0928906610426505</v>
      </c>
      <c r="DW293" s="435">
        <v>2.1013267200592041</v>
      </c>
      <c r="DX293" s="435">
        <v>2.1097627790757572</v>
      </c>
      <c r="DY293" s="435">
        <v>2.1181988380923107</v>
      </c>
      <c r="DZ293" s="435">
        <v>2.1266348971088638</v>
      </c>
      <c r="EA293" s="363">
        <v>2.1350709561254173</v>
      </c>
      <c r="EB293" s="435">
        <v>2.1419860311025327</v>
      </c>
      <c r="EC293" s="435">
        <v>2.1489011060796486</v>
      </c>
      <c r="ED293" s="435">
        <v>2.155816181056764</v>
      </c>
      <c r="EE293" s="435">
        <v>2.1627312560338798</v>
      </c>
      <c r="EF293" s="363">
        <v>2.1696463310109952</v>
      </c>
      <c r="EG293" s="364">
        <v>0</v>
      </c>
      <c r="EH293" s="364">
        <v>0</v>
      </c>
      <c r="EI293" s="364">
        <v>0</v>
      </c>
      <c r="EJ293" s="365">
        <v>0</v>
      </c>
      <c r="EK293" s="365">
        <v>0</v>
      </c>
      <c r="EL293" s="365">
        <v>0</v>
      </c>
      <c r="EM293" s="365">
        <v>0</v>
      </c>
      <c r="EN293" s="365">
        <v>0</v>
      </c>
      <c r="EO293" s="365">
        <v>0</v>
      </c>
      <c r="EP293" s="365">
        <v>0</v>
      </c>
      <c r="EQ293" s="365">
        <v>0</v>
      </c>
      <c r="ER293" s="365">
        <v>0</v>
      </c>
      <c r="ES293" s="365">
        <v>0</v>
      </c>
      <c r="ET293" s="365">
        <v>0</v>
      </c>
      <c r="EU293" s="365">
        <v>0</v>
      </c>
      <c r="EV293" s="436">
        <v>0</v>
      </c>
      <c r="EW293" s="436">
        <v>0</v>
      </c>
      <c r="EX293" s="436">
        <v>0</v>
      </c>
      <c r="EY293" s="436">
        <v>0</v>
      </c>
      <c r="EZ293" s="365">
        <v>0</v>
      </c>
      <c r="FA293" s="436">
        <v>0</v>
      </c>
      <c r="FB293" s="436">
        <v>0</v>
      </c>
      <c r="FC293" s="436">
        <v>0</v>
      </c>
      <c r="FD293" s="436">
        <v>0</v>
      </c>
      <c r="FE293" s="365">
        <v>0</v>
      </c>
      <c r="FF293" s="364">
        <v>0</v>
      </c>
      <c r="FG293" s="364">
        <v>0</v>
      </c>
      <c r="FH293" s="364">
        <v>0</v>
      </c>
      <c r="FI293" s="365">
        <v>0</v>
      </c>
      <c r="FJ293" s="365">
        <v>0</v>
      </c>
      <c r="FK293" s="365">
        <v>0</v>
      </c>
      <c r="FL293" s="365">
        <v>0</v>
      </c>
      <c r="FM293" s="365">
        <v>0</v>
      </c>
      <c r="FN293" s="365">
        <v>0</v>
      </c>
      <c r="FO293" s="365">
        <v>0</v>
      </c>
      <c r="FP293" s="365">
        <v>0</v>
      </c>
      <c r="FQ293" s="365">
        <v>0</v>
      </c>
      <c r="FR293" s="365">
        <v>0</v>
      </c>
      <c r="FS293" s="365">
        <v>0</v>
      </c>
      <c r="FT293" s="365">
        <v>0</v>
      </c>
      <c r="FU293" s="436">
        <v>0</v>
      </c>
      <c r="FV293" s="436">
        <v>0</v>
      </c>
      <c r="FW293" s="436">
        <v>0</v>
      </c>
      <c r="FX293" s="436">
        <v>0</v>
      </c>
      <c r="FY293" s="365">
        <v>0</v>
      </c>
      <c r="FZ293" s="436">
        <v>0</v>
      </c>
      <c r="GA293" s="436">
        <v>0</v>
      </c>
      <c r="GB293" s="436">
        <v>0</v>
      </c>
      <c r="GC293" s="436">
        <v>0</v>
      </c>
      <c r="GD293" s="365">
        <v>0</v>
      </c>
    </row>
    <row r="294" spans="1:186" ht="15" x14ac:dyDescent="0.25">
      <c r="A294" s="357">
        <v>141</v>
      </c>
      <c r="B294" s="357">
        <v>97</v>
      </c>
      <c r="C294" s="357" t="s">
        <v>1204</v>
      </c>
      <c r="D294" s="2">
        <v>99712</v>
      </c>
      <c r="E294" s="268" t="s">
        <v>19</v>
      </c>
      <c r="F294" s="358" t="s">
        <v>915</v>
      </c>
      <c r="G294" s="49">
        <v>9</v>
      </c>
      <c r="H294" s="49">
        <v>3</v>
      </c>
      <c r="I294" s="49">
        <v>3</v>
      </c>
      <c r="J294" s="49">
        <v>0</v>
      </c>
      <c r="K294" s="49">
        <v>0</v>
      </c>
      <c r="L294" s="49">
        <v>6</v>
      </c>
      <c r="M294" s="49">
        <v>6</v>
      </c>
      <c r="N294" s="49">
        <v>0</v>
      </c>
      <c r="O294" s="49">
        <v>0</v>
      </c>
      <c r="P294" s="49">
        <v>0</v>
      </c>
      <c r="Q294" s="49">
        <v>6</v>
      </c>
      <c r="R294" s="49">
        <v>0</v>
      </c>
      <c r="S294" s="49">
        <v>2149.8333333333335</v>
      </c>
      <c r="T294" s="49">
        <v>2149.8333333333335</v>
      </c>
      <c r="U294" s="49">
        <v>0</v>
      </c>
      <c r="V294" s="49">
        <v>0</v>
      </c>
      <c r="W294" s="49">
        <v>0</v>
      </c>
      <c r="X294" s="49">
        <v>2149.8333333333335</v>
      </c>
      <c r="Y294" s="434">
        <v>12899</v>
      </c>
      <c r="Z294" s="434">
        <v>0</v>
      </c>
      <c r="AA294" s="49">
        <v>0</v>
      </c>
      <c r="AB294" s="49">
        <v>3</v>
      </c>
      <c r="AC294" s="49">
        <v>0</v>
      </c>
      <c r="AD294" s="285">
        <v>0</v>
      </c>
      <c r="AE294" s="285">
        <v>0</v>
      </c>
      <c r="AF294" s="359">
        <v>3</v>
      </c>
      <c r="AG294" s="360">
        <v>0</v>
      </c>
      <c r="AH294" s="360">
        <v>3</v>
      </c>
      <c r="AI294" s="361">
        <v>3</v>
      </c>
      <c r="AJ294" s="360">
        <v>0</v>
      </c>
      <c r="AK294" s="360">
        <v>0</v>
      </c>
      <c r="AL294" s="360">
        <v>2.7273427354372148</v>
      </c>
      <c r="AM294" s="360">
        <v>2.7273427354372148</v>
      </c>
      <c r="AN294" s="360">
        <v>0</v>
      </c>
      <c r="AO294" s="360">
        <v>0</v>
      </c>
      <c r="AP294" s="360">
        <v>2.7373623311637276</v>
      </c>
      <c r="AQ294" s="360">
        <v>2.7373623311637276</v>
      </c>
      <c r="AR294" s="360">
        <v>0</v>
      </c>
      <c r="AS294" s="360">
        <v>0</v>
      </c>
      <c r="AT294" s="360">
        <v>0</v>
      </c>
      <c r="AU294" s="360">
        <v>2.4794661321807161</v>
      </c>
      <c r="AV294" s="360">
        <v>2.600452642015556</v>
      </c>
      <c r="AW294" s="360">
        <v>2.7273427354372148</v>
      </c>
      <c r="AX294" s="360">
        <v>2.8604244800923593</v>
      </c>
      <c r="AY294" s="360">
        <v>3</v>
      </c>
      <c r="AZ294" s="360">
        <v>2.4977175106913725</v>
      </c>
      <c r="BA294" s="360">
        <v>2.6147959437888453</v>
      </c>
      <c r="BB294" s="360">
        <v>2.7373623311637276</v>
      </c>
      <c r="BC294" s="360">
        <v>2.8656739161131335</v>
      </c>
      <c r="BD294" s="360">
        <v>3</v>
      </c>
      <c r="BE294" s="360">
        <v>0</v>
      </c>
      <c r="BF294" s="360">
        <v>0</v>
      </c>
      <c r="BG294" s="360">
        <v>0</v>
      </c>
      <c r="BH294" s="360">
        <v>0</v>
      </c>
      <c r="BI294" s="360">
        <v>0</v>
      </c>
      <c r="BJ294" s="362">
        <v>3.0379733228516161</v>
      </c>
      <c r="BK294" s="362">
        <v>3.0764273034526965</v>
      </c>
      <c r="BL294" s="362">
        <v>3.1153680258605418</v>
      </c>
      <c r="BM294" s="363">
        <v>3.094885847943218</v>
      </c>
      <c r="BN294" s="363">
        <v>3.0745383313592431</v>
      </c>
      <c r="BO294" s="363">
        <v>3.0647203353032899</v>
      </c>
      <c r="BP294" s="363">
        <v>3.0549336912866245</v>
      </c>
      <c r="BQ294" s="363">
        <v>3.0451782991920364</v>
      </c>
      <c r="BR294" s="363">
        <v>3.0354540592220234</v>
      </c>
      <c r="BS294" s="363">
        <v>3.0257608718977682</v>
      </c>
      <c r="BT294" s="363">
        <v>3.0481423277329118</v>
      </c>
      <c r="BU294" s="363">
        <v>3.0706893384768899</v>
      </c>
      <c r="BV294" s="363">
        <v>3.0934031287340367</v>
      </c>
      <c r="BW294" s="363">
        <v>3.1162849321670469</v>
      </c>
      <c r="BX294" s="363">
        <v>3.1393359915639762</v>
      </c>
      <c r="BY294" s="435">
        <v>3.1519900800888063</v>
      </c>
      <c r="BZ294" s="435">
        <v>3.164644168613636</v>
      </c>
      <c r="CA294" s="435">
        <v>3.177298257138466</v>
      </c>
      <c r="CB294" s="435">
        <v>3.1899523456632957</v>
      </c>
      <c r="CC294" s="363">
        <v>3.2026064341881257</v>
      </c>
      <c r="CD294" s="435">
        <v>3.2129790466537993</v>
      </c>
      <c r="CE294" s="435">
        <v>3.2233516591194729</v>
      </c>
      <c r="CF294" s="435">
        <v>3.233724271585146</v>
      </c>
      <c r="CG294" s="435">
        <v>3.2440968840508195</v>
      </c>
      <c r="CH294" s="363">
        <v>3.2544694965164931</v>
      </c>
      <c r="CI294" s="362">
        <v>3.0379733228516161</v>
      </c>
      <c r="CJ294" s="362">
        <v>3.0764273034526965</v>
      </c>
      <c r="CK294" s="362">
        <v>3.1153680258605418</v>
      </c>
      <c r="CL294" s="363">
        <v>3.094885847943218</v>
      </c>
      <c r="CM294" s="363">
        <v>3.0745383313592431</v>
      </c>
      <c r="CN294" s="363">
        <v>3.0647203353032899</v>
      </c>
      <c r="CO294" s="363">
        <v>3.0549336912866245</v>
      </c>
      <c r="CP294" s="363">
        <v>3.0451782991920364</v>
      </c>
      <c r="CQ294" s="363">
        <v>3.0354540592220234</v>
      </c>
      <c r="CR294" s="363">
        <v>3.0257608718977682</v>
      </c>
      <c r="CS294" s="363">
        <v>3.0481423277329118</v>
      </c>
      <c r="CT294" s="363">
        <v>3.0706893384768899</v>
      </c>
      <c r="CU294" s="363">
        <v>3.0934031287340367</v>
      </c>
      <c r="CV294" s="363">
        <v>3.1162849321670469</v>
      </c>
      <c r="CW294" s="363">
        <v>3.1393359915639762</v>
      </c>
      <c r="CX294" s="435">
        <v>3.1519900800888063</v>
      </c>
      <c r="CY294" s="435">
        <v>3.164644168613636</v>
      </c>
      <c r="CZ294" s="435">
        <v>3.177298257138466</v>
      </c>
      <c r="DA294" s="435">
        <v>3.1899523456632957</v>
      </c>
      <c r="DB294" s="363">
        <v>3.2026064341881257</v>
      </c>
      <c r="DC294" s="435">
        <v>3.2129790466537993</v>
      </c>
      <c r="DD294" s="435">
        <v>3.2233516591194729</v>
      </c>
      <c r="DE294" s="435">
        <v>3.233724271585146</v>
      </c>
      <c r="DF294" s="435">
        <v>3.2440968840508195</v>
      </c>
      <c r="DG294" s="363">
        <v>3.2544694965164931</v>
      </c>
      <c r="DH294" s="362">
        <v>0</v>
      </c>
      <c r="DI294" s="362">
        <v>0</v>
      </c>
      <c r="DJ294" s="362">
        <v>0</v>
      </c>
      <c r="DK294" s="363">
        <v>0</v>
      </c>
      <c r="DL294" s="363">
        <v>0</v>
      </c>
      <c r="DM294" s="363">
        <v>0</v>
      </c>
      <c r="DN294" s="363">
        <v>0</v>
      </c>
      <c r="DO294" s="363">
        <v>0</v>
      </c>
      <c r="DP294" s="363">
        <v>0</v>
      </c>
      <c r="DQ294" s="363">
        <v>0</v>
      </c>
      <c r="DR294" s="363">
        <v>0</v>
      </c>
      <c r="DS294" s="363">
        <v>0</v>
      </c>
      <c r="DT294" s="363">
        <v>0</v>
      </c>
      <c r="DU294" s="363">
        <v>0</v>
      </c>
      <c r="DV294" s="363">
        <v>0</v>
      </c>
      <c r="DW294" s="435">
        <v>0</v>
      </c>
      <c r="DX294" s="435">
        <v>0</v>
      </c>
      <c r="DY294" s="435">
        <v>0</v>
      </c>
      <c r="DZ294" s="435">
        <v>0</v>
      </c>
      <c r="EA294" s="363">
        <v>0</v>
      </c>
      <c r="EB294" s="435">
        <v>0</v>
      </c>
      <c r="EC294" s="435">
        <v>0</v>
      </c>
      <c r="ED294" s="435">
        <v>0</v>
      </c>
      <c r="EE294" s="435">
        <v>0</v>
      </c>
      <c r="EF294" s="363">
        <v>0</v>
      </c>
      <c r="EG294" s="364">
        <v>0</v>
      </c>
      <c r="EH294" s="364">
        <v>0</v>
      </c>
      <c r="EI294" s="364">
        <v>0</v>
      </c>
      <c r="EJ294" s="365">
        <v>0</v>
      </c>
      <c r="EK294" s="365">
        <v>0</v>
      </c>
      <c r="EL294" s="365">
        <v>0</v>
      </c>
      <c r="EM294" s="365">
        <v>0</v>
      </c>
      <c r="EN294" s="365">
        <v>0</v>
      </c>
      <c r="EO294" s="365">
        <v>0</v>
      </c>
      <c r="EP294" s="365">
        <v>0</v>
      </c>
      <c r="EQ294" s="365">
        <v>0</v>
      </c>
      <c r="ER294" s="365">
        <v>0</v>
      </c>
      <c r="ES294" s="365">
        <v>0</v>
      </c>
      <c r="ET294" s="365">
        <v>0</v>
      </c>
      <c r="EU294" s="365">
        <v>0</v>
      </c>
      <c r="EV294" s="436">
        <v>0</v>
      </c>
      <c r="EW294" s="436">
        <v>0</v>
      </c>
      <c r="EX294" s="436">
        <v>0</v>
      </c>
      <c r="EY294" s="436">
        <v>0</v>
      </c>
      <c r="EZ294" s="365">
        <v>0</v>
      </c>
      <c r="FA294" s="436">
        <v>0</v>
      </c>
      <c r="FB294" s="436">
        <v>0</v>
      </c>
      <c r="FC294" s="436">
        <v>0</v>
      </c>
      <c r="FD294" s="436">
        <v>0</v>
      </c>
      <c r="FE294" s="365">
        <v>0</v>
      </c>
      <c r="FF294" s="364">
        <v>0</v>
      </c>
      <c r="FG294" s="364">
        <v>0</v>
      </c>
      <c r="FH294" s="364">
        <v>0</v>
      </c>
      <c r="FI294" s="365">
        <v>0</v>
      </c>
      <c r="FJ294" s="365">
        <v>0</v>
      </c>
      <c r="FK294" s="365">
        <v>0</v>
      </c>
      <c r="FL294" s="365">
        <v>0</v>
      </c>
      <c r="FM294" s="365">
        <v>0</v>
      </c>
      <c r="FN294" s="365">
        <v>0</v>
      </c>
      <c r="FO294" s="365">
        <v>0</v>
      </c>
      <c r="FP294" s="365">
        <v>0</v>
      </c>
      <c r="FQ294" s="365">
        <v>0</v>
      </c>
      <c r="FR294" s="365">
        <v>0</v>
      </c>
      <c r="FS294" s="365">
        <v>0</v>
      </c>
      <c r="FT294" s="365">
        <v>0</v>
      </c>
      <c r="FU294" s="436">
        <v>0</v>
      </c>
      <c r="FV294" s="436">
        <v>0</v>
      </c>
      <c r="FW294" s="436">
        <v>0</v>
      </c>
      <c r="FX294" s="436">
        <v>0</v>
      </c>
      <c r="FY294" s="365">
        <v>0</v>
      </c>
      <c r="FZ294" s="436">
        <v>0</v>
      </c>
      <c r="GA294" s="436">
        <v>0</v>
      </c>
      <c r="GB294" s="436">
        <v>0</v>
      </c>
      <c r="GC294" s="436">
        <v>0</v>
      </c>
      <c r="GD294" s="365">
        <v>0</v>
      </c>
    </row>
    <row r="295" spans="1:186" ht="15" x14ac:dyDescent="0.25">
      <c r="A295" s="357">
        <v>89</v>
      </c>
      <c r="B295" s="357">
        <v>98</v>
      </c>
      <c r="C295" s="357" t="s">
        <v>1205</v>
      </c>
      <c r="D295" s="2">
        <v>99709</v>
      </c>
      <c r="E295" s="268" t="s">
        <v>19</v>
      </c>
      <c r="F295" s="358" t="s">
        <v>915</v>
      </c>
      <c r="G295" s="49">
        <v>55</v>
      </c>
      <c r="H295" s="49">
        <v>34</v>
      </c>
      <c r="I295" s="49">
        <v>27</v>
      </c>
      <c r="J295" s="49">
        <v>7</v>
      </c>
      <c r="K295" s="49">
        <v>0</v>
      </c>
      <c r="L295" s="49">
        <v>0</v>
      </c>
      <c r="M295" s="49">
        <v>0</v>
      </c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49">
        <v>834.49503068156923</v>
      </c>
      <c r="T295" s="49">
        <v>834.49503068156923</v>
      </c>
      <c r="U295" s="49">
        <v>1408.3846153846155</v>
      </c>
      <c r="V295" s="49">
        <v>0</v>
      </c>
      <c r="W295" s="49">
        <v>0</v>
      </c>
      <c r="X295" s="49">
        <v>1365.173957061457</v>
      </c>
      <c r="Y295" s="434">
        <v>0</v>
      </c>
      <c r="Z295" s="434">
        <v>0</v>
      </c>
      <c r="AA295" s="49">
        <v>0.77901940401940406</v>
      </c>
      <c r="AB295" s="49">
        <v>33.176801801801801</v>
      </c>
      <c r="AC295" s="49">
        <v>4.4178794178794181E-2</v>
      </c>
      <c r="AD295" s="285">
        <v>0</v>
      </c>
      <c r="AE295" s="285">
        <v>0</v>
      </c>
      <c r="AF295" s="359">
        <v>33.999999999999993</v>
      </c>
      <c r="AG295" s="360">
        <v>0.61863305613305619</v>
      </c>
      <c r="AH295" s="360">
        <v>26.346283783783782</v>
      </c>
      <c r="AI295" s="361">
        <v>26.964916839916839</v>
      </c>
      <c r="AJ295" s="360">
        <v>3.5083160083160085E-2</v>
      </c>
      <c r="AK295" s="360">
        <v>0.74174986541100141</v>
      </c>
      <c r="AL295" s="360">
        <v>31.589570355093478</v>
      </c>
      <c r="AM295" s="360">
        <v>32.33132022050448</v>
      </c>
      <c r="AN295" s="360">
        <v>4.2065209758657927E-2</v>
      </c>
      <c r="AO295" s="360">
        <v>0.59014786748743053</v>
      </c>
      <c r="AP295" s="360">
        <v>25.133159369800229</v>
      </c>
      <c r="AQ295" s="360">
        <v>25.72330723728766</v>
      </c>
      <c r="AR295" s="360">
        <v>3.3467742957699276E-2</v>
      </c>
      <c r="AS295" s="360">
        <v>0</v>
      </c>
      <c r="AT295" s="360">
        <v>0</v>
      </c>
      <c r="AU295" s="360">
        <v>30.784537969636812</v>
      </c>
      <c r="AV295" s="360">
        <v>31.548450911837278</v>
      </c>
      <c r="AW295" s="360">
        <v>32.331320220504473</v>
      </c>
      <c r="AX295" s="360">
        <v>33.133616294567091</v>
      </c>
      <c r="AY295" s="360">
        <v>33.955821205821202</v>
      </c>
      <c r="AZ295" s="360">
        <v>24.538868009575378</v>
      </c>
      <c r="BA295" s="360">
        <v>25.124108761616938</v>
      </c>
      <c r="BB295" s="360">
        <v>25.72330723728766</v>
      </c>
      <c r="BC295" s="360">
        <v>26.336796321897101</v>
      </c>
      <c r="BD295" s="360">
        <v>26.964916839916839</v>
      </c>
      <c r="BE295" s="360">
        <v>0</v>
      </c>
      <c r="BF295" s="360">
        <v>0</v>
      </c>
      <c r="BG295" s="360">
        <v>0</v>
      </c>
      <c r="BH295" s="360">
        <v>0</v>
      </c>
      <c r="BI295" s="360">
        <v>0</v>
      </c>
      <c r="BJ295" s="362">
        <v>34.129764280628343</v>
      </c>
      <c r="BK295" s="362">
        <v>34.304598401276785</v>
      </c>
      <c r="BL295" s="362">
        <v>34.480328132263807</v>
      </c>
      <c r="BM295" s="363">
        <v>34.253635102871989</v>
      </c>
      <c r="BN295" s="363">
        <v>34.02843248068794</v>
      </c>
      <c r="BO295" s="363">
        <v>33.919768681483347</v>
      </c>
      <c r="BP295" s="363">
        <v>33.811451880961819</v>
      </c>
      <c r="BQ295" s="363">
        <v>33.703480971044236</v>
      </c>
      <c r="BR295" s="363">
        <v>33.595854847189955</v>
      </c>
      <c r="BS295" s="363">
        <v>33.48857240838548</v>
      </c>
      <c r="BT295" s="363">
        <v>33.736286301212111</v>
      </c>
      <c r="BU295" s="363">
        <v>33.985832525735383</v>
      </c>
      <c r="BV295" s="363">
        <v>34.237224635653924</v>
      </c>
      <c r="BW295" s="363">
        <v>34.490476284922629</v>
      </c>
      <c r="BX295" s="363">
        <v>34.745601228494223</v>
      </c>
      <c r="BY295" s="435">
        <v>34.885654384631472</v>
      </c>
      <c r="BZ295" s="435">
        <v>35.025707540768728</v>
      </c>
      <c r="CA295" s="435">
        <v>35.165760696905977</v>
      </c>
      <c r="CB295" s="435">
        <v>35.305813853043233</v>
      </c>
      <c r="CC295" s="363">
        <v>35.445867009180482</v>
      </c>
      <c r="CD295" s="435">
        <v>35.560669202191512</v>
      </c>
      <c r="CE295" s="435">
        <v>35.675471395202543</v>
      </c>
      <c r="CF295" s="435">
        <v>35.790273588213566</v>
      </c>
      <c r="CG295" s="435">
        <v>35.905075781224596</v>
      </c>
      <c r="CH295" s="363">
        <v>36.019877974235627</v>
      </c>
      <c r="CI295" s="362">
        <v>27.103048105204863</v>
      </c>
      <c r="CJ295" s="362">
        <v>27.241886965719804</v>
      </c>
      <c r="CK295" s="362">
        <v>27.381437046209491</v>
      </c>
      <c r="CL295" s="363">
        <v>27.201416111104223</v>
      </c>
      <c r="CM295" s="363">
        <v>27.022578734663949</v>
      </c>
      <c r="CN295" s="363">
        <v>26.936286894119124</v>
      </c>
      <c r="CO295" s="363">
        <v>26.850270611352027</v>
      </c>
      <c r="CP295" s="363">
        <v>26.764529006417479</v>
      </c>
      <c r="CQ295" s="363">
        <v>26.679061202180257</v>
      </c>
      <c r="CR295" s="363">
        <v>26.593866324306113</v>
      </c>
      <c r="CS295" s="363">
        <v>26.790580298021379</v>
      </c>
      <c r="CT295" s="363">
        <v>26.988749358672216</v>
      </c>
      <c r="CU295" s="363">
        <v>27.18838426948988</v>
      </c>
      <c r="CV295" s="363">
        <v>27.389495873320907</v>
      </c>
      <c r="CW295" s="363">
        <v>27.592095093215995</v>
      </c>
      <c r="CX295" s="435">
        <v>27.703313776030871</v>
      </c>
      <c r="CY295" s="435">
        <v>27.814532458845751</v>
      </c>
      <c r="CZ295" s="435">
        <v>27.925751141660626</v>
      </c>
      <c r="DA295" s="435">
        <v>28.036969824475506</v>
      </c>
      <c r="DB295" s="363">
        <v>28.148188507290381</v>
      </c>
      <c r="DC295" s="435">
        <v>28.239354954681492</v>
      </c>
      <c r="DD295" s="435">
        <v>28.330521402072602</v>
      </c>
      <c r="DE295" s="435">
        <v>28.421687849463716</v>
      </c>
      <c r="DF295" s="435">
        <v>28.512854296854826</v>
      </c>
      <c r="DG295" s="363">
        <v>28.604020744245936</v>
      </c>
      <c r="DH295" s="362">
        <v>0</v>
      </c>
      <c r="DI295" s="362">
        <v>0</v>
      </c>
      <c r="DJ295" s="362">
        <v>0</v>
      </c>
      <c r="DK295" s="363">
        <v>0</v>
      </c>
      <c r="DL295" s="363">
        <v>0</v>
      </c>
      <c r="DM295" s="363">
        <v>0</v>
      </c>
      <c r="DN295" s="363">
        <v>0</v>
      </c>
      <c r="DO295" s="363">
        <v>0</v>
      </c>
      <c r="DP295" s="363">
        <v>0</v>
      </c>
      <c r="DQ295" s="363">
        <v>0</v>
      </c>
      <c r="DR295" s="363">
        <v>0</v>
      </c>
      <c r="DS295" s="363">
        <v>0</v>
      </c>
      <c r="DT295" s="363">
        <v>0</v>
      </c>
      <c r="DU295" s="363">
        <v>0</v>
      </c>
      <c r="DV295" s="363">
        <v>0</v>
      </c>
      <c r="DW295" s="435">
        <v>0</v>
      </c>
      <c r="DX295" s="435">
        <v>0</v>
      </c>
      <c r="DY295" s="435">
        <v>0</v>
      </c>
      <c r="DZ295" s="435">
        <v>0</v>
      </c>
      <c r="EA295" s="363">
        <v>0</v>
      </c>
      <c r="EB295" s="435">
        <v>0</v>
      </c>
      <c r="EC295" s="435">
        <v>0</v>
      </c>
      <c r="ED295" s="435">
        <v>0</v>
      </c>
      <c r="EE295" s="435">
        <v>0</v>
      </c>
      <c r="EF295" s="363">
        <v>0</v>
      </c>
      <c r="EG295" s="364">
        <v>4.4405105751533114E-2</v>
      </c>
      <c r="EH295" s="364">
        <v>4.4632576634500119E-2</v>
      </c>
      <c r="EI295" s="364">
        <v>4.4861212766411411E-2</v>
      </c>
      <c r="EJ295" s="365">
        <v>4.4566269975113176E-2</v>
      </c>
      <c r="EK295" s="365">
        <v>4.4273266303263004E-2</v>
      </c>
      <c r="EL295" s="365">
        <v>4.4131887433623923E-2</v>
      </c>
      <c r="EM295" s="365">
        <v>4.3990960032476996E-2</v>
      </c>
      <c r="EN295" s="365">
        <v>4.3850482658137187E-2</v>
      </c>
      <c r="EO295" s="365">
        <v>4.3710453873523236E-2</v>
      </c>
      <c r="EP295" s="365">
        <v>4.3570872246142964E-2</v>
      </c>
      <c r="EQ295" s="365">
        <v>4.3893164586536706E-2</v>
      </c>
      <c r="ER295" s="365">
        <v>4.4217840913004666E-2</v>
      </c>
      <c r="ES295" s="365">
        <v>4.4544918859815159E-2</v>
      </c>
      <c r="ET295" s="365">
        <v>4.4874416191676599E-2</v>
      </c>
      <c r="EU295" s="365">
        <v>4.5206350804702346E-2</v>
      </c>
      <c r="EV295" s="436">
        <v>4.5388569326868952E-2</v>
      </c>
      <c r="EW295" s="436">
        <v>4.5570787849035559E-2</v>
      </c>
      <c r="EX295" s="436">
        <v>4.5753006371202158E-2</v>
      </c>
      <c r="EY295" s="436">
        <v>4.5935224893368765E-2</v>
      </c>
      <c r="EZ295" s="365">
        <v>4.6117443415535371E-2</v>
      </c>
      <c r="FA295" s="436">
        <v>4.626680874602071E-2</v>
      </c>
      <c r="FB295" s="436">
        <v>4.6416174076506042E-2</v>
      </c>
      <c r="FC295" s="436">
        <v>4.6565539406991381E-2</v>
      </c>
      <c r="FD295" s="436">
        <v>4.6714904737476713E-2</v>
      </c>
      <c r="FE295" s="365">
        <v>4.6864270067962052E-2</v>
      </c>
      <c r="FF295" s="364">
        <v>0</v>
      </c>
      <c r="FG295" s="364">
        <v>0</v>
      </c>
      <c r="FH295" s="364">
        <v>0</v>
      </c>
      <c r="FI295" s="365">
        <v>0</v>
      </c>
      <c r="FJ295" s="365">
        <v>0</v>
      </c>
      <c r="FK295" s="365">
        <v>0</v>
      </c>
      <c r="FL295" s="365">
        <v>0</v>
      </c>
      <c r="FM295" s="365">
        <v>0</v>
      </c>
      <c r="FN295" s="365">
        <v>0</v>
      </c>
      <c r="FO295" s="365">
        <v>0</v>
      </c>
      <c r="FP295" s="365">
        <v>0</v>
      </c>
      <c r="FQ295" s="365">
        <v>0</v>
      </c>
      <c r="FR295" s="365">
        <v>0</v>
      </c>
      <c r="FS295" s="365">
        <v>0</v>
      </c>
      <c r="FT295" s="365">
        <v>0</v>
      </c>
      <c r="FU295" s="436">
        <v>0</v>
      </c>
      <c r="FV295" s="436">
        <v>0</v>
      </c>
      <c r="FW295" s="436">
        <v>0</v>
      </c>
      <c r="FX295" s="436">
        <v>0</v>
      </c>
      <c r="FY295" s="365">
        <v>0</v>
      </c>
      <c r="FZ295" s="436">
        <v>0</v>
      </c>
      <c r="GA295" s="436">
        <v>0</v>
      </c>
      <c r="GB295" s="436">
        <v>0</v>
      </c>
      <c r="GC295" s="436">
        <v>0</v>
      </c>
      <c r="GD295" s="365">
        <v>0</v>
      </c>
    </row>
    <row r="296" spans="1:186" ht="15" x14ac:dyDescent="0.25">
      <c r="A296" s="357">
        <v>90</v>
      </c>
      <c r="B296" s="357">
        <v>98</v>
      </c>
      <c r="C296" s="357" t="s">
        <v>1206</v>
      </c>
      <c r="D296" s="2">
        <v>99709</v>
      </c>
      <c r="E296" s="268" t="s">
        <v>19</v>
      </c>
      <c r="F296" s="358" t="s">
        <v>915</v>
      </c>
      <c r="G296" s="49">
        <v>10</v>
      </c>
      <c r="H296" s="49">
        <v>3</v>
      </c>
      <c r="I296" s="49">
        <v>3</v>
      </c>
      <c r="J296" s="49">
        <v>0</v>
      </c>
      <c r="K296" s="49">
        <v>0</v>
      </c>
      <c r="L296" s="49">
        <v>2</v>
      </c>
      <c r="M296" s="49">
        <v>2</v>
      </c>
      <c r="N296" s="49">
        <v>0</v>
      </c>
      <c r="O296" s="49">
        <v>0</v>
      </c>
      <c r="P296" s="49">
        <v>0</v>
      </c>
      <c r="Q296" s="49">
        <v>2</v>
      </c>
      <c r="R296" s="49">
        <v>0</v>
      </c>
      <c r="S296" s="49">
        <v>1071</v>
      </c>
      <c r="T296" s="49">
        <v>1071</v>
      </c>
      <c r="U296" s="49">
        <v>0</v>
      </c>
      <c r="V296" s="49">
        <v>0</v>
      </c>
      <c r="W296" s="49">
        <v>0</v>
      </c>
      <c r="X296" s="49">
        <v>1071</v>
      </c>
      <c r="Y296" s="434">
        <v>2142</v>
      </c>
      <c r="Z296" s="434">
        <v>0</v>
      </c>
      <c r="AA296" s="49">
        <v>0</v>
      </c>
      <c r="AB296" s="49">
        <v>3</v>
      </c>
      <c r="AC296" s="49">
        <v>0</v>
      </c>
      <c r="AD296" s="285">
        <v>0</v>
      </c>
      <c r="AE296" s="285">
        <v>0</v>
      </c>
      <c r="AF296" s="359">
        <v>3</v>
      </c>
      <c r="AG296" s="360">
        <v>0</v>
      </c>
      <c r="AH296" s="360">
        <v>3</v>
      </c>
      <c r="AI296" s="361">
        <v>3</v>
      </c>
      <c r="AJ296" s="360">
        <v>0</v>
      </c>
      <c r="AK296" s="360">
        <v>0</v>
      </c>
      <c r="AL296" s="360">
        <v>2.8564751850232182</v>
      </c>
      <c r="AM296" s="360">
        <v>2.8564751850232182</v>
      </c>
      <c r="AN296" s="360">
        <v>0</v>
      </c>
      <c r="AO296" s="360">
        <v>0</v>
      </c>
      <c r="AP296" s="360">
        <v>2.861863886693929</v>
      </c>
      <c r="AQ296" s="360">
        <v>2.861863886693929</v>
      </c>
      <c r="AR296" s="360">
        <v>0</v>
      </c>
      <c r="AS296" s="360">
        <v>0</v>
      </c>
      <c r="AT296" s="360">
        <v>0</v>
      </c>
      <c r="AU296" s="360">
        <v>2.7198168275511425</v>
      </c>
      <c r="AV296" s="360">
        <v>2.7873086079062741</v>
      </c>
      <c r="AW296" s="360">
        <v>2.8564751850232182</v>
      </c>
      <c r="AX296" s="360">
        <v>2.9273581186916053</v>
      </c>
      <c r="AY296" s="360">
        <v>3</v>
      </c>
      <c r="AZ296" s="360">
        <v>2.7300883019876268</v>
      </c>
      <c r="BA296" s="360">
        <v>2.7951996563651655</v>
      </c>
      <c r="BB296" s="360">
        <v>2.861863886693929</v>
      </c>
      <c r="BC296" s="360">
        <v>2.9301180283534292</v>
      </c>
      <c r="BD296" s="360">
        <v>3</v>
      </c>
      <c r="BE296" s="360">
        <v>0</v>
      </c>
      <c r="BF296" s="360">
        <v>0</v>
      </c>
      <c r="BG296" s="360">
        <v>0</v>
      </c>
      <c r="BH296" s="360">
        <v>0</v>
      </c>
      <c r="BI296" s="360">
        <v>0</v>
      </c>
      <c r="BJ296" s="362">
        <v>3.015367887033519</v>
      </c>
      <c r="BK296" s="362">
        <v>3.0308144980509963</v>
      </c>
      <c r="BL296" s="362">
        <v>3.0463402363261958</v>
      </c>
      <c r="BM296" s="363">
        <v>3.02631188583945</v>
      </c>
      <c r="BN296" s="363">
        <v>3.0064152129698121</v>
      </c>
      <c r="BO296" s="363">
        <v>2.9968147560809091</v>
      </c>
      <c r="BP296" s="363">
        <v>2.9872449565583201</v>
      </c>
      <c r="BQ296" s="363">
        <v>2.9777057165031509</v>
      </c>
      <c r="BR296" s="363">
        <v>2.9681969383291307</v>
      </c>
      <c r="BS296" s="363">
        <v>2.9587185247616135</v>
      </c>
      <c r="BT296" s="363">
        <v>2.9806040705116454</v>
      </c>
      <c r="BU296" s="363">
        <v>3.002651502939564</v>
      </c>
      <c r="BV296" s="363">
        <v>3.0248620195159184</v>
      </c>
      <c r="BW296" s="363">
        <v>3.0472368265689092</v>
      </c>
      <c r="BX296" s="363">
        <v>3.0697771393499051</v>
      </c>
      <c r="BY296" s="435">
        <v>3.0821508488786775</v>
      </c>
      <c r="BZ296" s="435">
        <v>3.0945245584074499</v>
      </c>
      <c r="CA296" s="435">
        <v>3.1068982679362218</v>
      </c>
      <c r="CB296" s="435">
        <v>3.1192719774649942</v>
      </c>
      <c r="CC296" s="363">
        <v>3.1316456869937666</v>
      </c>
      <c r="CD296" s="435">
        <v>3.141788471553312</v>
      </c>
      <c r="CE296" s="435">
        <v>3.1519312561128574</v>
      </c>
      <c r="CF296" s="435">
        <v>3.1620740406724024</v>
      </c>
      <c r="CG296" s="435">
        <v>3.1722168252319478</v>
      </c>
      <c r="CH296" s="363">
        <v>3.1823596097914932</v>
      </c>
      <c r="CI296" s="362">
        <v>3.015367887033519</v>
      </c>
      <c r="CJ296" s="362">
        <v>3.0308144980509963</v>
      </c>
      <c r="CK296" s="362">
        <v>3.0463402363261958</v>
      </c>
      <c r="CL296" s="363">
        <v>3.02631188583945</v>
      </c>
      <c r="CM296" s="363">
        <v>3.0064152129698121</v>
      </c>
      <c r="CN296" s="363">
        <v>2.9968147560809091</v>
      </c>
      <c r="CO296" s="363">
        <v>2.9872449565583201</v>
      </c>
      <c r="CP296" s="363">
        <v>2.9777057165031509</v>
      </c>
      <c r="CQ296" s="363">
        <v>2.9681969383291307</v>
      </c>
      <c r="CR296" s="363">
        <v>2.9587185247616135</v>
      </c>
      <c r="CS296" s="363">
        <v>2.9806040705116454</v>
      </c>
      <c r="CT296" s="363">
        <v>3.002651502939564</v>
      </c>
      <c r="CU296" s="363">
        <v>3.0248620195159184</v>
      </c>
      <c r="CV296" s="363">
        <v>3.0472368265689092</v>
      </c>
      <c r="CW296" s="363">
        <v>3.0697771393499051</v>
      </c>
      <c r="CX296" s="435">
        <v>3.0821508488786775</v>
      </c>
      <c r="CY296" s="435">
        <v>3.0945245584074499</v>
      </c>
      <c r="CZ296" s="435">
        <v>3.1068982679362218</v>
      </c>
      <c r="DA296" s="435">
        <v>3.1192719774649942</v>
      </c>
      <c r="DB296" s="363">
        <v>3.1316456869937666</v>
      </c>
      <c r="DC296" s="435">
        <v>3.141788471553312</v>
      </c>
      <c r="DD296" s="435">
        <v>3.1519312561128574</v>
      </c>
      <c r="DE296" s="435">
        <v>3.1620740406724024</v>
      </c>
      <c r="DF296" s="435">
        <v>3.1722168252319478</v>
      </c>
      <c r="DG296" s="363">
        <v>3.1823596097914932</v>
      </c>
      <c r="DH296" s="362">
        <v>0</v>
      </c>
      <c r="DI296" s="362">
        <v>0</v>
      </c>
      <c r="DJ296" s="362">
        <v>0</v>
      </c>
      <c r="DK296" s="363">
        <v>0</v>
      </c>
      <c r="DL296" s="363">
        <v>0</v>
      </c>
      <c r="DM296" s="363">
        <v>0</v>
      </c>
      <c r="DN296" s="363">
        <v>0</v>
      </c>
      <c r="DO296" s="363">
        <v>0</v>
      </c>
      <c r="DP296" s="363">
        <v>0</v>
      </c>
      <c r="DQ296" s="363">
        <v>0</v>
      </c>
      <c r="DR296" s="363">
        <v>0</v>
      </c>
      <c r="DS296" s="363">
        <v>0</v>
      </c>
      <c r="DT296" s="363">
        <v>0</v>
      </c>
      <c r="DU296" s="363">
        <v>0</v>
      </c>
      <c r="DV296" s="363">
        <v>0</v>
      </c>
      <c r="DW296" s="435">
        <v>0</v>
      </c>
      <c r="DX296" s="435">
        <v>0</v>
      </c>
      <c r="DY296" s="435">
        <v>0</v>
      </c>
      <c r="DZ296" s="435">
        <v>0</v>
      </c>
      <c r="EA296" s="363">
        <v>0</v>
      </c>
      <c r="EB296" s="435">
        <v>0</v>
      </c>
      <c r="EC296" s="435">
        <v>0</v>
      </c>
      <c r="ED296" s="435">
        <v>0</v>
      </c>
      <c r="EE296" s="435">
        <v>0</v>
      </c>
      <c r="EF296" s="363">
        <v>0</v>
      </c>
      <c r="EG296" s="364">
        <v>0</v>
      </c>
      <c r="EH296" s="364">
        <v>0</v>
      </c>
      <c r="EI296" s="364">
        <v>0</v>
      </c>
      <c r="EJ296" s="365">
        <v>0</v>
      </c>
      <c r="EK296" s="365">
        <v>0</v>
      </c>
      <c r="EL296" s="365">
        <v>0</v>
      </c>
      <c r="EM296" s="365">
        <v>0</v>
      </c>
      <c r="EN296" s="365">
        <v>0</v>
      </c>
      <c r="EO296" s="365">
        <v>0</v>
      </c>
      <c r="EP296" s="365">
        <v>0</v>
      </c>
      <c r="EQ296" s="365">
        <v>0</v>
      </c>
      <c r="ER296" s="365">
        <v>0</v>
      </c>
      <c r="ES296" s="365">
        <v>0</v>
      </c>
      <c r="ET296" s="365">
        <v>0</v>
      </c>
      <c r="EU296" s="365">
        <v>0</v>
      </c>
      <c r="EV296" s="436">
        <v>0</v>
      </c>
      <c r="EW296" s="436">
        <v>0</v>
      </c>
      <c r="EX296" s="436">
        <v>0</v>
      </c>
      <c r="EY296" s="436">
        <v>0</v>
      </c>
      <c r="EZ296" s="365">
        <v>0</v>
      </c>
      <c r="FA296" s="436">
        <v>0</v>
      </c>
      <c r="FB296" s="436">
        <v>0</v>
      </c>
      <c r="FC296" s="436">
        <v>0</v>
      </c>
      <c r="FD296" s="436">
        <v>0</v>
      </c>
      <c r="FE296" s="365">
        <v>0</v>
      </c>
      <c r="FF296" s="364">
        <v>0</v>
      </c>
      <c r="FG296" s="364">
        <v>0</v>
      </c>
      <c r="FH296" s="364">
        <v>0</v>
      </c>
      <c r="FI296" s="365">
        <v>0</v>
      </c>
      <c r="FJ296" s="365">
        <v>0</v>
      </c>
      <c r="FK296" s="365">
        <v>0</v>
      </c>
      <c r="FL296" s="365">
        <v>0</v>
      </c>
      <c r="FM296" s="365">
        <v>0</v>
      </c>
      <c r="FN296" s="365">
        <v>0</v>
      </c>
      <c r="FO296" s="365">
        <v>0</v>
      </c>
      <c r="FP296" s="365">
        <v>0</v>
      </c>
      <c r="FQ296" s="365">
        <v>0</v>
      </c>
      <c r="FR296" s="365">
        <v>0</v>
      </c>
      <c r="FS296" s="365">
        <v>0</v>
      </c>
      <c r="FT296" s="365">
        <v>0</v>
      </c>
      <c r="FU296" s="436">
        <v>0</v>
      </c>
      <c r="FV296" s="436">
        <v>0</v>
      </c>
      <c r="FW296" s="436">
        <v>0</v>
      </c>
      <c r="FX296" s="436">
        <v>0</v>
      </c>
      <c r="FY296" s="365">
        <v>0</v>
      </c>
      <c r="FZ296" s="436">
        <v>0</v>
      </c>
      <c r="GA296" s="436">
        <v>0</v>
      </c>
      <c r="GB296" s="436">
        <v>0</v>
      </c>
      <c r="GC296" s="436">
        <v>0</v>
      </c>
      <c r="GD296" s="365">
        <v>0</v>
      </c>
    </row>
    <row r="297" spans="1:186" ht="15" x14ac:dyDescent="0.25">
      <c r="A297" s="357">
        <v>101</v>
      </c>
      <c r="B297" s="357">
        <v>98</v>
      </c>
      <c r="C297" s="357" t="s">
        <v>1207</v>
      </c>
      <c r="D297" s="2">
        <v>99709</v>
      </c>
      <c r="E297" s="268" t="s">
        <v>1527</v>
      </c>
      <c r="F297" s="358" t="s">
        <v>985</v>
      </c>
      <c r="G297" s="49">
        <v>34</v>
      </c>
      <c r="H297" s="49">
        <v>20</v>
      </c>
      <c r="I297" s="49">
        <v>15</v>
      </c>
      <c r="J297" s="49">
        <v>5</v>
      </c>
      <c r="K297" s="49">
        <v>0</v>
      </c>
      <c r="L297" s="49">
        <v>29</v>
      </c>
      <c r="M297" s="49">
        <v>29</v>
      </c>
      <c r="N297" s="49">
        <v>1</v>
      </c>
      <c r="O297" s="49">
        <v>0</v>
      </c>
      <c r="P297" s="49">
        <v>0</v>
      </c>
      <c r="Q297" s="49">
        <v>30</v>
      </c>
      <c r="R297" s="49">
        <v>0</v>
      </c>
      <c r="S297" s="49">
        <v>1284.5862068965516</v>
      </c>
      <c r="T297" s="49">
        <v>1284.5862068965516</v>
      </c>
      <c r="U297" s="49">
        <v>11822</v>
      </c>
      <c r="V297" s="49">
        <v>0</v>
      </c>
      <c r="W297" s="49">
        <v>0</v>
      </c>
      <c r="X297" s="49">
        <v>1635.8333333333333</v>
      </c>
      <c r="Y297" s="434">
        <v>37253</v>
      </c>
      <c r="Z297" s="434">
        <v>11822</v>
      </c>
      <c r="AA297" s="49">
        <v>0</v>
      </c>
      <c r="AB297" s="49">
        <v>20</v>
      </c>
      <c r="AC297" s="49">
        <v>0</v>
      </c>
      <c r="AD297" s="285">
        <v>1</v>
      </c>
      <c r="AE297" s="285">
        <v>0</v>
      </c>
      <c r="AF297" s="359">
        <v>21</v>
      </c>
      <c r="AG297" s="360">
        <v>0</v>
      </c>
      <c r="AH297" s="360">
        <v>15</v>
      </c>
      <c r="AI297" s="361">
        <v>15</v>
      </c>
      <c r="AJ297" s="360">
        <v>0</v>
      </c>
      <c r="AK297" s="360">
        <v>0</v>
      </c>
      <c r="AL297" s="360">
        <v>19.043167900154788</v>
      </c>
      <c r="AM297" s="360">
        <v>19.043167900154788</v>
      </c>
      <c r="AN297" s="360">
        <v>0</v>
      </c>
      <c r="AO297" s="360">
        <v>0</v>
      </c>
      <c r="AP297" s="360">
        <v>14.309319433469645</v>
      </c>
      <c r="AQ297" s="360">
        <v>14.309319433469645</v>
      </c>
      <c r="AR297" s="360">
        <v>0</v>
      </c>
      <c r="AS297" s="360">
        <v>0.95966573850124082</v>
      </c>
      <c r="AT297" s="360">
        <v>0</v>
      </c>
      <c r="AU297" s="360">
        <v>18.132112183674284</v>
      </c>
      <c r="AV297" s="360">
        <v>18.582057386041829</v>
      </c>
      <c r="AW297" s="360">
        <v>19.043167900154788</v>
      </c>
      <c r="AX297" s="360">
        <v>19.515720791277367</v>
      </c>
      <c r="AY297" s="360">
        <v>20</v>
      </c>
      <c r="AZ297" s="360">
        <v>13.650441509938135</v>
      </c>
      <c r="BA297" s="360">
        <v>13.975998281825829</v>
      </c>
      <c r="BB297" s="360">
        <v>14.309319433469645</v>
      </c>
      <c r="BC297" s="360">
        <v>14.650590141767145</v>
      </c>
      <c r="BD297" s="360">
        <v>15</v>
      </c>
      <c r="BE297" s="360">
        <v>0.92095832965313207</v>
      </c>
      <c r="BF297" s="360">
        <v>0.94011284192667122</v>
      </c>
      <c r="BG297" s="360">
        <v>0.95966573850124082</v>
      </c>
      <c r="BH297" s="360">
        <v>0.97962530515561963</v>
      </c>
      <c r="BI297" s="360">
        <v>1</v>
      </c>
      <c r="BJ297" s="362">
        <v>20.208076675314587</v>
      </c>
      <c r="BK297" s="362">
        <v>20.418318145769668</v>
      </c>
      <c r="BL297" s="362">
        <v>20.630746933534031</v>
      </c>
      <c r="BM297" s="363">
        <v>20.495108824086845</v>
      </c>
      <c r="BN297" s="363">
        <v>20.360362475698707</v>
      </c>
      <c r="BO297" s="363">
        <v>20.295345248089188</v>
      </c>
      <c r="BP297" s="363">
        <v>20.230535641532143</v>
      </c>
      <c r="BQ297" s="363">
        <v>20.165932993026356</v>
      </c>
      <c r="BR297" s="363">
        <v>20.101536641687773</v>
      </c>
      <c r="BS297" s="363">
        <v>20.03734592874277</v>
      </c>
      <c r="BT297" s="363">
        <v>20.185561532005689</v>
      </c>
      <c r="BU297" s="363">
        <v>20.334873481318063</v>
      </c>
      <c r="BV297" s="363">
        <v>20.485289886316352</v>
      </c>
      <c r="BW297" s="363">
        <v>20.636818916623749</v>
      </c>
      <c r="BX297" s="363">
        <v>20.78946880229385</v>
      </c>
      <c r="BY297" s="435">
        <v>20.873267344187852</v>
      </c>
      <c r="BZ297" s="435">
        <v>20.957065886081853</v>
      </c>
      <c r="CA297" s="435">
        <v>21.040864427975851</v>
      </c>
      <c r="CB297" s="435">
        <v>21.124662969869853</v>
      </c>
      <c r="CC297" s="363">
        <v>21.208461511763854</v>
      </c>
      <c r="CD297" s="435">
        <v>21.277151548074993</v>
      </c>
      <c r="CE297" s="435">
        <v>21.345841584386136</v>
      </c>
      <c r="CF297" s="435">
        <v>21.414531620697275</v>
      </c>
      <c r="CG297" s="435">
        <v>21.483221657008418</v>
      </c>
      <c r="CH297" s="363">
        <v>21.551911693319557</v>
      </c>
      <c r="CI297" s="362">
        <v>15.15605750648594</v>
      </c>
      <c r="CJ297" s="362">
        <v>15.313738609327253</v>
      </c>
      <c r="CK297" s="362">
        <v>15.473060200150522</v>
      </c>
      <c r="CL297" s="363">
        <v>15.371331618065133</v>
      </c>
      <c r="CM297" s="363">
        <v>15.270271856774031</v>
      </c>
      <c r="CN297" s="363">
        <v>15.22150893606689</v>
      </c>
      <c r="CO297" s="363">
        <v>15.172901731149107</v>
      </c>
      <c r="CP297" s="363">
        <v>15.124449744769764</v>
      </c>
      <c r="CQ297" s="363">
        <v>15.076152481265828</v>
      </c>
      <c r="CR297" s="363">
        <v>15.028009446557078</v>
      </c>
      <c r="CS297" s="363">
        <v>15.139171149004266</v>
      </c>
      <c r="CT297" s="363">
        <v>15.251155110988545</v>
      </c>
      <c r="CU297" s="363">
        <v>15.363967414737264</v>
      </c>
      <c r="CV297" s="363">
        <v>15.477614187467811</v>
      </c>
      <c r="CW297" s="363">
        <v>15.592101601720387</v>
      </c>
      <c r="CX297" s="435">
        <v>15.654950508140887</v>
      </c>
      <c r="CY297" s="435">
        <v>15.717799414561387</v>
      </c>
      <c r="CZ297" s="435">
        <v>15.780648320981888</v>
      </c>
      <c r="DA297" s="435">
        <v>15.843497227402388</v>
      </c>
      <c r="DB297" s="363">
        <v>15.906346133822888</v>
      </c>
      <c r="DC297" s="435">
        <v>15.957863661056244</v>
      </c>
      <c r="DD297" s="435">
        <v>16.009381188289602</v>
      </c>
      <c r="DE297" s="435">
        <v>16.060898715522956</v>
      </c>
      <c r="DF297" s="435">
        <v>16.112416242756311</v>
      </c>
      <c r="DG297" s="363">
        <v>16.163933769989669</v>
      </c>
      <c r="DH297" s="362">
        <v>1.0104038337657293</v>
      </c>
      <c r="DI297" s="362">
        <v>1.0209159072884835</v>
      </c>
      <c r="DJ297" s="362">
        <v>1.0315373466767015</v>
      </c>
      <c r="DK297" s="363">
        <v>1.0247554412043423</v>
      </c>
      <c r="DL297" s="363">
        <v>1.0180181237849353</v>
      </c>
      <c r="DM297" s="363">
        <v>1.0147672624044592</v>
      </c>
      <c r="DN297" s="363">
        <v>1.0115267820766072</v>
      </c>
      <c r="DO297" s="363">
        <v>1.0082966496513177</v>
      </c>
      <c r="DP297" s="363">
        <v>1.0050768320843886</v>
      </c>
      <c r="DQ297" s="363">
        <v>1.0018672964371385</v>
      </c>
      <c r="DR297" s="363">
        <v>1.0092780766002845</v>
      </c>
      <c r="DS297" s="363">
        <v>1.016743674065903</v>
      </c>
      <c r="DT297" s="363">
        <v>1.0242644943158177</v>
      </c>
      <c r="DU297" s="363">
        <v>1.0318409458311875</v>
      </c>
      <c r="DV297" s="363">
        <v>1.0394734401146926</v>
      </c>
      <c r="DW297" s="435">
        <v>1.0436633672093925</v>
      </c>
      <c r="DX297" s="435">
        <v>1.0478532943040926</v>
      </c>
      <c r="DY297" s="435">
        <v>1.0520432213987925</v>
      </c>
      <c r="DZ297" s="435">
        <v>1.0562331484934926</v>
      </c>
      <c r="EA297" s="363">
        <v>1.0604230755881925</v>
      </c>
      <c r="EB297" s="435">
        <v>1.0638575774037495</v>
      </c>
      <c r="EC297" s="435">
        <v>1.0672920792193066</v>
      </c>
      <c r="ED297" s="435">
        <v>1.0707265810348638</v>
      </c>
      <c r="EE297" s="435">
        <v>1.0741610828504209</v>
      </c>
      <c r="EF297" s="363">
        <v>1.0775955846659779</v>
      </c>
      <c r="EG297" s="364">
        <v>0</v>
      </c>
      <c r="EH297" s="364">
        <v>0</v>
      </c>
      <c r="EI297" s="364">
        <v>0</v>
      </c>
      <c r="EJ297" s="365">
        <v>0</v>
      </c>
      <c r="EK297" s="365">
        <v>0</v>
      </c>
      <c r="EL297" s="365">
        <v>0</v>
      </c>
      <c r="EM297" s="365">
        <v>0</v>
      </c>
      <c r="EN297" s="365">
        <v>0</v>
      </c>
      <c r="EO297" s="365">
        <v>0</v>
      </c>
      <c r="EP297" s="365">
        <v>0</v>
      </c>
      <c r="EQ297" s="365">
        <v>0</v>
      </c>
      <c r="ER297" s="365">
        <v>0</v>
      </c>
      <c r="ES297" s="365">
        <v>0</v>
      </c>
      <c r="ET297" s="365">
        <v>0</v>
      </c>
      <c r="EU297" s="365">
        <v>0</v>
      </c>
      <c r="EV297" s="436">
        <v>0</v>
      </c>
      <c r="EW297" s="436">
        <v>0</v>
      </c>
      <c r="EX297" s="436">
        <v>0</v>
      </c>
      <c r="EY297" s="436">
        <v>0</v>
      </c>
      <c r="EZ297" s="365">
        <v>0</v>
      </c>
      <c r="FA297" s="436">
        <v>0</v>
      </c>
      <c r="FB297" s="436">
        <v>0</v>
      </c>
      <c r="FC297" s="436">
        <v>0</v>
      </c>
      <c r="FD297" s="436">
        <v>0</v>
      </c>
      <c r="FE297" s="365">
        <v>0</v>
      </c>
      <c r="FF297" s="364">
        <v>0</v>
      </c>
      <c r="FG297" s="364">
        <v>0</v>
      </c>
      <c r="FH297" s="364">
        <v>0</v>
      </c>
      <c r="FI297" s="365">
        <v>0</v>
      </c>
      <c r="FJ297" s="365">
        <v>0</v>
      </c>
      <c r="FK297" s="365">
        <v>0</v>
      </c>
      <c r="FL297" s="365">
        <v>0</v>
      </c>
      <c r="FM297" s="365">
        <v>0</v>
      </c>
      <c r="FN297" s="365">
        <v>0</v>
      </c>
      <c r="FO297" s="365">
        <v>0</v>
      </c>
      <c r="FP297" s="365">
        <v>0</v>
      </c>
      <c r="FQ297" s="365">
        <v>0</v>
      </c>
      <c r="FR297" s="365">
        <v>0</v>
      </c>
      <c r="FS297" s="365">
        <v>0</v>
      </c>
      <c r="FT297" s="365">
        <v>0</v>
      </c>
      <c r="FU297" s="436">
        <v>0</v>
      </c>
      <c r="FV297" s="436">
        <v>0</v>
      </c>
      <c r="FW297" s="436">
        <v>0</v>
      </c>
      <c r="FX297" s="436">
        <v>0</v>
      </c>
      <c r="FY297" s="365">
        <v>0</v>
      </c>
      <c r="FZ297" s="436">
        <v>0</v>
      </c>
      <c r="GA297" s="436">
        <v>0</v>
      </c>
      <c r="GB297" s="436">
        <v>0</v>
      </c>
      <c r="GC297" s="436">
        <v>0</v>
      </c>
      <c r="GD297" s="365">
        <v>0</v>
      </c>
    </row>
    <row r="298" spans="1:186" ht="15" x14ac:dyDescent="0.25">
      <c r="A298" s="357">
        <v>102</v>
      </c>
      <c r="B298" s="357">
        <v>98</v>
      </c>
      <c r="C298" s="357" t="s">
        <v>1208</v>
      </c>
      <c r="D298" s="2">
        <v>99709</v>
      </c>
      <c r="E298" s="268" t="s">
        <v>1527</v>
      </c>
      <c r="F298" s="358" t="s">
        <v>985</v>
      </c>
      <c r="G298" s="49">
        <v>37</v>
      </c>
      <c r="H298" s="49">
        <v>25</v>
      </c>
      <c r="I298" s="49">
        <v>20</v>
      </c>
      <c r="J298" s="49">
        <v>5</v>
      </c>
      <c r="K298" s="49">
        <v>0</v>
      </c>
      <c r="L298" s="49">
        <v>10</v>
      </c>
      <c r="M298" s="49">
        <v>10</v>
      </c>
      <c r="N298" s="49">
        <v>6</v>
      </c>
      <c r="O298" s="49">
        <v>0</v>
      </c>
      <c r="P298" s="49">
        <v>0</v>
      </c>
      <c r="Q298" s="49">
        <v>16</v>
      </c>
      <c r="R298" s="49">
        <v>0</v>
      </c>
      <c r="S298" s="49">
        <v>1474.6</v>
      </c>
      <c r="T298" s="49">
        <v>1474.6</v>
      </c>
      <c r="U298" s="49">
        <v>7943.166666666667</v>
      </c>
      <c r="V298" s="49">
        <v>0</v>
      </c>
      <c r="W298" s="49">
        <v>0</v>
      </c>
      <c r="X298" s="49">
        <v>3900.3125</v>
      </c>
      <c r="Y298" s="434">
        <v>14746</v>
      </c>
      <c r="Z298" s="434">
        <v>47659</v>
      </c>
      <c r="AA298" s="49">
        <v>0</v>
      </c>
      <c r="AB298" s="49">
        <v>25</v>
      </c>
      <c r="AC298" s="49">
        <v>0</v>
      </c>
      <c r="AD298" s="285">
        <v>6</v>
      </c>
      <c r="AE298" s="285">
        <v>0</v>
      </c>
      <c r="AF298" s="359">
        <v>31</v>
      </c>
      <c r="AG298" s="360">
        <v>0</v>
      </c>
      <c r="AH298" s="360">
        <v>20</v>
      </c>
      <c r="AI298" s="361">
        <v>20</v>
      </c>
      <c r="AJ298" s="360">
        <v>0</v>
      </c>
      <c r="AK298" s="360">
        <v>0</v>
      </c>
      <c r="AL298" s="360">
        <v>23.803959875193485</v>
      </c>
      <c r="AM298" s="360">
        <v>23.803959875193485</v>
      </c>
      <c r="AN298" s="360">
        <v>0</v>
      </c>
      <c r="AO298" s="360">
        <v>0</v>
      </c>
      <c r="AP298" s="360">
        <v>19.079092577959525</v>
      </c>
      <c r="AQ298" s="360">
        <v>19.079092577959525</v>
      </c>
      <c r="AR298" s="360">
        <v>0</v>
      </c>
      <c r="AS298" s="360">
        <v>5.7579944310074449</v>
      </c>
      <c r="AT298" s="360">
        <v>0</v>
      </c>
      <c r="AU298" s="360">
        <v>22.665140229592854</v>
      </c>
      <c r="AV298" s="360">
        <v>23.227571732552285</v>
      </c>
      <c r="AW298" s="360">
        <v>23.803959875193485</v>
      </c>
      <c r="AX298" s="360">
        <v>24.394650989096711</v>
      </c>
      <c r="AY298" s="360">
        <v>25</v>
      </c>
      <c r="AZ298" s="360">
        <v>18.200588679917512</v>
      </c>
      <c r="BA298" s="360">
        <v>18.63466437576777</v>
      </c>
      <c r="BB298" s="360">
        <v>19.079092577959525</v>
      </c>
      <c r="BC298" s="360">
        <v>19.534120189022861</v>
      </c>
      <c r="BD298" s="360">
        <v>20</v>
      </c>
      <c r="BE298" s="360">
        <v>5.5257499779187924</v>
      </c>
      <c r="BF298" s="360">
        <v>5.6406770515600275</v>
      </c>
      <c r="BG298" s="360">
        <v>5.7579944310074449</v>
      </c>
      <c r="BH298" s="360">
        <v>5.8777518309337182</v>
      </c>
      <c r="BI298" s="360">
        <v>6</v>
      </c>
      <c r="BJ298" s="362">
        <v>25.128065725279324</v>
      </c>
      <c r="BK298" s="362">
        <v>25.256787483758302</v>
      </c>
      <c r="BL298" s="362">
        <v>25.386168636051632</v>
      </c>
      <c r="BM298" s="363">
        <v>25.219265715328749</v>
      </c>
      <c r="BN298" s="363">
        <v>25.053460108081769</v>
      </c>
      <c r="BO298" s="363">
        <v>24.973456300674243</v>
      </c>
      <c r="BP298" s="363">
        <v>24.893707971319333</v>
      </c>
      <c r="BQ298" s="363">
        <v>24.814214304192923</v>
      </c>
      <c r="BR298" s="363">
        <v>24.734974486076091</v>
      </c>
      <c r="BS298" s="363">
        <v>24.655987706346782</v>
      </c>
      <c r="BT298" s="363">
        <v>24.838367254263712</v>
      </c>
      <c r="BU298" s="363">
        <v>25.022095857829701</v>
      </c>
      <c r="BV298" s="363">
        <v>25.207183495965985</v>
      </c>
      <c r="BW298" s="363">
        <v>25.39364022140758</v>
      </c>
      <c r="BX298" s="363">
        <v>25.58147616124921</v>
      </c>
      <c r="BY298" s="435">
        <v>25.684590407322311</v>
      </c>
      <c r="BZ298" s="435">
        <v>25.787704653395416</v>
      </c>
      <c r="CA298" s="435">
        <v>25.890818899468517</v>
      </c>
      <c r="CB298" s="435">
        <v>25.993933145541622</v>
      </c>
      <c r="CC298" s="363">
        <v>26.097047391614723</v>
      </c>
      <c r="CD298" s="435">
        <v>26.181570596277602</v>
      </c>
      <c r="CE298" s="435">
        <v>26.266093800940478</v>
      </c>
      <c r="CF298" s="435">
        <v>26.350617005603358</v>
      </c>
      <c r="CG298" s="435">
        <v>26.435140210266233</v>
      </c>
      <c r="CH298" s="363">
        <v>26.519663414929113</v>
      </c>
      <c r="CI298" s="362">
        <v>20.10245258022346</v>
      </c>
      <c r="CJ298" s="362">
        <v>20.205429987006642</v>
      </c>
      <c r="CK298" s="362">
        <v>20.308934908841305</v>
      </c>
      <c r="CL298" s="363">
        <v>20.175412572262999</v>
      </c>
      <c r="CM298" s="363">
        <v>20.042768086465415</v>
      </c>
      <c r="CN298" s="363">
        <v>19.978765040539393</v>
      </c>
      <c r="CO298" s="363">
        <v>19.914966377055467</v>
      </c>
      <c r="CP298" s="363">
        <v>19.851371443354338</v>
      </c>
      <c r="CQ298" s="363">
        <v>19.787979588860871</v>
      </c>
      <c r="CR298" s="363">
        <v>19.724790165077422</v>
      </c>
      <c r="CS298" s="363">
        <v>19.870693803410969</v>
      </c>
      <c r="CT298" s="363">
        <v>20.017676686263759</v>
      </c>
      <c r="CU298" s="363">
        <v>20.16574679677279</v>
      </c>
      <c r="CV298" s="363">
        <v>20.314912177126061</v>
      </c>
      <c r="CW298" s="363">
        <v>20.465180928999366</v>
      </c>
      <c r="CX298" s="435">
        <v>20.54767232585785</v>
      </c>
      <c r="CY298" s="435">
        <v>20.630163722716333</v>
      </c>
      <c r="CZ298" s="435">
        <v>20.712655119574812</v>
      </c>
      <c r="DA298" s="435">
        <v>20.795146516433295</v>
      </c>
      <c r="DB298" s="363">
        <v>20.877637913291778</v>
      </c>
      <c r="DC298" s="435">
        <v>20.945256477022081</v>
      </c>
      <c r="DD298" s="435">
        <v>21.012875040752384</v>
      </c>
      <c r="DE298" s="435">
        <v>21.080493604482683</v>
      </c>
      <c r="DF298" s="435">
        <v>21.148112168212986</v>
      </c>
      <c r="DG298" s="363">
        <v>21.215730731943289</v>
      </c>
      <c r="DH298" s="362">
        <v>6.030735774067038</v>
      </c>
      <c r="DI298" s="362">
        <v>6.0616289961019927</v>
      </c>
      <c r="DJ298" s="362">
        <v>6.0926804726523915</v>
      </c>
      <c r="DK298" s="363">
        <v>6.0526237716789</v>
      </c>
      <c r="DL298" s="363">
        <v>6.0128304259396241</v>
      </c>
      <c r="DM298" s="363">
        <v>5.9936295121618182</v>
      </c>
      <c r="DN298" s="363">
        <v>5.9744899131166402</v>
      </c>
      <c r="DO298" s="363">
        <v>5.9554114330063017</v>
      </c>
      <c r="DP298" s="363">
        <v>5.9363938766582613</v>
      </c>
      <c r="DQ298" s="363">
        <v>5.9174370495232269</v>
      </c>
      <c r="DR298" s="363">
        <v>5.9612081410232909</v>
      </c>
      <c r="DS298" s="363">
        <v>6.0053030058791279</v>
      </c>
      <c r="DT298" s="363">
        <v>6.0497240390318368</v>
      </c>
      <c r="DU298" s="363">
        <v>6.0944736531378183</v>
      </c>
      <c r="DV298" s="363">
        <v>6.1395542786998103</v>
      </c>
      <c r="DW298" s="435">
        <v>6.164301697757355</v>
      </c>
      <c r="DX298" s="435">
        <v>6.1890491168148998</v>
      </c>
      <c r="DY298" s="435">
        <v>6.2137965358724436</v>
      </c>
      <c r="DZ298" s="435">
        <v>6.2385439549299884</v>
      </c>
      <c r="EA298" s="363">
        <v>6.2632913739875331</v>
      </c>
      <c r="EB298" s="435">
        <v>6.283576943106624</v>
      </c>
      <c r="EC298" s="435">
        <v>6.3038625122257148</v>
      </c>
      <c r="ED298" s="435">
        <v>6.3241480813448048</v>
      </c>
      <c r="EE298" s="435">
        <v>6.3444336504638956</v>
      </c>
      <c r="EF298" s="363">
        <v>6.3647192195829865</v>
      </c>
      <c r="EG298" s="364">
        <v>0</v>
      </c>
      <c r="EH298" s="364">
        <v>0</v>
      </c>
      <c r="EI298" s="364">
        <v>0</v>
      </c>
      <c r="EJ298" s="365">
        <v>0</v>
      </c>
      <c r="EK298" s="365">
        <v>0</v>
      </c>
      <c r="EL298" s="365">
        <v>0</v>
      </c>
      <c r="EM298" s="365">
        <v>0</v>
      </c>
      <c r="EN298" s="365">
        <v>0</v>
      </c>
      <c r="EO298" s="365">
        <v>0</v>
      </c>
      <c r="EP298" s="365">
        <v>0</v>
      </c>
      <c r="EQ298" s="365">
        <v>0</v>
      </c>
      <c r="ER298" s="365">
        <v>0</v>
      </c>
      <c r="ES298" s="365">
        <v>0</v>
      </c>
      <c r="ET298" s="365">
        <v>0</v>
      </c>
      <c r="EU298" s="365">
        <v>0</v>
      </c>
      <c r="EV298" s="436">
        <v>0</v>
      </c>
      <c r="EW298" s="436">
        <v>0</v>
      </c>
      <c r="EX298" s="436">
        <v>0</v>
      </c>
      <c r="EY298" s="436">
        <v>0</v>
      </c>
      <c r="EZ298" s="365">
        <v>0</v>
      </c>
      <c r="FA298" s="436">
        <v>0</v>
      </c>
      <c r="FB298" s="436">
        <v>0</v>
      </c>
      <c r="FC298" s="436">
        <v>0</v>
      </c>
      <c r="FD298" s="436">
        <v>0</v>
      </c>
      <c r="FE298" s="365">
        <v>0</v>
      </c>
      <c r="FF298" s="364">
        <v>0</v>
      </c>
      <c r="FG298" s="364">
        <v>0</v>
      </c>
      <c r="FH298" s="364">
        <v>0</v>
      </c>
      <c r="FI298" s="365">
        <v>0</v>
      </c>
      <c r="FJ298" s="365">
        <v>0</v>
      </c>
      <c r="FK298" s="365">
        <v>0</v>
      </c>
      <c r="FL298" s="365">
        <v>0</v>
      </c>
      <c r="FM298" s="365">
        <v>0</v>
      </c>
      <c r="FN298" s="365">
        <v>0</v>
      </c>
      <c r="FO298" s="365">
        <v>0</v>
      </c>
      <c r="FP298" s="365">
        <v>0</v>
      </c>
      <c r="FQ298" s="365">
        <v>0</v>
      </c>
      <c r="FR298" s="365">
        <v>0</v>
      </c>
      <c r="FS298" s="365">
        <v>0</v>
      </c>
      <c r="FT298" s="365">
        <v>0</v>
      </c>
      <c r="FU298" s="436">
        <v>0</v>
      </c>
      <c r="FV298" s="436">
        <v>0</v>
      </c>
      <c r="FW298" s="436">
        <v>0</v>
      </c>
      <c r="FX298" s="436">
        <v>0</v>
      </c>
      <c r="FY298" s="365">
        <v>0</v>
      </c>
      <c r="FZ298" s="436">
        <v>0</v>
      </c>
      <c r="GA298" s="436">
        <v>0</v>
      </c>
      <c r="GB298" s="436">
        <v>0</v>
      </c>
      <c r="GC298" s="436">
        <v>0</v>
      </c>
      <c r="GD298" s="365">
        <v>0</v>
      </c>
    </row>
    <row r="299" spans="1:186" ht="15" x14ac:dyDescent="0.25">
      <c r="A299" s="357">
        <v>105</v>
      </c>
      <c r="B299" s="357">
        <v>98</v>
      </c>
      <c r="C299" s="357" t="s">
        <v>1209</v>
      </c>
      <c r="D299" s="2">
        <v>99709</v>
      </c>
      <c r="E299" s="268" t="s">
        <v>1527</v>
      </c>
      <c r="F299" s="358" t="s">
        <v>985</v>
      </c>
      <c r="G299" s="49">
        <v>495</v>
      </c>
      <c r="H299" s="49">
        <v>198</v>
      </c>
      <c r="I299" s="49">
        <v>186</v>
      </c>
      <c r="J299" s="49">
        <v>12</v>
      </c>
      <c r="K299" s="49">
        <v>0</v>
      </c>
      <c r="L299" s="49">
        <v>129</v>
      </c>
      <c r="M299" s="49">
        <v>129</v>
      </c>
      <c r="N299" s="49">
        <v>0</v>
      </c>
      <c r="O299" s="49">
        <v>0</v>
      </c>
      <c r="P299" s="49">
        <v>0</v>
      </c>
      <c r="Q299" s="49">
        <v>129</v>
      </c>
      <c r="R299" s="49">
        <v>0</v>
      </c>
      <c r="S299" s="49">
        <v>2874.6046511627906</v>
      </c>
      <c r="T299" s="49">
        <v>2874.6046511627906</v>
      </c>
      <c r="U299" s="49">
        <v>0</v>
      </c>
      <c r="V299" s="49">
        <v>0</v>
      </c>
      <c r="W299" s="49">
        <v>0</v>
      </c>
      <c r="X299" s="49">
        <v>2874.6046511627906</v>
      </c>
      <c r="Y299" s="434">
        <v>370824</v>
      </c>
      <c r="Z299" s="434">
        <v>0</v>
      </c>
      <c r="AA299" s="49">
        <v>0</v>
      </c>
      <c r="AB299" s="49">
        <v>198</v>
      </c>
      <c r="AC299" s="49">
        <v>0</v>
      </c>
      <c r="AD299" s="285">
        <v>0</v>
      </c>
      <c r="AE299" s="285">
        <v>0</v>
      </c>
      <c r="AF299" s="359">
        <v>198</v>
      </c>
      <c r="AG299" s="360">
        <v>0</v>
      </c>
      <c r="AH299" s="360">
        <v>186</v>
      </c>
      <c r="AI299" s="361">
        <v>186</v>
      </c>
      <c r="AJ299" s="360">
        <v>0</v>
      </c>
      <c r="AK299" s="360">
        <v>0</v>
      </c>
      <c r="AL299" s="360">
        <v>188.52736221153239</v>
      </c>
      <c r="AM299" s="360">
        <v>188.52736221153239</v>
      </c>
      <c r="AN299" s="360">
        <v>0</v>
      </c>
      <c r="AO299" s="360">
        <v>0</v>
      </c>
      <c r="AP299" s="360">
        <v>177.43556097502361</v>
      </c>
      <c r="AQ299" s="360">
        <v>177.43556097502361</v>
      </c>
      <c r="AR299" s="360">
        <v>0</v>
      </c>
      <c r="AS299" s="360">
        <v>0</v>
      </c>
      <c r="AT299" s="360">
        <v>0</v>
      </c>
      <c r="AU299" s="360">
        <v>179.5079106183754</v>
      </c>
      <c r="AV299" s="360">
        <v>183.96236812181408</v>
      </c>
      <c r="AW299" s="360">
        <v>188.52736221153239</v>
      </c>
      <c r="AX299" s="360">
        <v>193.20563583364594</v>
      </c>
      <c r="AY299" s="360">
        <v>198</v>
      </c>
      <c r="AZ299" s="360">
        <v>169.26547472323287</v>
      </c>
      <c r="BA299" s="360">
        <v>173.30237869464028</v>
      </c>
      <c r="BB299" s="360">
        <v>177.43556097502361</v>
      </c>
      <c r="BC299" s="360">
        <v>181.6673177579126</v>
      </c>
      <c r="BD299" s="360">
        <v>186</v>
      </c>
      <c r="BE299" s="360">
        <v>0</v>
      </c>
      <c r="BF299" s="360">
        <v>0</v>
      </c>
      <c r="BG299" s="360">
        <v>0</v>
      </c>
      <c r="BH299" s="360">
        <v>0</v>
      </c>
      <c r="BI299" s="360">
        <v>0</v>
      </c>
      <c r="BJ299" s="362">
        <v>202.30349503262556</v>
      </c>
      <c r="BK299" s="362">
        <v>206.70052576977557</v>
      </c>
      <c r="BL299" s="362">
        <v>211.19312519346911</v>
      </c>
      <c r="BM299" s="363">
        <v>209.80462305528803</v>
      </c>
      <c r="BN299" s="363">
        <v>208.42524970946687</v>
      </c>
      <c r="BO299" s="363">
        <v>207.75968042423895</v>
      </c>
      <c r="BP299" s="363">
        <v>207.0962365171697</v>
      </c>
      <c r="BQ299" s="363">
        <v>206.43491120123863</v>
      </c>
      <c r="BR299" s="363">
        <v>205.77569771109856</v>
      </c>
      <c r="BS299" s="363">
        <v>205.11858930300616</v>
      </c>
      <c r="BT299" s="363">
        <v>206.63584490971672</v>
      </c>
      <c r="BU299" s="363">
        <v>208.1643236073422</v>
      </c>
      <c r="BV299" s="363">
        <v>209.70410841272511</v>
      </c>
      <c r="BW299" s="363">
        <v>211.25528295678086</v>
      </c>
      <c r="BX299" s="363">
        <v>212.81793148903989</v>
      </c>
      <c r="BY299" s="435">
        <v>213.67576160087572</v>
      </c>
      <c r="BZ299" s="435">
        <v>214.53359171271151</v>
      </c>
      <c r="CA299" s="435">
        <v>215.39142182454734</v>
      </c>
      <c r="CB299" s="435">
        <v>216.24925193638313</v>
      </c>
      <c r="CC299" s="363">
        <v>217.10708204821896</v>
      </c>
      <c r="CD299" s="435">
        <v>217.81024919407847</v>
      </c>
      <c r="CE299" s="435">
        <v>218.51341633993798</v>
      </c>
      <c r="CF299" s="435">
        <v>219.21658348579746</v>
      </c>
      <c r="CG299" s="435">
        <v>219.91975063165697</v>
      </c>
      <c r="CH299" s="363">
        <v>220.62291777751648</v>
      </c>
      <c r="CI299" s="362">
        <v>190.0426771518604</v>
      </c>
      <c r="CJ299" s="362">
        <v>194.17322117766795</v>
      </c>
      <c r="CK299" s="362">
        <v>198.39354184841036</v>
      </c>
      <c r="CL299" s="363">
        <v>197.08919135496754</v>
      </c>
      <c r="CM299" s="363">
        <v>195.79341639374158</v>
      </c>
      <c r="CN299" s="363">
        <v>195.16818464095172</v>
      </c>
      <c r="CO299" s="363">
        <v>194.54494945552304</v>
      </c>
      <c r="CP299" s="363">
        <v>193.92370446176963</v>
      </c>
      <c r="CQ299" s="363">
        <v>193.30444330436529</v>
      </c>
      <c r="CR299" s="363">
        <v>192.68715964827851</v>
      </c>
      <c r="CS299" s="363">
        <v>194.11246036973387</v>
      </c>
      <c r="CT299" s="363">
        <v>195.54830399477598</v>
      </c>
      <c r="CU299" s="363">
        <v>196.99476850892356</v>
      </c>
      <c r="CV299" s="363">
        <v>198.45193247455171</v>
      </c>
      <c r="CW299" s="363">
        <v>199.9198750351587</v>
      </c>
      <c r="CX299" s="435">
        <v>200.72571544324688</v>
      </c>
      <c r="CY299" s="435">
        <v>201.53155585133507</v>
      </c>
      <c r="CZ299" s="435">
        <v>202.33739625942323</v>
      </c>
      <c r="DA299" s="435">
        <v>203.14323666751142</v>
      </c>
      <c r="DB299" s="363">
        <v>203.9490770755996</v>
      </c>
      <c r="DC299" s="435">
        <v>204.60962803080096</v>
      </c>
      <c r="DD299" s="435">
        <v>205.27017898600232</v>
      </c>
      <c r="DE299" s="435">
        <v>205.93072994120365</v>
      </c>
      <c r="DF299" s="435">
        <v>206.59128089640501</v>
      </c>
      <c r="DG299" s="363">
        <v>207.25183185160637</v>
      </c>
      <c r="DH299" s="362">
        <v>0</v>
      </c>
      <c r="DI299" s="362">
        <v>0</v>
      </c>
      <c r="DJ299" s="362">
        <v>0</v>
      </c>
      <c r="DK299" s="363">
        <v>0</v>
      </c>
      <c r="DL299" s="363">
        <v>0</v>
      </c>
      <c r="DM299" s="363">
        <v>0</v>
      </c>
      <c r="DN299" s="363">
        <v>0</v>
      </c>
      <c r="DO299" s="363">
        <v>0</v>
      </c>
      <c r="DP299" s="363">
        <v>0</v>
      </c>
      <c r="DQ299" s="363">
        <v>0</v>
      </c>
      <c r="DR299" s="363">
        <v>0</v>
      </c>
      <c r="DS299" s="363">
        <v>0</v>
      </c>
      <c r="DT299" s="363">
        <v>0</v>
      </c>
      <c r="DU299" s="363">
        <v>0</v>
      </c>
      <c r="DV299" s="363">
        <v>0</v>
      </c>
      <c r="DW299" s="435">
        <v>0</v>
      </c>
      <c r="DX299" s="435">
        <v>0</v>
      </c>
      <c r="DY299" s="435">
        <v>0</v>
      </c>
      <c r="DZ299" s="435">
        <v>0</v>
      </c>
      <c r="EA299" s="363">
        <v>0</v>
      </c>
      <c r="EB299" s="435">
        <v>0</v>
      </c>
      <c r="EC299" s="435">
        <v>0</v>
      </c>
      <c r="ED299" s="435">
        <v>0</v>
      </c>
      <c r="EE299" s="435">
        <v>0</v>
      </c>
      <c r="EF299" s="363">
        <v>0</v>
      </c>
      <c r="EG299" s="364">
        <v>0</v>
      </c>
      <c r="EH299" s="364">
        <v>0</v>
      </c>
      <c r="EI299" s="364">
        <v>0</v>
      </c>
      <c r="EJ299" s="365">
        <v>0</v>
      </c>
      <c r="EK299" s="365">
        <v>0</v>
      </c>
      <c r="EL299" s="365">
        <v>0</v>
      </c>
      <c r="EM299" s="365">
        <v>0</v>
      </c>
      <c r="EN299" s="365">
        <v>0</v>
      </c>
      <c r="EO299" s="365">
        <v>0</v>
      </c>
      <c r="EP299" s="365">
        <v>0</v>
      </c>
      <c r="EQ299" s="365">
        <v>0</v>
      </c>
      <c r="ER299" s="365">
        <v>0</v>
      </c>
      <c r="ES299" s="365">
        <v>0</v>
      </c>
      <c r="ET299" s="365">
        <v>0</v>
      </c>
      <c r="EU299" s="365">
        <v>0</v>
      </c>
      <c r="EV299" s="436">
        <v>0</v>
      </c>
      <c r="EW299" s="436">
        <v>0</v>
      </c>
      <c r="EX299" s="436">
        <v>0</v>
      </c>
      <c r="EY299" s="436">
        <v>0</v>
      </c>
      <c r="EZ299" s="365">
        <v>0</v>
      </c>
      <c r="FA299" s="436">
        <v>0</v>
      </c>
      <c r="FB299" s="436">
        <v>0</v>
      </c>
      <c r="FC299" s="436">
        <v>0</v>
      </c>
      <c r="FD299" s="436">
        <v>0</v>
      </c>
      <c r="FE299" s="365">
        <v>0</v>
      </c>
      <c r="FF299" s="364">
        <v>0</v>
      </c>
      <c r="FG299" s="364">
        <v>0</v>
      </c>
      <c r="FH299" s="364">
        <v>0</v>
      </c>
      <c r="FI299" s="365">
        <v>0</v>
      </c>
      <c r="FJ299" s="365">
        <v>0</v>
      </c>
      <c r="FK299" s="365">
        <v>0</v>
      </c>
      <c r="FL299" s="365">
        <v>0</v>
      </c>
      <c r="FM299" s="365">
        <v>0</v>
      </c>
      <c r="FN299" s="365">
        <v>0</v>
      </c>
      <c r="FO299" s="365">
        <v>0</v>
      </c>
      <c r="FP299" s="365">
        <v>0</v>
      </c>
      <c r="FQ299" s="365">
        <v>0</v>
      </c>
      <c r="FR299" s="365">
        <v>0</v>
      </c>
      <c r="FS299" s="365">
        <v>0</v>
      </c>
      <c r="FT299" s="365">
        <v>0</v>
      </c>
      <c r="FU299" s="436">
        <v>0</v>
      </c>
      <c r="FV299" s="436">
        <v>0</v>
      </c>
      <c r="FW299" s="436">
        <v>0</v>
      </c>
      <c r="FX299" s="436">
        <v>0</v>
      </c>
      <c r="FY299" s="365">
        <v>0</v>
      </c>
      <c r="FZ299" s="436">
        <v>0</v>
      </c>
      <c r="GA299" s="436">
        <v>0</v>
      </c>
      <c r="GB299" s="436">
        <v>0</v>
      </c>
      <c r="GC299" s="436">
        <v>0</v>
      </c>
      <c r="GD299" s="365">
        <v>0</v>
      </c>
    </row>
    <row r="300" spans="1:186" ht="15" x14ac:dyDescent="0.25">
      <c r="A300" s="357">
        <v>106</v>
      </c>
      <c r="B300" s="357">
        <v>98</v>
      </c>
      <c r="C300" s="357" t="s">
        <v>1210</v>
      </c>
      <c r="D300" s="2">
        <v>99709</v>
      </c>
      <c r="E300" s="268" t="s">
        <v>1527</v>
      </c>
      <c r="F300" s="358" t="s">
        <v>985</v>
      </c>
      <c r="G300" s="49">
        <v>107</v>
      </c>
      <c r="H300" s="49">
        <v>48</v>
      </c>
      <c r="I300" s="49">
        <v>45</v>
      </c>
      <c r="J300" s="49">
        <v>3</v>
      </c>
      <c r="K300" s="49">
        <v>0</v>
      </c>
      <c r="L300" s="49">
        <v>60</v>
      </c>
      <c r="M300" s="49">
        <v>60</v>
      </c>
      <c r="N300" s="49">
        <v>3</v>
      </c>
      <c r="O300" s="49">
        <v>0</v>
      </c>
      <c r="P300" s="49">
        <v>0</v>
      </c>
      <c r="Q300" s="49">
        <v>63</v>
      </c>
      <c r="R300" s="49">
        <v>0</v>
      </c>
      <c r="S300" s="49">
        <v>3196.5166666666669</v>
      </c>
      <c r="T300" s="49">
        <v>3196.5166666666669</v>
      </c>
      <c r="U300" s="49">
        <v>1737</v>
      </c>
      <c r="V300" s="49">
        <v>0</v>
      </c>
      <c r="W300" s="49">
        <v>0</v>
      </c>
      <c r="X300" s="49">
        <v>3127.0158730158732</v>
      </c>
      <c r="Y300" s="434">
        <v>191791</v>
      </c>
      <c r="Z300" s="434">
        <v>5211</v>
      </c>
      <c r="AA300" s="49">
        <v>0</v>
      </c>
      <c r="AB300" s="49">
        <v>48</v>
      </c>
      <c r="AC300" s="49">
        <v>0</v>
      </c>
      <c r="AD300" s="285">
        <v>3</v>
      </c>
      <c r="AE300" s="285">
        <v>0</v>
      </c>
      <c r="AF300" s="359">
        <v>51</v>
      </c>
      <c r="AG300" s="360">
        <v>0</v>
      </c>
      <c r="AH300" s="360">
        <v>45</v>
      </c>
      <c r="AI300" s="361">
        <v>45</v>
      </c>
      <c r="AJ300" s="360">
        <v>0</v>
      </c>
      <c r="AK300" s="360">
        <v>0</v>
      </c>
      <c r="AL300" s="360">
        <v>45.703602960371491</v>
      </c>
      <c r="AM300" s="360">
        <v>45.703602960371491</v>
      </c>
      <c r="AN300" s="360">
        <v>0</v>
      </c>
      <c r="AO300" s="360">
        <v>0</v>
      </c>
      <c r="AP300" s="360">
        <v>42.927958300408932</v>
      </c>
      <c r="AQ300" s="360">
        <v>42.927958300408932</v>
      </c>
      <c r="AR300" s="360">
        <v>0</v>
      </c>
      <c r="AS300" s="360">
        <v>2.8789972155037225</v>
      </c>
      <c r="AT300" s="360">
        <v>0</v>
      </c>
      <c r="AU300" s="360">
        <v>43.51706924081828</v>
      </c>
      <c r="AV300" s="360">
        <v>44.596937726500386</v>
      </c>
      <c r="AW300" s="360">
        <v>45.703602960371491</v>
      </c>
      <c r="AX300" s="360">
        <v>46.837729899065685</v>
      </c>
      <c r="AY300" s="360">
        <v>48</v>
      </c>
      <c r="AZ300" s="360">
        <v>40.951324529814407</v>
      </c>
      <c r="BA300" s="360">
        <v>41.927994845477485</v>
      </c>
      <c r="BB300" s="360">
        <v>42.927958300408932</v>
      </c>
      <c r="BC300" s="360">
        <v>43.951770425301433</v>
      </c>
      <c r="BD300" s="360">
        <v>45</v>
      </c>
      <c r="BE300" s="360">
        <v>2.7628749889593962</v>
      </c>
      <c r="BF300" s="360">
        <v>2.8203385257800138</v>
      </c>
      <c r="BG300" s="360">
        <v>2.8789972155037225</v>
      </c>
      <c r="BH300" s="360">
        <v>2.9388759154668591</v>
      </c>
      <c r="BI300" s="360">
        <v>3</v>
      </c>
      <c r="BJ300" s="362">
        <v>48.507123132195574</v>
      </c>
      <c r="BK300" s="362">
        <v>49.01960405337465</v>
      </c>
      <c r="BL300" s="362">
        <v>49.537499368927449</v>
      </c>
      <c r="BM300" s="363">
        <v>49.211812044915888</v>
      </c>
      <c r="BN300" s="363">
        <v>48.888265972165954</v>
      </c>
      <c r="BO300" s="363">
        <v>48.732149914804943</v>
      </c>
      <c r="BP300" s="363">
        <v>48.576532386546603</v>
      </c>
      <c r="BQ300" s="363">
        <v>48.421411795426131</v>
      </c>
      <c r="BR300" s="363">
        <v>48.266786554562408</v>
      </c>
      <c r="BS300" s="363">
        <v>48.112655082141728</v>
      </c>
      <c r="BT300" s="363">
        <v>48.468542844070875</v>
      </c>
      <c r="BU300" s="363">
        <v>48.827063096326619</v>
      </c>
      <c r="BV300" s="363">
        <v>49.188235311355228</v>
      </c>
      <c r="BW300" s="363">
        <v>49.55207910564004</v>
      </c>
      <c r="BX300" s="363">
        <v>49.918614240766829</v>
      </c>
      <c r="BY300" s="435">
        <v>50.119827033961613</v>
      </c>
      <c r="BZ300" s="435">
        <v>50.321039827156397</v>
      </c>
      <c r="CA300" s="435">
        <v>50.522252620351175</v>
      </c>
      <c r="CB300" s="435">
        <v>50.723465413545959</v>
      </c>
      <c r="CC300" s="363">
        <v>50.924678206740744</v>
      </c>
      <c r="CD300" s="435">
        <v>51.089613225398928</v>
      </c>
      <c r="CE300" s="435">
        <v>51.254548244057119</v>
      </c>
      <c r="CF300" s="435">
        <v>51.419483262715303</v>
      </c>
      <c r="CG300" s="435">
        <v>51.584418281373495</v>
      </c>
      <c r="CH300" s="363">
        <v>51.749353300031679</v>
      </c>
      <c r="CI300" s="362">
        <v>45.475427936433356</v>
      </c>
      <c r="CJ300" s="362">
        <v>45.955878800038732</v>
      </c>
      <c r="CK300" s="362">
        <v>46.441405658369483</v>
      </c>
      <c r="CL300" s="363">
        <v>46.136073792108647</v>
      </c>
      <c r="CM300" s="363">
        <v>45.83274934890558</v>
      </c>
      <c r="CN300" s="363">
        <v>45.686390545129633</v>
      </c>
      <c r="CO300" s="363">
        <v>45.540499112387437</v>
      </c>
      <c r="CP300" s="363">
        <v>45.395073558211998</v>
      </c>
      <c r="CQ300" s="363">
        <v>45.25011239490226</v>
      </c>
      <c r="CR300" s="363">
        <v>45.105614139507871</v>
      </c>
      <c r="CS300" s="363">
        <v>45.439258916316447</v>
      </c>
      <c r="CT300" s="363">
        <v>45.775371652806207</v>
      </c>
      <c r="CU300" s="363">
        <v>46.113970604395526</v>
      </c>
      <c r="CV300" s="363">
        <v>46.455074161537539</v>
      </c>
      <c r="CW300" s="363">
        <v>46.798700850718902</v>
      </c>
      <c r="CX300" s="435">
        <v>46.98733784433901</v>
      </c>
      <c r="CY300" s="435">
        <v>47.175974837959117</v>
      </c>
      <c r="CZ300" s="435">
        <v>47.364611831579232</v>
      </c>
      <c r="DA300" s="435">
        <v>47.55324882519934</v>
      </c>
      <c r="DB300" s="363">
        <v>47.741885818819448</v>
      </c>
      <c r="DC300" s="435">
        <v>47.896512398811495</v>
      </c>
      <c r="DD300" s="435">
        <v>48.05113897880355</v>
      </c>
      <c r="DE300" s="435">
        <v>48.205765558795598</v>
      </c>
      <c r="DF300" s="435">
        <v>48.360392138787653</v>
      </c>
      <c r="DG300" s="363">
        <v>48.5150187187797</v>
      </c>
      <c r="DH300" s="362">
        <v>3.0316951957622233</v>
      </c>
      <c r="DI300" s="362">
        <v>3.0637252533359156</v>
      </c>
      <c r="DJ300" s="362">
        <v>3.0960937105579656</v>
      </c>
      <c r="DK300" s="363">
        <v>3.075738252807243</v>
      </c>
      <c r="DL300" s="363">
        <v>3.0555166232603721</v>
      </c>
      <c r="DM300" s="363">
        <v>3.0457593696753089</v>
      </c>
      <c r="DN300" s="363">
        <v>3.0360332741591627</v>
      </c>
      <c r="DO300" s="363">
        <v>3.0263382372141332</v>
      </c>
      <c r="DP300" s="363">
        <v>3.0166741596601505</v>
      </c>
      <c r="DQ300" s="363">
        <v>3.007040942633858</v>
      </c>
      <c r="DR300" s="363">
        <v>3.0292839277544297</v>
      </c>
      <c r="DS300" s="363">
        <v>3.0516914435204137</v>
      </c>
      <c r="DT300" s="363">
        <v>3.0742647069597018</v>
      </c>
      <c r="DU300" s="363">
        <v>3.0970049441025025</v>
      </c>
      <c r="DV300" s="363">
        <v>3.1199133900479268</v>
      </c>
      <c r="DW300" s="435">
        <v>3.1324891896226008</v>
      </c>
      <c r="DX300" s="435">
        <v>3.1450649891972748</v>
      </c>
      <c r="DY300" s="435">
        <v>3.1576407887719484</v>
      </c>
      <c r="DZ300" s="435">
        <v>3.1702165883466225</v>
      </c>
      <c r="EA300" s="363">
        <v>3.1827923879212965</v>
      </c>
      <c r="EB300" s="435">
        <v>3.193100826587433</v>
      </c>
      <c r="EC300" s="435">
        <v>3.2034092652535699</v>
      </c>
      <c r="ED300" s="435">
        <v>3.2137177039197065</v>
      </c>
      <c r="EE300" s="435">
        <v>3.2240261425858434</v>
      </c>
      <c r="EF300" s="363">
        <v>3.2343345812519799</v>
      </c>
      <c r="EG300" s="364">
        <v>0</v>
      </c>
      <c r="EH300" s="364">
        <v>0</v>
      </c>
      <c r="EI300" s="364">
        <v>0</v>
      </c>
      <c r="EJ300" s="365">
        <v>0</v>
      </c>
      <c r="EK300" s="365">
        <v>0</v>
      </c>
      <c r="EL300" s="365">
        <v>0</v>
      </c>
      <c r="EM300" s="365">
        <v>0</v>
      </c>
      <c r="EN300" s="365">
        <v>0</v>
      </c>
      <c r="EO300" s="365">
        <v>0</v>
      </c>
      <c r="EP300" s="365">
        <v>0</v>
      </c>
      <c r="EQ300" s="365">
        <v>0</v>
      </c>
      <c r="ER300" s="365">
        <v>0</v>
      </c>
      <c r="ES300" s="365">
        <v>0</v>
      </c>
      <c r="ET300" s="365">
        <v>0</v>
      </c>
      <c r="EU300" s="365">
        <v>0</v>
      </c>
      <c r="EV300" s="436">
        <v>0</v>
      </c>
      <c r="EW300" s="436">
        <v>0</v>
      </c>
      <c r="EX300" s="436">
        <v>0</v>
      </c>
      <c r="EY300" s="436">
        <v>0</v>
      </c>
      <c r="EZ300" s="365">
        <v>0</v>
      </c>
      <c r="FA300" s="436">
        <v>0</v>
      </c>
      <c r="FB300" s="436">
        <v>0</v>
      </c>
      <c r="FC300" s="436">
        <v>0</v>
      </c>
      <c r="FD300" s="436">
        <v>0</v>
      </c>
      <c r="FE300" s="365">
        <v>0</v>
      </c>
      <c r="FF300" s="364">
        <v>0</v>
      </c>
      <c r="FG300" s="364">
        <v>0</v>
      </c>
      <c r="FH300" s="364">
        <v>0</v>
      </c>
      <c r="FI300" s="365">
        <v>0</v>
      </c>
      <c r="FJ300" s="365">
        <v>0</v>
      </c>
      <c r="FK300" s="365">
        <v>0</v>
      </c>
      <c r="FL300" s="365">
        <v>0</v>
      </c>
      <c r="FM300" s="365">
        <v>0</v>
      </c>
      <c r="FN300" s="365">
        <v>0</v>
      </c>
      <c r="FO300" s="365">
        <v>0</v>
      </c>
      <c r="FP300" s="365">
        <v>0</v>
      </c>
      <c r="FQ300" s="365">
        <v>0</v>
      </c>
      <c r="FR300" s="365">
        <v>0</v>
      </c>
      <c r="FS300" s="365">
        <v>0</v>
      </c>
      <c r="FT300" s="365">
        <v>0</v>
      </c>
      <c r="FU300" s="436">
        <v>0</v>
      </c>
      <c r="FV300" s="436">
        <v>0</v>
      </c>
      <c r="FW300" s="436">
        <v>0</v>
      </c>
      <c r="FX300" s="436">
        <v>0</v>
      </c>
      <c r="FY300" s="365">
        <v>0</v>
      </c>
      <c r="FZ300" s="436">
        <v>0</v>
      </c>
      <c r="GA300" s="436">
        <v>0</v>
      </c>
      <c r="GB300" s="436">
        <v>0</v>
      </c>
      <c r="GC300" s="436">
        <v>0</v>
      </c>
      <c r="GD300" s="365">
        <v>0</v>
      </c>
    </row>
    <row r="301" spans="1:186" ht="15" x14ac:dyDescent="0.25">
      <c r="A301" s="357">
        <v>107</v>
      </c>
      <c r="B301" s="357">
        <v>98</v>
      </c>
      <c r="C301" s="357" t="s">
        <v>1211</v>
      </c>
      <c r="D301" s="2">
        <v>99709</v>
      </c>
      <c r="E301" s="268" t="s">
        <v>1527</v>
      </c>
      <c r="F301" s="358" t="s">
        <v>985</v>
      </c>
      <c r="G301" s="49">
        <v>13</v>
      </c>
      <c r="H301" s="49">
        <v>7</v>
      </c>
      <c r="I301" s="49">
        <v>7</v>
      </c>
      <c r="J301" s="49">
        <v>0</v>
      </c>
      <c r="K301" s="49">
        <v>2</v>
      </c>
      <c r="L301" s="49">
        <v>162</v>
      </c>
      <c r="M301" s="49">
        <v>164</v>
      </c>
      <c r="N301" s="49">
        <v>0</v>
      </c>
      <c r="O301" s="49">
        <v>0</v>
      </c>
      <c r="P301" s="49">
        <v>0</v>
      </c>
      <c r="Q301" s="49">
        <v>164</v>
      </c>
      <c r="R301" s="49">
        <v>3256</v>
      </c>
      <c r="S301" s="49">
        <v>3317.6975308641977</v>
      </c>
      <c r="T301" s="49">
        <v>3316.9451219512193</v>
      </c>
      <c r="U301" s="49">
        <v>0</v>
      </c>
      <c r="V301" s="49">
        <v>0</v>
      </c>
      <c r="W301" s="49">
        <v>0</v>
      </c>
      <c r="X301" s="49">
        <v>3316.9451219512193</v>
      </c>
      <c r="Y301" s="434">
        <v>543979</v>
      </c>
      <c r="Z301" s="434">
        <v>0</v>
      </c>
      <c r="AA301" s="49">
        <v>8.5365853658536592E-2</v>
      </c>
      <c r="AB301" s="49">
        <v>6.9146341463414638</v>
      </c>
      <c r="AC301" s="49">
        <v>0</v>
      </c>
      <c r="AD301" s="285">
        <v>0</v>
      </c>
      <c r="AE301" s="285">
        <v>0</v>
      </c>
      <c r="AF301" s="359">
        <v>7</v>
      </c>
      <c r="AG301" s="360">
        <v>8.5365853658536592E-2</v>
      </c>
      <c r="AH301" s="360">
        <v>6.9146341463414638</v>
      </c>
      <c r="AI301" s="361">
        <v>7</v>
      </c>
      <c r="AJ301" s="360">
        <v>0</v>
      </c>
      <c r="AK301" s="360">
        <v>8.1281814207977754E-2</v>
      </c>
      <c r="AL301" s="360">
        <v>6.5838269508461984</v>
      </c>
      <c r="AM301" s="360">
        <v>6.6651087650541765</v>
      </c>
      <c r="AN301" s="360">
        <v>0</v>
      </c>
      <c r="AO301" s="360">
        <v>8.1435151247388232E-2</v>
      </c>
      <c r="AP301" s="360">
        <v>6.596247251038446</v>
      </c>
      <c r="AQ301" s="360">
        <v>6.6776824022858339</v>
      </c>
      <c r="AR301" s="360">
        <v>0</v>
      </c>
      <c r="AS301" s="360">
        <v>0</v>
      </c>
      <c r="AT301" s="360">
        <v>0</v>
      </c>
      <c r="AU301" s="360">
        <v>6.346239264285999</v>
      </c>
      <c r="AV301" s="360">
        <v>6.5037200851146393</v>
      </c>
      <c r="AW301" s="360">
        <v>6.6651087650541756</v>
      </c>
      <c r="AX301" s="360">
        <v>6.8305022769470787</v>
      </c>
      <c r="AY301" s="360">
        <v>7</v>
      </c>
      <c r="AZ301" s="360">
        <v>6.3702060379711298</v>
      </c>
      <c r="BA301" s="360">
        <v>6.5221325315187197</v>
      </c>
      <c r="BB301" s="360">
        <v>6.6776824022858339</v>
      </c>
      <c r="BC301" s="360">
        <v>6.8369420661580014</v>
      </c>
      <c r="BD301" s="360">
        <v>7</v>
      </c>
      <c r="BE301" s="360">
        <v>0</v>
      </c>
      <c r="BF301" s="360">
        <v>0</v>
      </c>
      <c r="BG301" s="360">
        <v>0</v>
      </c>
      <c r="BH301" s="360">
        <v>0</v>
      </c>
      <c r="BI301" s="360">
        <v>0</v>
      </c>
      <c r="BJ301" s="362">
        <v>7.0739554567785214</v>
      </c>
      <c r="BK301" s="362">
        <v>7.1486922577838028</v>
      </c>
      <c r="BL301" s="362">
        <v>7.2242186579685868</v>
      </c>
      <c r="BM301" s="363">
        <v>7.1767225898835676</v>
      </c>
      <c r="BN301" s="363">
        <v>7.1295387876075358</v>
      </c>
      <c r="BO301" s="363">
        <v>7.1067718625757212</v>
      </c>
      <c r="BP301" s="363">
        <v>7.0840776397047129</v>
      </c>
      <c r="BQ301" s="363">
        <v>7.0614558868329782</v>
      </c>
      <c r="BR301" s="363">
        <v>7.0389063725403522</v>
      </c>
      <c r="BS301" s="363">
        <v>7.0164288661456693</v>
      </c>
      <c r="BT301" s="363">
        <v>7.0683291647603363</v>
      </c>
      <c r="BU301" s="363">
        <v>7.1206133682142987</v>
      </c>
      <c r="BV301" s="363">
        <v>7.1732843162393047</v>
      </c>
      <c r="BW301" s="363">
        <v>7.2263448695725065</v>
      </c>
      <c r="BX301" s="363">
        <v>7.2797979101118298</v>
      </c>
      <c r="BY301" s="435">
        <v>7.3091414424527352</v>
      </c>
      <c r="BZ301" s="435">
        <v>7.3384849747936416</v>
      </c>
      <c r="CA301" s="435">
        <v>7.3678285071345471</v>
      </c>
      <c r="CB301" s="435">
        <v>7.3971720394754534</v>
      </c>
      <c r="CC301" s="363">
        <v>7.4265155718163589</v>
      </c>
      <c r="CD301" s="435">
        <v>7.4505685953706777</v>
      </c>
      <c r="CE301" s="435">
        <v>7.4746216189249965</v>
      </c>
      <c r="CF301" s="435">
        <v>7.4986746424793163</v>
      </c>
      <c r="CG301" s="435">
        <v>7.5227276660336351</v>
      </c>
      <c r="CH301" s="363">
        <v>7.5467806895879539</v>
      </c>
      <c r="CI301" s="362">
        <v>7.0739554567785214</v>
      </c>
      <c r="CJ301" s="362">
        <v>7.1486922577838028</v>
      </c>
      <c r="CK301" s="362">
        <v>7.2242186579685868</v>
      </c>
      <c r="CL301" s="363">
        <v>7.1767225898835676</v>
      </c>
      <c r="CM301" s="363">
        <v>7.1295387876075358</v>
      </c>
      <c r="CN301" s="363">
        <v>7.1067718625757212</v>
      </c>
      <c r="CO301" s="363">
        <v>7.0840776397047129</v>
      </c>
      <c r="CP301" s="363">
        <v>7.0614558868329782</v>
      </c>
      <c r="CQ301" s="363">
        <v>7.0389063725403522</v>
      </c>
      <c r="CR301" s="363">
        <v>7.0164288661456693</v>
      </c>
      <c r="CS301" s="363">
        <v>7.0683291647603363</v>
      </c>
      <c r="CT301" s="363">
        <v>7.1206133682142987</v>
      </c>
      <c r="CU301" s="363">
        <v>7.1732843162393047</v>
      </c>
      <c r="CV301" s="363">
        <v>7.2263448695725065</v>
      </c>
      <c r="CW301" s="363">
        <v>7.2797979101118298</v>
      </c>
      <c r="CX301" s="435">
        <v>7.3091414424527352</v>
      </c>
      <c r="CY301" s="435">
        <v>7.3384849747936416</v>
      </c>
      <c r="CZ301" s="435">
        <v>7.3678285071345471</v>
      </c>
      <c r="DA301" s="435">
        <v>7.3971720394754534</v>
      </c>
      <c r="DB301" s="363">
        <v>7.4265155718163589</v>
      </c>
      <c r="DC301" s="435">
        <v>7.4505685953706777</v>
      </c>
      <c r="DD301" s="435">
        <v>7.4746216189249965</v>
      </c>
      <c r="DE301" s="435">
        <v>7.4986746424793163</v>
      </c>
      <c r="DF301" s="435">
        <v>7.5227276660336351</v>
      </c>
      <c r="DG301" s="363">
        <v>7.5467806895879539</v>
      </c>
      <c r="DH301" s="362">
        <v>0</v>
      </c>
      <c r="DI301" s="362">
        <v>0</v>
      </c>
      <c r="DJ301" s="362">
        <v>0</v>
      </c>
      <c r="DK301" s="363">
        <v>0</v>
      </c>
      <c r="DL301" s="363">
        <v>0</v>
      </c>
      <c r="DM301" s="363">
        <v>0</v>
      </c>
      <c r="DN301" s="363">
        <v>0</v>
      </c>
      <c r="DO301" s="363">
        <v>0</v>
      </c>
      <c r="DP301" s="363">
        <v>0</v>
      </c>
      <c r="DQ301" s="363">
        <v>0</v>
      </c>
      <c r="DR301" s="363">
        <v>0</v>
      </c>
      <c r="DS301" s="363">
        <v>0</v>
      </c>
      <c r="DT301" s="363">
        <v>0</v>
      </c>
      <c r="DU301" s="363">
        <v>0</v>
      </c>
      <c r="DV301" s="363">
        <v>0</v>
      </c>
      <c r="DW301" s="435">
        <v>0</v>
      </c>
      <c r="DX301" s="435">
        <v>0</v>
      </c>
      <c r="DY301" s="435">
        <v>0</v>
      </c>
      <c r="DZ301" s="435">
        <v>0</v>
      </c>
      <c r="EA301" s="363">
        <v>0</v>
      </c>
      <c r="EB301" s="435">
        <v>0</v>
      </c>
      <c r="EC301" s="435">
        <v>0</v>
      </c>
      <c r="ED301" s="435">
        <v>0</v>
      </c>
      <c r="EE301" s="435">
        <v>0</v>
      </c>
      <c r="EF301" s="363">
        <v>0</v>
      </c>
      <c r="EG301" s="364">
        <v>0</v>
      </c>
      <c r="EH301" s="364">
        <v>0</v>
      </c>
      <c r="EI301" s="364">
        <v>0</v>
      </c>
      <c r="EJ301" s="365">
        <v>0</v>
      </c>
      <c r="EK301" s="365">
        <v>0</v>
      </c>
      <c r="EL301" s="365">
        <v>0</v>
      </c>
      <c r="EM301" s="365">
        <v>0</v>
      </c>
      <c r="EN301" s="365">
        <v>0</v>
      </c>
      <c r="EO301" s="365">
        <v>0</v>
      </c>
      <c r="EP301" s="365">
        <v>0</v>
      </c>
      <c r="EQ301" s="365">
        <v>0</v>
      </c>
      <c r="ER301" s="365">
        <v>0</v>
      </c>
      <c r="ES301" s="365">
        <v>0</v>
      </c>
      <c r="ET301" s="365">
        <v>0</v>
      </c>
      <c r="EU301" s="365">
        <v>0</v>
      </c>
      <c r="EV301" s="436">
        <v>0</v>
      </c>
      <c r="EW301" s="436">
        <v>0</v>
      </c>
      <c r="EX301" s="436">
        <v>0</v>
      </c>
      <c r="EY301" s="436">
        <v>0</v>
      </c>
      <c r="EZ301" s="365">
        <v>0</v>
      </c>
      <c r="FA301" s="436">
        <v>0</v>
      </c>
      <c r="FB301" s="436">
        <v>0</v>
      </c>
      <c r="FC301" s="436">
        <v>0</v>
      </c>
      <c r="FD301" s="436">
        <v>0</v>
      </c>
      <c r="FE301" s="365">
        <v>0</v>
      </c>
      <c r="FF301" s="364">
        <v>0</v>
      </c>
      <c r="FG301" s="364">
        <v>0</v>
      </c>
      <c r="FH301" s="364">
        <v>0</v>
      </c>
      <c r="FI301" s="365">
        <v>0</v>
      </c>
      <c r="FJ301" s="365">
        <v>0</v>
      </c>
      <c r="FK301" s="365">
        <v>0</v>
      </c>
      <c r="FL301" s="365">
        <v>0</v>
      </c>
      <c r="FM301" s="365">
        <v>0</v>
      </c>
      <c r="FN301" s="365">
        <v>0</v>
      </c>
      <c r="FO301" s="365">
        <v>0</v>
      </c>
      <c r="FP301" s="365">
        <v>0</v>
      </c>
      <c r="FQ301" s="365">
        <v>0</v>
      </c>
      <c r="FR301" s="365">
        <v>0</v>
      </c>
      <c r="FS301" s="365">
        <v>0</v>
      </c>
      <c r="FT301" s="365">
        <v>0</v>
      </c>
      <c r="FU301" s="436">
        <v>0</v>
      </c>
      <c r="FV301" s="436">
        <v>0</v>
      </c>
      <c r="FW301" s="436">
        <v>0</v>
      </c>
      <c r="FX301" s="436">
        <v>0</v>
      </c>
      <c r="FY301" s="365">
        <v>0</v>
      </c>
      <c r="FZ301" s="436">
        <v>0</v>
      </c>
      <c r="GA301" s="436">
        <v>0</v>
      </c>
      <c r="GB301" s="436">
        <v>0</v>
      </c>
      <c r="GC301" s="436">
        <v>0</v>
      </c>
      <c r="GD301" s="365">
        <v>0</v>
      </c>
    </row>
    <row r="302" spans="1:186" ht="15" x14ac:dyDescent="0.25">
      <c r="A302" s="357">
        <v>108</v>
      </c>
      <c r="B302" s="357">
        <v>98</v>
      </c>
      <c r="C302" s="357" t="s">
        <v>1212</v>
      </c>
      <c r="D302" s="2">
        <v>99709</v>
      </c>
      <c r="E302" s="268" t="s">
        <v>1527</v>
      </c>
      <c r="F302" s="358" t="s">
        <v>985</v>
      </c>
      <c r="G302" s="49">
        <v>103</v>
      </c>
      <c r="H302" s="49">
        <v>65</v>
      </c>
      <c r="I302" s="49">
        <v>55</v>
      </c>
      <c r="J302" s="49">
        <v>10</v>
      </c>
      <c r="K302" s="49">
        <v>0</v>
      </c>
      <c r="L302" s="49">
        <v>118</v>
      </c>
      <c r="M302" s="49">
        <v>118</v>
      </c>
      <c r="N302" s="49">
        <v>0</v>
      </c>
      <c r="O302" s="49">
        <v>0</v>
      </c>
      <c r="P302" s="49">
        <v>0</v>
      </c>
      <c r="Q302" s="49">
        <v>118</v>
      </c>
      <c r="R302" s="49">
        <v>0</v>
      </c>
      <c r="S302" s="49">
        <v>2388.101694915254</v>
      </c>
      <c r="T302" s="49">
        <v>2388.101694915254</v>
      </c>
      <c r="U302" s="49">
        <v>0</v>
      </c>
      <c r="V302" s="49">
        <v>0</v>
      </c>
      <c r="W302" s="49">
        <v>0</v>
      </c>
      <c r="X302" s="49">
        <v>2388.101694915254</v>
      </c>
      <c r="Y302" s="434">
        <v>281796</v>
      </c>
      <c r="Z302" s="434">
        <v>0</v>
      </c>
      <c r="AA302" s="49">
        <v>0</v>
      </c>
      <c r="AB302" s="49">
        <v>65</v>
      </c>
      <c r="AC302" s="49">
        <v>0</v>
      </c>
      <c r="AD302" s="285">
        <v>0</v>
      </c>
      <c r="AE302" s="285">
        <v>0</v>
      </c>
      <c r="AF302" s="359">
        <v>65</v>
      </c>
      <c r="AG302" s="360">
        <v>0</v>
      </c>
      <c r="AH302" s="360">
        <v>55</v>
      </c>
      <c r="AI302" s="361">
        <v>55</v>
      </c>
      <c r="AJ302" s="360">
        <v>0</v>
      </c>
      <c r="AK302" s="360">
        <v>0</v>
      </c>
      <c r="AL302" s="360">
        <v>61.890295675503054</v>
      </c>
      <c r="AM302" s="360">
        <v>61.890295675503054</v>
      </c>
      <c r="AN302" s="360">
        <v>0</v>
      </c>
      <c r="AO302" s="360">
        <v>0</v>
      </c>
      <c r="AP302" s="360">
        <v>52.467504589388696</v>
      </c>
      <c r="AQ302" s="360">
        <v>52.467504589388696</v>
      </c>
      <c r="AR302" s="360">
        <v>0</v>
      </c>
      <c r="AS302" s="360">
        <v>0</v>
      </c>
      <c r="AT302" s="360">
        <v>0</v>
      </c>
      <c r="AU302" s="360">
        <v>58.929364596941426</v>
      </c>
      <c r="AV302" s="360">
        <v>60.391686504635935</v>
      </c>
      <c r="AW302" s="360">
        <v>61.890295675503054</v>
      </c>
      <c r="AX302" s="360">
        <v>63.426092571651445</v>
      </c>
      <c r="AY302" s="360">
        <v>65</v>
      </c>
      <c r="AZ302" s="360">
        <v>50.051618869773158</v>
      </c>
      <c r="BA302" s="360">
        <v>51.24532703336137</v>
      </c>
      <c r="BB302" s="360">
        <v>52.467504589388696</v>
      </c>
      <c r="BC302" s="360">
        <v>53.718830519812869</v>
      </c>
      <c r="BD302" s="360">
        <v>55</v>
      </c>
      <c r="BE302" s="360">
        <v>0</v>
      </c>
      <c r="BF302" s="360">
        <v>0</v>
      </c>
      <c r="BG302" s="360">
        <v>0</v>
      </c>
      <c r="BH302" s="360">
        <v>0</v>
      </c>
      <c r="BI302" s="360">
        <v>0</v>
      </c>
      <c r="BJ302" s="362">
        <v>65.68672924151484</v>
      </c>
      <c r="BK302" s="362">
        <v>66.380713822278167</v>
      </c>
      <c r="BL302" s="362">
        <v>67.082030395422592</v>
      </c>
      <c r="BM302" s="363">
        <v>66.640995477490264</v>
      </c>
      <c r="BN302" s="363">
        <v>66.202860170641401</v>
      </c>
      <c r="BO302" s="363">
        <v>65.991453009631698</v>
      </c>
      <c r="BP302" s="363">
        <v>65.780720940115202</v>
      </c>
      <c r="BQ302" s="363">
        <v>65.570661806306234</v>
      </c>
      <c r="BR302" s="363">
        <v>65.361273459303263</v>
      </c>
      <c r="BS302" s="363">
        <v>65.152553757066926</v>
      </c>
      <c r="BT302" s="363">
        <v>65.634485101345987</v>
      </c>
      <c r="BU302" s="363">
        <v>66.119981276275638</v>
      </c>
      <c r="BV302" s="363">
        <v>66.609068650793546</v>
      </c>
      <c r="BW302" s="363">
        <v>67.101773788887556</v>
      </c>
      <c r="BX302" s="363">
        <v>67.598123451038418</v>
      </c>
      <c r="BY302" s="435">
        <v>67.870599108489685</v>
      </c>
      <c r="BZ302" s="435">
        <v>68.143074765940952</v>
      </c>
      <c r="CA302" s="435">
        <v>68.415550423392233</v>
      </c>
      <c r="CB302" s="435">
        <v>68.6880260808435</v>
      </c>
      <c r="CC302" s="363">
        <v>68.960501738294766</v>
      </c>
      <c r="CD302" s="435">
        <v>69.183851242727727</v>
      </c>
      <c r="CE302" s="435">
        <v>69.407200747160687</v>
      </c>
      <c r="CF302" s="435">
        <v>69.630550251593647</v>
      </c>
      <c r="CG302" s="435">
        <v>69.853899756026607</v>
      </c>
      <c r="CH302" s="363">
        <v>70.077249260459567</v>
      </c>
      <c r="CI302" s="362">
        <v>55.581078588974101</v>
      </c>
      <c r="CJ302" s="362">
        <v>56.16829631115845</v>
      </c>
      <c r="CK302" s="362">
        <v>56.761718026896034</v>
      </c>
      <c r="CL302" s="363">
        <v>56.388534634799456</v>
      </c>
      <c r="CM302" s="363">
        <v>56.01780475977349</v>
      </c>
      <c r="CN302" s="363">
        <v>55.838921777380662</v>
      </c>
      <c r="CO302" s="363">
        <v>55.660610026251312</v>
      </c>
      <c r="CP302" s="363">
        <v>55.482867682259112</v>
      </c>
      <c r="CQ302" s="363">
        <v>55.305692927102761</v>
      </c>
      <c r="CR302" s="363">
        <v>55.129083948287402</v>
      </c>
      <c r="CS302" s="363">
        <v>55.53687200883121</v>
      </c>
      <c r="CT302" s="363">
        <v>55.947676464540912</v>
      </c>
      <c r="CU302" s="363">
        <v>56.361519627594532</v>
      </c>
      <c r="CV302" s="363">
        <v>56.778423975212547</v>
      </c>
      <c r="CW302" s="363">
        <v>57.19841215087866</v>
      </c>
      <c r="CX302" s="435">
        <v>57.428968476414347</v>
      </c>
      <c r="CY302" s="435">
        <v>57.659524801950035</v>
      </c>
      <c r="CZ302" s="435">
        <v>57.890081127485729</v>
      </c>
      <c r="DA302" s="435">
        <v>58.120637453021416</v>
      </c>
      <c r="DB302" s="363">
        <v>58.351193778557104</v>
      </c>
      <c r="DC302" s="435">
        <v>58.540181820769611</v>
      </c>
      <c r="DD302" s="435">
        <v>58.729169862982118</v>
      </c>
      <c r="DE302" s="435">
        <v>58.918157905194619</v>
      </c>
      <c r="DF302" s="435">
        <v>59.107145947407126</v>
      </c>
      <c r="DG302" s="363">
        <v>59.296133989619634</v>
      </c>
      <c r="DH302" s="362">
        <v>0</v>
      </c>
      <c r="DI302" s="362">
        <v>0</v>
      </c>
      <c r="DJ302" s="362">
        <v>0</v>
      </c>
      <c r="DK302" s="363">
        <v>0</v>
      </c>
      <c r="DL302" s="363">
        <v>0</v>
      </c>
      <c r="DM302" s="363">
        <v>0</v>
      </c>
      <c r="DN302" s="363">
        <v>0</v>
      </c>
      <c r="DO302" s="363">
        <v>0</v>
      </c>
      <c r="DP302" s="363">
        <v>0</v>
      </c>
      <c r="DQ302" s="363">
        <v>0</v>
      </c>
      <c r="DR302" s="363">
        <v>0</v>
      </c>
      <c r="DS302" s="363">
        <v>0</v>
      </c>
      <c r="DT302" s="363">
        <v>0</v>
      </c>
      <c r="DU302" s="363">
        <v>0</v>
      </c>
      <c r="DV302" s="363">
        <v>0</v>
      </c>
      <c r="DW302" s="435">
        <v>0</v>
      </c>
      <c r="DX302" s="435">
        <v>0</v>
      </c>
      <c r="DY302" s="435">
        <v>0</v>
      </c>
      <c r="DZ302" s="435">
        <v>0</v>
      </c>
      <c r="EA302" s="363">
        <v>0</v>
      </c>
      <c r="EB302" s="435">
        <v>0</v>
      </c>
      <c r="EC302" s="435">
        <v>0</v>
      </c>
      <c r="ED302" s="435">
        <v>0</v>
      </c>
      <c r="EE302" s="435">
        <v>0</v>
      </c>
      <c r="EF302" s="363">
        <v>0</v>
      </c>
      <c r="EG302" s="364">
        <v>0</v>
      </c>
      <c r="EH302" s="364">
        <v>0</v>
      </c>
      <c r="EI302" s="364">
        <v>0</v>
      </c>
      <c r="EJ302" s="365">
        <v>0</v>
      </c>
      <c r="EK302" s="365">
        <v>0</v>
      </c>
      <c r="EL302" s="365">
        <v>0</v>
      </c>
      <c r="EM302" s="365">
        <v>0</v>
      </c>
      <c r="EN302" s="365">
        <v>0</v>
      </c>
      <c r="EO302" s="365">
        <v>0</v>
      </c>
      <c r="EP302" s="365">
        <v>0</v>
      </c>
      <c r="EQ302" s="365">
        <v>0</v>
      </c>
      <c r="ER302" s="365">
        <v>0</v>
      </c>
      <c r="ES302" s="365">
        <v>0</v>
      </c>
      <c r="ET302" s="365">
        <v>0</v>
      </c>
      <c r="EU302" s="365">
        <v>0</v>
      </c>
      <c r="EV302" s="436">
        <v>0</v>
      </c>
      <c r="EW302" s="436">
        <v>0</v>
      </c>
      <c r="EX302" s="436">
        <v>0</v>
      </c>
      <c r="EY302" s="436">
        <v>0</v>
      </c>
      <c r="EZ302" s="365">
        <v>0</v>
      </c>
      <c r="FA302" s="436">
        <v>0</v>
      </c>
      <c r="FB302" s="436">
        <v>0</v>
      </c>
      <c r="FC302" s="436">
        <v>0</v>
      </c>
      <c r="FD302" s="436">
        <v>0</v>
      </c>
      <c r="FE302" s="365">
        <v>0</v>
      </c>
      <c r="FF302" s="364">
        <v>0</v>
      </c>
      <c r="FG302" s="364">
        <v>0</v>
      </c>
      <c r="FH302" s="364">
        <v>0</v>
      </c>
      <c r="FI302" s="365">
        <v>0</v>
      </c>
      <c r="FJ302" s="365">
        <v>0</v>
      </c>
      <c r="FK302" s="365">
        <v>0</v>
      </c>
      <c r="FL302" s="365">
        <v>0</v>
      </c>
      <c r="FM302" s="365">
        <v>0</v>
      </c>
      <c r="FN302" s="365">
        <v>0</v>
      </c>
      <c r="FO302" s="365">
        <v>0</v>
      </c>
      <c r="FP302" s="365">
        <v>0</v>
      </c>
      <c r="FQ302" s="365">
        <v>0</v>
      </c>
      <c r="FR302" s="365">
        <v>0</v>
      </c>
      <c r="FS302" s="365">
        <v>0</v>
      </c>
      <c r="FT302" s="365">
        <v>0</v>
      </c>
      <c r="FU302" s="436">
        <v>0</v>
      </c>
      <c r="FV302" s="436">
        <v>0</v>
      </c>
      <c r="FW302" s="436">
        <v>0</v>
      </c>
      <c r="FX302" s="436">
        <v>0</v>
      </c>
      <c r="FY302" s="365">
        <v>0</v>
      </c>
      <c r="FZ302" s="436">
        <v>0</v>
      </c>
      <c r="GA302" s="436">
        <v>0</v>
      </c>
      <c r="GB302" s="436">
        <v>0</v>
      </c>
      <c r="GC302" s="436">
        <v>0</v>
      </c>
      <c r="GD302" s="365">
        <v>0</v>
      </c>
    </row>
    <row r="303" spans="1:186" ht="15" x14ac:dyDescent="0.25">
      <c r="A303" s="357">
        <v>109</v>
      </c>
      <c r="B303" s="357">
        <v>98</v>
      </c>
      <c r="C303" s="357" t="s">
        <v>1213</v>
      </c>
      <c r="D303" s="2">
        <v>99709</v>
      </c>
      <c r="E303" s="268" t="s">
        <v>1527</v>
      </c>
      <c r="F303" s="358" t="s">
        <v>985</v>
      </c>
      <c r="G303" s="49">
        <v>66</v>
      </c>
      <c r="H303" s="49">
        <v>34</v>
      </c>
      <c r="I303" s="49">
        <v>30</v>
      </c>
      <c r="J303" s="49">
        <v>4</v>
      </c>
      <c r="K303" s="49">
        <v>0</v>
      </c>
      <c r="L303" s="49">
        <v>71</v>
      </c>
      <c r="M303" s="49">
        <v>71</v>
      </c>
      <c r="N303" s="49">
        <v>0</v>
      </c>
      <c r="O303" s="49">
        <v>0</v>
      </c>
      <c r="P303" s="49">
        <v>0</v>
      </c>
      <c r="Q303" s="49">
        <v>71</v>
      </c>
      <c r="R303" s="49">
        <v>0</v>
      </c>
      <c r="S303" s="49">
        <v>1156.6338028169014</v>
      </c>
      <c r="T303" s="49">
        <v>1156.6338028169014</v>
      </c>
      <c r="U303" s="49">
        <v>0</v>
      </c>
      <c r="V303" s="49">
        <v>0</v>
      </c>
      <c r="W303" s="49">
        <v>0</v>
      </c>
      <c r="X303" s="49">
        <v>1156.6338028169014</v>
      </c>
      <c r="Y303" s="434">
        <v>82121</v>
      </c>
      <c r="Z303" s="434">
        <v>0</v>
      </c>
      <c r="AA303" s="49">
        <v>0</v>
      </c>
      <c r="AB303" s="49">
        <v>34</v>
      </c>
      <c r="AC303" s="49">
        <v>0</v>
      </c>
      <c r="AD303" s="285">
        <v>0</v>
      </c>
      <c r="AE303" s="285">
        <v>0</v>
      </c>
      <c r="AF303" s="359">
        <v>34</v>
      </c>
      <c r="AG303" s="360">
        <v>0</v>
      </c>
      <c r="AH303" s="360">
        <v>30</v>
      </c>
      <c r="AI303" s="361">
        <v>30</v>
      </c>
      <c r="AJ303" s="360">
        <v>0</v>
      </c>
      <c r="AK303" s="360">
        <v>0</v>
      </c>
      <c r="AL303" s="360">
        <v>32.373385430263134</v>
      </c>
      <c r="AM303" s="360">
        <v>32.373385430263134</v>
      </c>
      <c r="AN303" s="360">
        <v>0</v>
      </c>
      <c r="AO303" s="360">
        <v>0</v>
      </c>
      <c r="AP303" s="360">
        <v>28.618638866939289</v>
      </c>
      <c r="AQ303" s="360">
        <v>28.618638866939289</v>
      </c>
      <c r="AR303" s="360">
        <v>0</v>
      </c>
      <c r="AS303" s="360">
        <v>0</v>
      </c>
      <c r="AT303" s="360">
        <v>0</v>
      </c>
      <c r="AU303" s="360">
        <v>30.824590712246284</v>
      </c>
      <c r="AV303" s="360">
        <v>31.589497556271105</v>
      </c>
      <c r="AW303" s="360">
        <v>32.373385430263134</v>
      </c>
      <c r="AX303" s="360">
        <v>33.176725345171526</v>
      </c>
      <c r="AY303" s="360">
        <v>34</v>
      </c>
      <c r="AZ303" s="360">
        <v>27.30088301987627</v>
      </c>
      <c r="BA303" s="360">
        <v>27.951996563651658</v>
      </c>
      <c r="BB303" s="360">
        <v>28.618638866939289</v>
      </c>
      <c r="BC303" s="360">
        <v>29.30118028353429</v>
      </c>
      <c r="BD303" s="360">
        <v>30</v>
      </c>
      <c r="BE303" s="360">
        <v>0</v>
      </c>
      <c r="BF303" s="360">
        <v>0</v>
      </c>
      <c r="BG303" s="360">
        <v>0</v>
      </c>
      <c r="BH303" s="360">
        <v>0</v>
      </c>
      <c r="BI303" s="360">
        <v>0</v>
      </c>
      <c r="BJ303" s="362">
        <v>34.322347675338797</v>
      </c>
      <c r="BK303" s="362">
        <v>34.647751469024548</v>
      </c>
      <c r="BL303" s="362">
        <v>34.9762403555468</v>
      </c>
      <c r="BM303" s="363">
        <v>34.746286920865991</v>
      </c>
      <c r="BN303" s="363">
        <v>34.517845329127248</v>
      </c>
      <c r="BO303" s="363">
        <v>34.407618676284855</v>
      </c>
      <c r="BP303" s="363">
        <v>34.29774401282306</v>
      </c>
      <c r="BQ303" s="363">
        <v>34.188220214725831</v>
      </c>
      <c r="BR303" s="363">
        <v>34.079046161566488</v>
      </c>
      <c r="BS303" s="363">
        <v>33.970220736496259</v>
      </c>
      <c r="BT303" s="363">
        <v>34.221497366512004</v>
      </c>
      <c r="BU303" s="363">
        <v>34.474632681676773</v>
      </c>
      <c r="BV303" s="363">
        <v>34.729640430624833</v>
      </c>
      <c r="BW303" s="363">
        <v>34.986534463688642</v>
      </c>
      <c r="BX303" s="363">
        <v>35.2453287336511</v>
      </c>
      <c r="BY303" s="435">
        <v>35.387396199854415</v>
      </c>
      <c r="BZ303" s="435">
        <v>35.529463666057723</v>
      </c>
      <c r="CA303" s="435">
        <v>35.671531132261038</v>
      </c>
      <c r="CB303" s="435">
        <v>35.813598598464345</v>
      </c>
      <c r="CC303" s="363">
        <v>35.95566606466766</v>
      </c>
      <c r="CD303" s="435">
        <v>36.07211939657028</v>
      </c>
      <c r="CE303" s="435">
        <v>36.188572728472892</v>
      </c>
      <c r="CF303" s="435">
        <v>36.305026060375511</v>
      </c>
      <c r="CG303" s="435">
        <v>36.421479392278123</v>
      </c>
      <c r="CH303" s="363">
        <v>36.537932724180742</v>
      </c>
      <c r="CI303" s="362">
        <v>30.284424419416588</v>
      </c>
      <c r="CJ303" s="362">
        <v>30.571545413845193</v>
      </c>
      <c r="CK303" s="362">
        <v>30.861388549011885</v>
      </c>
      <c r="CL303" s="363">
        <v>30.658488459587641</v>
      </c>
      <c r="CM303" s="363">
        <v>30.456922349229927</v>
      </c>
      <c r="CN303" s="363">
        <v>30.359663537898403</v>
      </c>
      <c r="CO303" s="363">
        <v>30.262715305432113</v>
      </c>
      <c r="CP303" s="363">
        <v>30.166076660052202</v>
      </c>
      <c r="CQ303" s="363">
        <v>30.069746613146904</v>
      </c>
      <c r="CR303" s="363">
        <v>29.973724179261406</v>
      </c>
      <c r="CS303" s="363">
        <v>30.195438852804713</v>
      </c>
      <c r="CT303" s="363">
        <v>30.418793542655983</v>
      </c>
      <c r="CU303" s="363">
        <v>30.643800379963089</v>
      </c>
      <c r="CV303" s="363">
        <v>30.870471585607628</v>
      </c>
      <c r="CW303" s="363">
        <v>31.098819470868623</v>
      </c>
      <c r="CX303" s="435">
        <v>31.224173117518603</v>
      </c>
      <c r="CY303" s="435">
        <v>31.349526764168584</v>
      </c>
      <c r="CZ303" s="435">
        <v>31.474880410818567</v>
      </c>
      <c r="DA303" s="435">
        <v>31.600234057468548</v>
      </c>
      <c r="DB303" s="363">
        <v>31.725587704118528</v>
      </c>
      <c r="DC303" s="435">
        <v>31.8283406440326</v>
      </c>
      <c r="DD303" s="435">
        <v>31.931093583946673</v>
      </c>
      <c r="DE303" s="435">
        <v>32.033846523860745</v>
      </c>
      <c r="DF303" s="435">
        <v>32.136599463774814</v>
      </c>
      <c r="DG303" s="363">
        <v>32.239352403688891</v>
      </c>
      <c r="DH303" s="362">
        <v>0</v>
      </c>
      <c r="DI303" s="362">
        <v>0</v>
      </c>
      <c r="DJ303" s="362">
        <v>0</v>
      </c>
      <c r="DK303" s="363">
        <v>0</v>
      </c>
      <c r="DL303" s="363">
        <v>0</v>
      </c>
      <c r="DM303" s="363">
        <v>0</v>
      </c>
      <c r="DN303" s="363">
        <v>0</v>
      </c>
      <c r="DO303" s="363">
        <v>0</v>
      </c>
      <c r="DP303" s="363">
        <v>0</v>
      </c>
      <c r="DQ303" s="363">
        <v>0</v>
      </c>
      <c r="DR303" s="363">
        <v>0</v>
      </c>
      <c r="DS303" s="363">
        <v>0</v>
      </c>
      <c r="DT303" s="363">
        <v>0</v>
      </c>
      <c r="DU303" s="363">
        <v>0</v>
      </c>
      <c r="DV303" s="363">
        <v>0</v>
      </c>
      <c r="DW303" s="435">
        <v>0</v>
      </c>
      <c r="DX303" s="435">
        <v>0</v>
      </c>
      <c r="DY303" s="435">
        <v>0</v>
      </c>
      <c r="DZ303" s="435">
        <v>0</v>
      </c>
      <c r="EA303" s="363">
        <v>0</v>
      </c>
      <c r="EB303" s="435">
        <v>0</v>
      </c>
      <c r="EC303" s="435">
        <v>0</v>
      </c>
      <c r="ED303" s="435">
        <v>0</v>
      </c>
      <c r="EE303" s="435">
        <v>0</v>
      </c>
      <c r="EF303" s="363">
        <v>0</v>
      </c>
      <c r="EG303" s="364">
        <v>0</v>
      </c>
      <c r="EH303" s="364">
        <v>0</v>
      </c>
      <c r="EI303" s="364">
        <v>0</v>
      </c>
      <c r="EJ303" s="365">
        <v>0</v>
      </c>
      <c r="EK303" s="365">
        <v>0</v>
      </c>
      <c r="EL303" s="365">
        <v>0</v>
      </c>
      <c r="EM303" s="365">
        <v>0</v>
      </c>
      <c r="EN303" s="365">
        <v>0</v>
      </c>
      <c r="EO303" s="365">
        <v>0</v>
      </c>
      <c r="EP303" s="365">
        <v>0</v>
      </c>
      <c r="EQ303" s="365">
        <v>0</v>
      </c>
      <c r="ER303" s="365">
        <v>0</v>
      </c>
      <c r="ES303" s="365">
        <v>0</v>
      </c>
      <c r="ET303" s="365">
        <v>0</v>
      </c>
      <c r="EU303" s="365">
        <v>0</v>
      </c>
      <c r="EV303" s="436">
        <v>0</v>
      </c>
      <c r="EW303" s="436">
        <v>0</v>
      </c>
      <c r="EX303" s="436">
        <v>0</v>
      </c>
      <c r="EY303" s="436">
        <v>0</v>
      </c>
      <c r="EZ303" s="365">
        <v>0</v>
      </c>
      <c r="FA303" s="436">
        <v>0</v>
      </c>
      <c r="FB303" s="436">
        <v>0</v>
      </c>
      <c r="FC303" s="436">
        <v>0</v>
      </c>
      <c r="FD303" s="436">
        <v>0</v>
      </c>
      <c r="FE303" s="365">
        <v>0</v>
      </c>
      <c r="FF303" s="364">
        <v>0</v>
      </c>
      <c r="FG303" s="364">
        <v>0</v>
      </c>
      <c r="FH303" s="364">
        <v>0</v>
      </c>
      <c r="FI303" s="365">
        <v>0</v>
      </c>
      <c r="FJ303" s="365">
        <v>0</v>
      </c>
      <c r="FK303" s="365">
        <v>0</v>
      </c>
      <c r="FL303" s="365">
        <v>0</v>
      </c>
      <c r="FM303" s="365">
        <v>0</v>
      </c>
      <c r="FN303" s="365">
        <v>0</v>
      </c>
      <c r="FO303" s="365">
        <v>0</v>
      </c>
      <c r="FP303" s="365">
        <v>0</v>
      </c>
      <c r="FQ303" s="365">
        <v>0</v>
      </c>
      <c r="FR303" s="365">
        <v>0</v>
      </c>
      <c r="FS303" s="365">
        <v>0</v>
      </c>
      <c r="FT303" s="365">
        <v>0</v>
      </c>
      <c r="FU303" s="436">
        <v>0</v>
      </c>
      <c r="FV303" s="436">
        <v>0</v>
      </c>
      <c r="FW303" s="436">
        <v>0</v>
      </c>
      <c r="FX303" s="436">
        <v>0</v>
      </c>
      <c r="FY303" s="365">
        <v>0</v>
      </c>
      <c r="FZ303" s="436">
        <v>0</v>
      </c>
      <c r="GA303" s="436">
        <v>0</v>
      </c>
      <c r="GB303" s="436">
        <v>0</v>
      </c>
      <c r="GC303" s="436">
        <v>0</v>
      </c>
      <c r="GD303" s="365">
        <v>0</v>
      </c>
    </row>
    <row r="304" spans="1:186" ht="15" x14ac:dyDescent="0.25">
      <c r="A304" s="357">
        <v>110</v>
      </c>
      <c r="B304" s="357">
        <v>98</v>
      </c>
      <c r="C304" s="357" t="s">
        <v>1214</v>
      </c>
      <c r="D304" s="2">
        <v>99712</v>
      </c>
      <c r="E304" s="268" t="s">
        <v>1527</v>
      </c>
      <c r="F304" s="358" t="s">
        <v>985</v>
      </c>
      <c r="G304" s="49">
        <v>81</v>
      </c>
      <c r="H304" s="49">
        <v>48</v>
      </c>
      <c r="I304" s="49">
        <v>34</v>
      </c>
      <c r="J304" s="49">
        <v>14</v>
      </c>
      <c r="K304" s="49">
        <v>0</v>
      </c>
      <c r="L304" s="49">
        <v>50</v>
      </c>
      <c r="M304" s="49">
        <v>50</v>
      </c>
      <c r="N304" s="49">
        <v>4</v>
      </c>
      <c r="O304" s="49">
        <v>0</v>
      </c>
      <c r="P304" s="49">
        <v>0</v>
      </c>
      <c r="Q304" s="49">
        <v>54</v>
      </c>
      <c r="R304" s="49">
        <v>0</v>
      </c>
      <c r="S304" s="49">
        <v>2638.36</v>
      </c>
      <c r="T304" s="49">
        <v>2638.36</v>
      </c>
      <c r="U304" s="49">
        <v>3539</v>
      </c>
      <c r="V304" s="49">
        <v>0</v>
      </c>
      <c r="W304" s="49">
        <v>0</v>
      </c>
      <c r="X304" s="49">
        <v>2705.0740740740739</v>
      </c>
      <c r="Y304" s="434">
        <v>131918</v>
      </c>
      <c r="Z304" s="434">
        <v>14156</v>
      </c>
      <c r="AA304" s="49">
        <v>0</v>
      </c>
      <c r="AB304" s="49">
        <v>48</v>
      </c>
      <c r="AC304" s="49">
        <v>0</v>
      </c>
      <c r="AD304" s="285">
        <v>4</v>
      </c>
      <c r="AE304" s="285">
        <v>0</v>
      </c>
      <c r="AF304" s="359">
        <v>52</v>
      </c>
      <c r="AG304" s="360">
        <v>0</v>
      </c>
      <c r="AH304" s="360">
        <v>34</v>
      </c>
      <c r="AI304" s="361">
        <v>34</v>
      </c>
      <c r="AJ304" s="360">
        <v>0</v>
      </c>
      <c r="AK304" s="360">
        <v>0</v>
      </c>
      <c r="AL304" s="360">
        <v>43.637483766995437</v>
      </c>
      <c r="AM304" s="360">
        <v>43.637483766995437</v>
      </c>
      <c r="AN304" s="360">
        <v>0</v>
      </c>
      <c r="AO304" s="360">
        <v>0</v>
      </c>
      <c r="AP304" s="360">
        <v>31.023439753188914</v>
      </c>
      <c r="AQ304" s="360">
        <v>31.023439753188914</v>
      </c>
      <c r="AR304" s="360">
        <v>0</v>
      </c>
      <c r="AS304" s="360">
        <v>3.7193654032553547</v>
      </c>
      <c r="AT304" s="360">
        <v>0</v>
      </c>
      <c r="AU304" s="360">
        <v>39.671458114891458</v>
      </c>
      <c r="AV304" s="360">
        <v>41.607242272248897</v>
      </c>
      <c r="AW304" s="360">
        <v>43.637483766995437</v>
      </c>
      <c r="AX304" s="360">
        <v>45.766791681477748</v>
      </c>
      <c r="AY304" s="360">
        <v>48</v>
      </c>
      <c r="AZ304" s="360">
        <v>28.307465121168889</v>
      </c>
      <c r="BA304" s="360">
        <v>29.634354029606914</v>
      </c>
      <c r="BB304" s="360">
        <v>31.023439753188914</v>
      </c>
      <c r="BC304" s="360">
        <v>32.477637715948852</v>
      </c>
      <c r="BD304" s="360">
        <v>34</v>
      </c>
      <c r="BE304" s="360">
        <v>3.4584197507332171</v>
      </c>
      <c r="BF304" s="360">
        <v>3.5865201478330131</v>
      </c>
      <c r="BG304" s="360">
        <v>3.7193654032553547</v>
      </c>
      <c r="BH304" s="360">
        <v>3.8571312672790152</v>
      </c>
      <c r="BI304" s="360">
        <v>4</v>
      </c>
      <c r="BJ304" s="362">
        <v>48.455079071066535</v>
      </c>
      <c r="BK304" s="362">
        <v>48.914472662152306</v>
      </c>
      <c r="BL304" s="362">
        <v>49.37822167841901</v>
      </c>
      <c r="BM304" s="363">
        <v>49.053581535340221</v>
      </c>
      <c r="BN304" s="363">
        <v>48.731075758767872</v>
      </c>
      <c r="BO304" s="363">
        <v>48.575461660637437</v>
      </c>
      <c r="BP304" s="363">
        <v>48.42034448869137</v>
      </c>
      <c r="BQ304" s="363">
        <v>48.265722656083518</v>
      </c>
      <c r="BR304" s="363">
        <v>48.111594581035042</v>
      </c>
      <c r="BS304" s="363">
        <v>47.957958686818245</v>
      </c>
      <c r="BT304" s="363">
        <v>48.312702164487533</v>
      </c>
      <c r="BU304" s="363">
        <v>48.670069668249567</v>
      </c>
      <c r="BV304" s="363">
        <v>49.030080607940938</v>
      </c>
      <c r="BW304" s="363">
        <v>49.392754536972198</v>
      </c>
      <c r="BX304" s="363">
        <v>49.758111153389791</v>
      </c>
      <c r="BY304" s="435">
        <v>49.958676988029758</v>
      </c>
      <c r="BZ304" s="435">
        <v>50.159242822669725</v>
      </c>
      <c r="CA304" s="435">
        <v>50.359808657309699</v>
      </c>
      <c r="CB304" s="435">
        <v>50.560374491949666</v>
      </c>
      <c r="CC304" s="363">
        <v>50.760940326589633</v>
      </c>
      <c r="CD304" s="435">
        <v>50.925345030452149</v>
      </c>
      <c r="CE304" s="435">
        <v>51.089749734314665</v>
      </c>
      <c r="CF304" s="435">
        <v>51.254154438177189</v>
      </c>
      <c r="CG304" s="435">
        <v>51.418559142039705</v>
      </c>
      <c r="CH304" s="363">
        <v>51.582963845902221</v>
      </c>
      <c r="CI304" s="362">
        <v>34.322347675338797</v>
      </c>
      <c r="CJ304" s="362">
        <v>34.647751469024548</v>
      </c>
      <c r="CK304" s="362">
        <v>34.9762403555468</v>
      </c>
      <c r="CL304" s="363">
        <v>34.746286920865991</v>
      </c>
      <c r="CM304" s="363">
        <v>34.517845329127248</v>
      </c>
      <c r="CN304" s="363">
        <v>34.407618676284855</v>
      </c>
      <c r="CO304" s="363">
        <v>34.29774401282306</v>
      </c>
      <c r="CP304" s="363">
        <v>34.188220214725831</v>
      </c>
      <c r="CQ304" s="363">
        <v>34.079046161566488</v>
      </c>
      <c r="CR304" s="363">
        <v>33.970220736496259</v>
      </c>
      <c r="CS304" s="363">
        <v>34.221497366512004</v>
      </c>
      <c r="CT304" s="363">
        <v>34.474632681676773</v>
      </c>
      <c r="CU304" s="363">
        <v>34.729640430624833</v>
      </c>
      <c r="CV304" s="363">
        <v>34.986534463688642</v>
      </c>
      <c r="CW304" s="363">
        <v>35.2453287336511</v>
      </c>
      <c r="CX304" s="435">
        <v>35.387396199854415</v>
      </c>
      <c r="CY304" s="435">
        <v>35.529463666057723</v>
      </c>
      <c r="CZ304" s="435">
        <v>35.671531132261038</v>
      </c>
      <c r="DA304" s="435">
        <v>35.813598598464345</v>
      </c>
      <c r="DB304" s="363">
        <v>35.95566606466766</v>
      </c>
      <c r="DC304" s="435">
        <v>36.07211939657028</v>
      </c>
      <c r="DD304" s="435">
        <v>36.188572728472892</v>
      </c>
      <c r="DE304" s="435">
        <v>36.305026060375511</v>
      </c>
      <c r="DF304" s="435">
        <v>36.421479392278123</v>
      </c>
      <c r="DG304" s="363">
        <v>36.537932724180742</v>
      </c>
      <c r="DH304" s="362">
        <v>4.0379232559222116</v>
      </c>
      <c r="DI304" s="362">
        <v>4.0762060551793589</v>
      </c>
      <c r="DJ304" s="362">
        <v>4.1148518065349178</v>
      </c>
      <c r="DK304" s="363">
        <v>4.0877984612783518</v>
      </c>
      <c r="DL304" s="363">
        <v>4.060922979897323</v>
      </c>
      <c r="DM304" s="363">
        <v>4.0479551383864534</v>
      </c>
      <c r="DN304" s="363">
        <v>4.0350287073909481</v>
      </c>
      <c r="DO304" s="363">
        <v>4.0221435546736268</v>
      </c>
      <c r="DP304" s="363">
        <v>4.0092995484195875</v>
      </c>
      <c r="DQ304" s="363">
        <v>3.9964965572348539</v>
      </c>
      <c r="DR304" s="363">
        <v>4.0260585137072944</v>
      </c>
      <c r="DS304" s="363">
        <v>4.0558391390207973</v>
      </c>
      <c r="DT304" s="363">
        <v>4.0858400506617452</v>
      </c>
      <c r="DU304" s="363">
        <v>4.1160628780810171</v>
      </c>
      <c r="DV304" s="363">
        <v>4.1465092627824829</v>
      </c>
      <c r="DW304" s="435">
        <v>4.1632230823358141</v>
      </c>
      <c r="DX304" s="435">
        <v>4.1799369018891444</v>
      </c>
      <c r="DY304" s="435">
        <v>4.1966507214424755</v>
      </c>
      <c r="DZ304" s="435">
        <v>4.2133645409958058</v>
      </c>
      <c r="EA304" s="363">
        <v>4.230078360549137</v>
      </c>
      <c r="EB304" s="435">
        <v>4.24377875253768</v>
      </c>
      <c r="EC304" s="435">
        <v>4.257479144526223</v>
      </c>
      <c r="ED304" s="435">
        <v>4.271179536514766</v>
      </c>
      <c r="EE304" s="435">
        <v>4.284879928503309</v>
      </c>
      <c r="EF304" s="363">
        <v>4.298580320491852</v>
      </c>
      <c r="EG304" s="364">
        <v>0</v>
      </c>
      <c r="EH304" s="364">
        <v>0</v>
      </c>
      <c r="EI304" s="364">
        <v>0</v>
      </c>
      <c r="EJ304" s="365">
        <v>0</v>
      </c>
      <c r="EK304" s="365">
        <v>0</v>
      </c>
      <c r="EL304" s="365">
        <v>0</v>
      </c>
      <c r="EM304" s="365">
        <v>0</v>
      </c>
      <c r="EN304" s="365">
        <v>0</v>
      </c>
      <c r="EO304" s="365">
        <v>0</v>
      </c>
      <c r="EP304" s="365">
        <v>0</v>
      </c>
      <c r="EQ304" s="365">
        <v>0</v>
      </c>
      <c r="ER304" s="365">
        <v>0</v>
      </c>
      <c r="ES304" s="365">
        <v>0</v>
      </c>
      <c r="ET304" s="365">
        <v>0</v>
      </c>
      <c r="EU304" s="365">
        <v>0</v>
      </c>
      <c r="EV304" s="436">
        <v>0</v>
      </c>
      <c r="EW304" s="436">
        <v>0</v>
      </c>
      <c r="EX304" s="436">
        <v>0</v>
      </c>
      <c r="EY304" s="436">
        <v>0</v>
      </c>
      <c r="EZ304" s="365">
        <v>0</v>
      </c>
      <c r="FA304" s="436">
        <v>0</v>
      </c>
      <c r="FB304" s="436">
        <v>0</v>
      </c>
      <c r="FC304" s="436">
        <v>0</v>
      </c>
      <c r="FD304" s="436">
        <v>0</v>
      </c>
      <c r="FE304" s="365">
        <v>0</v>
      </c>
      <c r="FF304" s="364">
        <v>0</v>
      </c>
      <c r="FG304" s="364">
        <v>0</v>
      </c>
      <c r="FH304" s="364">
        <v>0</v>
      </c>
      <c r="FI304" s="365">
        <v>0</v>
      </c>
      <c r="FJ304" s="365">
        <v>0</v>
      </c>
      <c r="FK304" s="365">
        <v>0</v>
      </c>
      <c r="FL304" s="365">
        <v>0</v>
      </c>
      <c r="FM304" s="365">
        <v>0</v>
      </c>
      <c r="FN304" s="365">
        <v>0</v>
      </c>
      <c r="FO304" s="365">
        <v>0</v>
      </c>
      <c r="FP304" s="365">
        <v>0</v>
      </c>
      <c r="FQ304" s="365">
        <v>0</v>
      </c>
      <c r="FR304" s="365">
        <v>0</v>
      </c>
      <c r="FS304" s="365">
        <v>0</v>
      </c>
      <c r="FT304" s="365">
        <v>0</v>
      </c>
      <c r="FU304" s="436">
        <v>0</v>
      </c>
      <c r="FV304" s="436">
        <v>0</v>
      </c>
      <c r="FW304" s="436">
        <v>0</v>
      </c>
      <c r="FX304" s="436">
        <v>0</v>
      </c>
      <c r="FY304" s="365">
        <v>0</v>
      </c>
      <c r="FZ304" s="436">
        <v>0</v>
      </c>
      <c r="GA304" s="436">
        <v>0</v>
      </c>
      <c r="GB304" s="436">
        <v>0</v>
      </c>
      <c r="GC304" s="436">
        <v>0</v>
      </c>
      <c r="GD304" s="365">
        <v>0</v>
      </c>
    </row>
    <row r="305" spans="1:186" ht="15" x14ac:dyDescent="0.25">
      <c r="A305" s="357">
        <v>111</v>
      </c>
      <c r="B305" s="357">
        <v>98</v>
      </c>
      <c r="C305" s="357" t="s">
        <v>1215</v>
      </c>
      <c r="D305" s="2">
        <v>99712</v>
      </c>
      <c r="E305" s="268" t="s">
        <v>1527</v>
      </c>
      <c r="F305" s="358" t="s">
        <v>985</v>
      </c>
      <c r="G305" s="49">
        <v>338</v>
      </c>
      <c r="H305" s="49">
        <v>162</v>
      </c>
      <c r="I305" s="49">
        <v>147</v>
      </c>
      <c r="J305" s="49">
        <v>15</v>
      </c>
      <c r="K305" s="49">
        <v>0</v>
      </c>
      <c r="L305" s="49">
        <v>148</v>
      </c>
      <c r="M305" s="49">
        <v>148</v>
      </c>
      <c r="N305" s="49">
        <v>3</v>
      </c>
      <c r="O305" s="49">
        <v>0</v>
      </c>
      <c r="P305" s="49">
        <v>0</v>
      </c>
      <c r="Q305" s="49">
        <v>151</v>
      </c>
      <c r="R305" s="49">
        <v>0</v>
      </c>
      <c r="S305" s="49">
        <v>1644.0135135135135</v>
      </c>
      <c r="T305" s="49">
        <v>1644.0135135135135</v>
      </c>
      <c r="U305" s="49">
        <v>2548</v>
      </c>
      <c r="V305" s="49">
        <v>0</v>
      </c>
      <c r="W305" s="49">
        <v>0</v>
      </c>
      <c r="X305" s="49">
        <v>1661.9735099337747</v>
      </c>
      <c r="Y305" s="434">
        <v>243314</v>
      </c>
      <c r="Z305" s="434">
        <v>7644</v>
      </c>
      <c r="AA305" s="49">
        <v>0</v>
      </c>
      <c r="AB305" s="49">
        <v>162</v>
      </c>
      <c r="AC305" s="49">
        <v>0</v>
      </c>
      <c r="AD305" s="285">
        <v>3</v>
      </c>
      <c r="AE305" s="285">
        <v>0</v>
      </c>
      <c r="AF305" s="359">
        <v>165</v>
      </c>
      <c r="AG305" s="360">
        <v>0</v>
      </c>
      <c r="AH305" s="360">
        <v>147</v>
      </c>
      <c r="AI305" s="361">
        <v>147</v>
      </c>
      <c r="AJ305" s="360">
        <v>0</v>
      </c>
      <c r="AK305" s="360">
        <v>0</v>
      </c>
      <c r="AL305" s="360">
        <v>147.27650771360959</v>
      </c>
      <c r="AM305" s="360">
        <v>147.27650771360959</v>
      </c>
      <c r="AN305" s="360">
        <v>0</v>
      </c>
      <c r="AO305" s="360">
        <v>0</v>
      </c>
      <c r="AP305" s="360">
        <v>134.13075422702266</v>
      </c>
      <c r="AQ305" s="360">
        <v>134.13075422702266</v>
      </c>
      <c r="AR305" s="360">
        <v>0</v>
      </c>
      <c r="AS305" s="360">
        <v>2.7895240524415161</v>
      </c>
      <c r="AT305" s="360">
        <v>0</v>
      </c>
      <c r="AU305" s="360">
        <v>133.89117113775868</v>
      </c>
      <c r="AV305" s="360">
        <v>140.42444266884004</v>
      </c>
      <c r="AW305" s="360">
        <v>147.27650771360959</v>
      </c>
      <c r="AX305" s="360">
        <v>154.4629219249874</v>
      </c>
      <c r="AY305" s="360">
        <v>162</v>
      </c>
      <c r="AZ305" s="360">
        <v>122.38815802387725</v>
      </c>
      <c r="BA305" s="360">
        <v>128.12500124565344</v>
      </c>
      <c r="BB305" s="360">
        <v>134.13075422702266</v>
      </c>
      <c r="BC305" s="360">
        <v>140.41802188954355</v>
      </c>
      <c r="BD305" s="360">
        <v>147</v>
      </c>
      <c r="BE305" s="360">
        <v>2.5938148130499128</v>
      </c>
      <c r="BF305" s="360">
        <v>2.6898901108747597</v>
      </c>
      <c r="BG305" s="360">
        <v>2.7895240524415161</v>
      </c>
      <c r="BH305" s="360">
        <v>2.8928484504592613</v>
      </c>
      <c r="BI305" s="360">
        <v>3</v>
      </c>
      <c r="BJ305" s="362">
        <v>164.21424748789261</v>
      </c>
      <c r="BK305" s="362">
        <v>166.45875974083236</v>
      </c>
      <c r="BL305" s="362">
        <v>168.73395042351049</v>
      </c>
      <c r="BM305" s="363">
        <v>167.62459873068357</v>
      </c>
      <c r="BN305" s="363">
        <v>166.52254053851425</v>
      </c>
      <c r="BO305" s="363">
        <v>165.99078016670205</v>
      </c>
      <c r="BP305" s="363">
        <v>165.46071787787685</v>
      </c>
      <c r="BQ305" s="363">
        <v>164.93234824950991</v>
      </c>
      <c r="BR305" s="363">
        <v>164.40566587638858</v>
      </c>
      <c r="BS305" s="363">
        <v>163.88066537056073</v>
      </c>
      <c r="BT305" s="363">
        <v>165.09288538050643</v>
      </c>
      <c r="BU305" s="363">
        <v>166.31407214287034</v>
      </c>
      <c r="BV305" s="363">
        <v>167.54429198443168</v>
      </c>
      <c r="BW305" s="363">
        <v>168.78361172258676</v>
      </c>
      <c r="BX305" s="363">
        <v>170.03209866897777</v>
      </c>
      <c r="BY305" s="435">
        <v>170.71746692341171</v>
      </c>
      <c r="BZ305" s="435">
        <v>171.40283517784565</v>
      </c>
      <c r="CA305" s="435">
        <v>172.08820343227961</v>
      </c>
      <c r="CB305" s="435">
        <v>172.77357168671355</v>
      </c>
      <c r="CC305" s="363">
        <v>173.45893994114749</v>
      </c>
      <c r="CD305" s="435">
        <v>174.02073933788546</v>
      </c>
      <c r="CE305" s="435">
        <v>174.58253873462343</v>
      </c>
      <c r="CF305" s="435">
        <v>175.14433813136142</v>
      </c>
      <c r="CG305" s="435">
        <v>175.70613752809939</v>
      </c>
      <c r="CH305" s="363">
        <v>176.26793692483736</v>
      </c>
      <c r="CI305" s="362">
        <v>149.00922457234699</v>
      </c>
      <c r="CJ305" s="362">
        <v>151.04591161668122</v>
      </c>
      <c r="CK305" s="362">
        <v>153.11043649540767</v>
      </c>
      <c r="CL305" s="363">
        <v>152.10380255191657</v>
      </c>
      <c r="CM305" s="363">
        <v>151.10378678494811</v>
      </c>
      <c r="CN305" s="363">
        <v>150.62126348460004</v>
      </c>
      <c r="CO305" s="363">
        <v>150.14028103733267</v>
      </c>
      <c r="CP305" s="363">
        <v>149.66083452270342</v>
      </c>
      <c r="CQ305" s="363">
        <v>149.18291903598222</v>
      </c>
      <c r="CR305" s="363">
        <v>148.7065296881014</v>
      </c>
      <c r="CS305" s="363">
        <v>149.80650710453361</v>
      </c>
      <c r="CT305" s="363">
        <v>150.91462101853051</v>
      </c>
      <c r="CU305" s="363">
        <v>152.03093161550282</v>
      </c>
      <c r="CV305" s="363">
        <v>153.15549952605093</v>
      </c>
      <c r="CW305" s="363">
        <v>154.28838582925758</v>
      </c>
      <c r="CX305" s="435">
        <v>154.91029406013283</v>
      </c>
      <c r="CY305" s="435">
        <v>155.53220229100808</v>
      </c>
      <c r="CZ305" s="435">
        <v>156.15411052188333</v>
      </c>
      <c r="DA305" s="435">
        <v>156.77601875275857</v>
      </c>
      <c r="DB305" s="363">
        <v>157.39792698363382</v>
      </c>
      <c r="DC305" s="435">
        <v>157.90770791771087</v>
      </c>
      <c r="DD305" s="435">
        <v>158.41748885178794</v>
      </c>
      <c r="DE305" s="435">
        <v>158.92726978586498</v>
      </c>
      <c r="DF305" s="435">
        <v>159.43705071994205</v>
      </c>
      <c r="DG305" s="363">
        <v>159.94683165401909</v>
      </c>
      <c r="DH305" s="362">
        <v>3.0410045831091224</v>
      </c>
      <c r="DI305" s="362">
        <v>3.0825696248302288</v>
      </c>
      <c r="DJ305" s="362">
        <v>3.1247027856205642</v>
      </c>
      <c r="DK305" s="363">
        <v>3.1041592357533987</v>
      </c>
      <c r="DL305" s="363">
        <v>3.0837507507132265</v>
      </c>
      <c r="DM305" s="363">
        <v>3.073903336420408</v>
      </c>
      <c r="DN305" s="363">
        <v>3.0640873681088299</v>
      </c>
      <c r="DO305" s="363">
        <v>3.0543027453612943</v>
      </c>
      <c r="DP305" s="363">
        <v>3.0445493680812694</v>
      </c>
      <c r="DQ305" s="363">
        <v>3.0348271364918653</v>
      </c>
      <c r="DR305" s="363">
        <v>3.0572756551945632</v>
      </c>
      <c r="DS305" s="363">
        <v>3.0798902248679689</v>
      </c>
      <c r="DT305" s="363">
        <v>3.1026720737857718</v>
      </c>
      <c r="DU305" s="363">
        <v>3.1256224393071617</v>
      </c>
      <c r="DV305" s="363">
        <v>3.1487425679440322</v>
      </c>
      <c r="DW305" s="435">
        <v>3.161434572655772</v>
      </c>
      <c r="DX305" s="435">
        <v>3.1741265773675118</v>
      </c>
      <c r="DY305" s="435">
        <v>3.1868185820792512</v>
      </c>
      <c r="DZ305" s="435">
        <v>3.199510586790991</v>
      </c>
      <c r="EA305" s="363">
        <v>3.2122025915027308</v>
      </c>
      <c r="EB305" s="435">
        <v>3.2226062840349154</v>
      </c>
      <c r="EC305" s="435">
        <v>3.2330099765671001</v>
      </c>
      <c r="ED305" s="435">
        <v>3.2434136690992852</v>
      </c>
      <c r="EE305" s="435">
        <v>3.2538173616314698</v>
      </c>
      <c r="EF305" s="363">
        <v>3.2642210541636545</v>
      </c>
      <c r="EG305" s="364">
        <v>0</v>
      </c>
      <c r="EH305" s="364">
        <v>0</v>
      </c>
      <c r="EI305" s="364">
        <v>0</v>
      </c>
      <c r="EJ305" s="365">
        <v>0</v>
      </c>
      <c r="EK305" s="365">
        <v>0</v>
      </c>
      <c r="EL305" s="365">
        <v>0</v>
      </c>
      <c r="EM305" s="365">
        <v>0</v>
      </c>
      <c r="EN305" s="365">
        <v>0</v>
      </c>
      <c r="EO305" s="365">
        <v>0</v>
      </c>
      <c r="EP305" s="365">
        <v>0</v>
      </c>
      <c r="EQ305" s="365">
        <v>0</v>
      </c>
      <c r="ER305" s="365">
        <v>0</v>
      </c>
      <c r="ES305" s="365">
        <v>0</v>
      </c>
      <c r="ET305" s="365">
        <v>0</v>
      </c>
      <c r="EU305" s="365">
        <v>0</v>
      </c>
      <c r="EV305" s="436">
        <v>0</v>
      </c>
      <c r="EW305" s="436">
        <v>0</v>
      </c>
      <c r="EX305" s="436">
        <v>0</v>
      </c>
      <c r="EY305" s="436">
        <v>0</v>
      </c>
      <c r="EZ305" s="365">
        <v>0</v>
      </c>
      <c r="FA305" s="436">
        <v>0</v>
      </c>
      <c r="FB305" s="436">
        <v>0</v>
      </c>
      <c r="FC305" s="436">
        <v>0</v>
      </c>
      <c r="FD305" s="436">
        <v>0</v>
      </c>
      <c r="FE305" s="365">
        <v>0</v>
      </c>
      <c r="FF305" s="364">
        <v>0</v>
      </c>
      <c r="FG305" s="364">
        <v>0</v>
      </c>
      <c r="FH305" s="364">
        <v>0</v>
      </c>
      <c r="FI305" s="365">
        <v>0</v>
      </c>
      <c r="FJ305" s="365">
        <v>0</v>
      </c>
      <c r="FK305" s="365">
        <v>0</v>
      </c>
      <c r="FL305" s="365">
        <v>0</v>
      </c>
      <c r="FM305" s="365">
        <v>0</v>
      </c>
      <c r="FN305" s="365">
        <v>0</v>
      </c>
      <c r="FO305" s="365">
        <v>0</v>
      </c>
      <c r="FP305" s="365">
        <v>0</v>
      </c>
      <c r="FQ305" s="365">
        <v>0</v>
      </c>
      <c r="FR305" s="365">
        <v>0</v>
      </c>
      <c r="FS305" s="365">
        <v>0</v>
      </c>
      <c r="FT305" s="365">
        <v>0</v>
      </c>
      <c r="FU305" s="436">
        <v>0</v>
      </c>
      <c r="FV305" s="436">
        <v>0</v>
      </c>
      <c r="FW305" s="436">
        <v>0</v>
      </c>
      <c r="FX305" s="436">
        <v>0</v>
      </c>
      <c r="FY305" s="365">
        <v>0</v>
      </c>
      <c r="FZ305" s="436">
        <v>0</v>
      </c>
      <c r="GA305" s="436">
        <v>0</v>
      </c>
      <c r="GB305" s="436">
        <v>0</v>
      </c>
      <c r="GC305" s="436">
        <v>0</v>
      </c>
      <c r="GD305" s="365">
        <v>0</v>
      </c>
    </row>
    <row r="306" spans="1:186" ht="15" x14ac:dyDescent="0.25">
      <c r="A306" s="357">
        <v>112</v>
      </c>
      <c r="B306" s="357">
        <v>98</v>
      </c>
      <c r="C306" s="357" t="s">
        <v>1216</v>
      </c>
      <c r="D306" s="2">
        <v>99712</v>
      </c>
      <c r="E306" s="268" t="s">
        <v>1527</v>
      </c>
      <c r="F306" s="358" t="s">
        <v>985</v>
      </c>
      <c r="G306" s="49">
        <v>168</v>
      </c>
      <c r="H306" s="49">
        <v>86</v>
      </c>
      <c r="I306" s="49">
        <v>74</v>
      </c>
      <c r="J306" s="49">
        <v>12</v>
      </c>
      <c r="K306" s="49">
        <v>4</v>
      </c>
      <c r="L306" s="49">
        <v>35</v>
      </c>
      <c r="M306" s="49">
        <v>39</v>
      </c>
      <c r="N306" s="49">
        <v>9</v>
      </c>
      <c r="O306" s="49">
        <v>0</v>
      </c>
      <c r="P306" s="49">
        <v>0</v>
      </c>
      <c r="Q306" s="49">
        <v>48</v>
      </c>
      <c r="R306" s="49">
        <v>6543</v>
      </c>
      <c r="S306" s="49">
        <v>1661.3428571428572</v>
      </c>
      <c r="T306" s="49">
        <v>2162.0256410256411</v>
      </c>
      <c r="U306" s="49">
        <v>8518.1111111111113</v>
      </c>
      <c r="V306" s="49">
        <v>0</v>
      </c>
      <c r="W306" s="49">
        <v>0</v>
      </c>
      <c r="X306" s="49">
        <v>3353.7916666666665</v>
      </c>
      <c r="Y306" s="434">
        <v>84319</v>
      </c>
      <c r="Z306" s="434">
        <v>76663</v>
      </c>
      <c r="AA306" s="49">
        <v>8.8205128205128212</v>
      </c>
      <c r="AB306" s="49">
        <v>77.179487179487182</v>
      </c>
      <c r="AC306" s="49">
        <v>0</v>
      </c>
      <c r="AD306" s="285">
        <v>9</v>
      </c>
      <c r="AE306" s="285">
        <v>0</v>
      </c>
      <c r="AF306" s="359">
        <v>95</v>
      </c>
      <c r="AG306" s="360">
        <v>7.5897435897435903</v>
      </c>
      <c r="AH306" s="360">
        <v>66.410256410256409</v>
      </c>
      <c r="AI306" s="361">
        <v>74</v>
      </c>
      <c r="AJ306" s="360">
        <v>0</v>
      </c>
      <c r="AK306" s="360">
        <v>8.0188538546188202</v>
      </c>
      <c r="AL306" s="360">
        <v>70.164971227914677</v>
      </c>
      <c r="AM306" s="360">
        <v>78.183825082533502</v>
      </c>
      <c r="AN306" s="360">
        <v>0</v>
      </c>
      <c r="AO306" s="360">
        <v>6.9252927352518245</v>
      </c>
      <c r="AP306" s="360">
        <v>60.596311433453458</v>
      </c>
      <c r="AQ306" s="360">
        <v>67.521604168705281</v>
      </c>
      <c r="AR306" s="360">
        <v>0</v>
      </c>
      <c r="AS306" s="360">
        <v>8.3685721573245484</v>
      </c>
      <c r="AT306" s="360">
        <v>0</v>
      </c>
      <c r="AU306" s="360">
        <v>71.078029122513868</v>
      </c>
      <c r="AV306" s="360">
        <v>74.546309071112617</v>
      </c>
      <c r="AW306" s="360">
        <v>78.183825082533488</v>
      </c>
      <c r="AX306" s="360">
        <v>81.998835095980965</v>
      </c>
      <c r="AY306" s="360">
        <v>86</v>
      </c>
      <c r="AZ306" s="360">
        <v>61.610365263720524</v>
      </c>
      <c r="BA306" s="360">
        <v>64.498299946791519</v>
      </c>
      <c r="BB306" s="360">
        <v>67.521604168705281</v>
      </c>
      <c r="BC306" s="360">
        <v>70.686623264123966</v>
      </c>
      <c r="BD306" s="360">
        <v>74</v>
      </c>
      <c r="BE306" s="360">
        <v>7.7814444391497384</v>
      </c>
      <c r="BF306" s="360">
        <v>8.0696703326242787</v>
      </c>
      <c r="BG306" s="360">
        <v>8.3685721573245484</v>
      </c>
      <c r="BH306" s="360">
        <v>8.6785453513777835</v>
      </c>
      <c r="BI306" s="360">
        <v>9</v>
      </c>
      <c r="BJ306" s="362">
        <v>87.71872186521766</v>
      </c>
      <c r="BK306" s="362">
        <v>89.471792624039722</v>
      </c>
      <c r="BL306" s="362">
        <v>91.259898743843877</v>
      </c>
      <c r="BM306" s="363">
        <v>90.659904949443913</v>
      </c>
      <c r="BN306" s="363">
        <v>90.06385585099774</v>
      </c>
      <c r="BO306" s="363">
        <v>89.776252807474094</v>
      </c>
      <c r="BP306" s="363">
        <v>89.489568173559547</v>
      </c>
      <c r="BQ306" s="363">
        <v>89.203799016474903</v>
      </c>
      <c r="BR306" s="363">
        <v>88.918942412806345</v>
      </c>
      <c r="BS306" s="363">
        <v>88.634995448475451</v>
      </c>
      <c r="BT306" s="363">
        <v>89.290625658550184</v>
      </c>
      <c r="BU306" s="363">
        <v>89.951105544198171</v>
      </c>
      <c r="BV306" s="363">
        <v>90.616470978313629</v>
      </c>
      <c r="BW306" s="363">
        <v>91.286758099141437</v>
      </c>
      <c r="BX306" s="363">
        <v>91.962003312239816</v>
      </c>
      <c r="BY306" s="435">
        <v>92.332685308037938</v>
      </c>
      <c r="BZ306" s="435">
        <v>92.703367303836046</v>
      </c>
      <c r="CA306" s="435">
        <v>93.074049299634169</v>
      </c>
      <c r="CB306" s="435">
        <v>93.444731295432277</v>
      </c>
      <c r="CC306" s="363">
        <v>93.815413291230399</v>
      </c>
      <c r="CD306" s="435">
        <v>94.119262966603827</v>
      </c>
      <c r="CE306" s="435">
        <v>94.423112641977255</v>
      </c>
      <c r="CF306" s="435">
        <v>94.726962317350683</v>
      </c>
      <c r="CG306" s="435">
        <v>95.030811992724111</v>
      </c>
      <c r="CH306" s="363">
        <v>95.334661668097539</v>
      </c>
      <c r="CI306" s="362">
        <v>75.478900209605897</v>
      </c>
      <c r="CJ306" s="362">
        <v>76.987356443941152</v>
      </c>
      <c r="CK306" s="362">
        <v>78.525959384237751</v>
      </c>
      <c r="CL306" s="363">
        <v>78.009685654172671</v>
      </c>
      <c r="CM306" s="363">
        <v>77.496806197370148</v>
      </c>
      <c r="CN306" s="363">
        <v>77.249333811082366</v>
      </c>
      <c r="CO306" s="363">
        <v>77.002651684225654</v>
      </c>
      <c r="CP306" s="363">
        <v>76.75675729324584</v>
      </c>
      <c r="CQ306" s="363">
        <v>76.511648122647316</v>
      </c>
      <c r="CR306" s="363">
        <v>76.267321664967241</v>
      </c>
      <c r="CS306" s="363">
        <v>76.831468589915275</v>
      </c>
      <c r="CT306" s="363">
        <v>77.399788491519359</v>
      </c>
      <c r="CU306" s="363">
        <v>77.972312237153588</v>
      </c>
      <c r="CV306" s="363">
        <v>78.549070922517046</v>
      </c>
      <c r="CW306" s="363">
        <v>79.130095873322631</v>
      </c>
      <c r="CX306" s="435">
        <v>79.449054799939617</v>
      </c>
      <c r="CY306" s="435">
        <v>79.768013726556603</v>
      </c>
      <c r="CZ306" s="435">
        <v>80.086972653173575</v>
      </c>
      <c r="DA306" s="435">
        <v>80.405931579790561</v>
      </c>
      <c r="DB306" s="363">
        <v>80.724890506407547</v>
      </c>
      <c r="DC306" s="435">
        <v>80.98634255265911</v>
      </c>
      <c r="DD306" s="435">
        <v>81.247794598910659</v>
      </c>
      <c r="DE306" s="435">
        <v>81.509246645162222</v>
      </c>
      <c r="DF306" s="435">
        <v>81.77069869141377</v>
      </c>
      <c r="DG306" s="363">
        <v>82.032150737665333</v>
      </c>
      <c r="DH306" s="362">
        <v>9.1798662417088259</v>
      </c>
      <c r="DI306" s="362">
        <v>9.3633271350739236</v>
      </c>
      <c r="DJ306" s="362">
        <v>9.5504545197045907</v>
      </c>
      <c r="DK306" s="363">
        <v>9.4876644714534315</v>
      </c>
      <c r="DL306" s="363">
        <v>9.4252872402206922</v>
      </c>
      <c r="DM306" s="363">
        <v>9.3951892472937999</v>
      </c>
      <c r="DN306" s="363">
        <v>9.3651873670004164</v>
      </c>
      <c r="DO306" s="363">
        <v>9.3352812924217918</v>
      </c>
      <c r="DP306" s="363">
        <v>9.3054707176192686</v>
      </c>
      <c r="DQ306" s="363">
        <v>9.2757553376311499</v>
      </c>
      <c r="DR306" s="363">
        <v>9.3443678014761815</v>
      </c>
      <c r="DS306" s="363">
        <v>9.4134877895091105</v>
      </c>
      <c r="DT306" s="363">
        <v>9.4831190558700307</v>
      </c>
      <c r="DU306" s="363">
        <v>9.5532653824682896</v>
      </c>
      <c r="DV306" s="363">
        <v>9.6239305791878866</v>
      </c>
      <c r="DW306" s="435">
        <v>9.6627228810737353</v>
      </c>
      <c r="DX306" s="435">
        <v>9.7015151829595858</v>
      </c>
      <c r="DY306" s="435">
        <v>9.7403074848454345</v>
      </c>
      <c r="DZ306" s="435">
        <v>9.779099786731285</v>
      </c>
      <c r="EA306" s="363">
        <v>9.8178920886171337</v>
      </c>
      <c r="EB306" s="435">
        <v>9.8496903104585396</v>
      </c>
      <c r="EC306" s="435">
        <v>9.8814885322999455</v>
      </c>
      <c r="ED306" s="435">
        <v>9.9132867541413496</v>
      </c>
      <c r="EE306" s="435">
        <v>9.9450849759827555</v>
      </c>
      <c r="EF306" s="363">
        <v>9.9768831978241614</v>
      </c>
      <c r="EG306" s="364">
        <v>0</v>
      </c>
      <c r="EH306" s="364">
        <v>0</v>
      </c>
      <c r="EI306" s="364">
        <v>0</v>
      </c>
      <c r="EJ306" s="365">
        <v>0</v>
      </c>
      <c r="EK306" s="365">
        <v>0</v>
      </c>
      <c r="EL306" s="365">
        <v>0</v>
      </c>
      <c r="EM306" s="365">
        <v>0</v>
      </c>
      <c r="EN306" s="365">
        <v>0</v>
      </c>
      <c r="EO306" s="365">
        <v>0</v>
      </c>
      <c r="EP306" s="365">
        <v>0</v>
      </c>
      <c r="EQ306" s="365">
        <v>0</v>
      </c>
      <c r="ER306" s="365">
        <v>0</v>
      </c>
      <c r="ES306" s="365">
        <v>0</v>
      </c>
      <c r="ET306" s="365">
        <v>0</v>
      </c>
      <c r="EU306" s="365">
        <v>0</v>
      </c>
      <c r="EV306" s="436">
        <v>0</v>
      </c>
      <c r="EW306" s="436">
        <v>0</v>
      </c>
      <c r="EX306" s="436">
        <v>0</v>
      </c>
      <c r="EY306" s="436">
        <v>0</v>
      </c>
      <c r="EZ306" s="365">
        <v>0</v>
      </c>
      <c r="FA306" s="436">
        <v>0</v>
      </c>
      <c r="FB306" s="436">
        <v>0</v>
      </c>
      <c r="FC306" s="436">
        <v>0</v>
      </c>
      <c r="FD306" s="436">
        <v>0</v>
      </c>
      <c r="FE306" s="365">
        <v>0</v>
      </c>
      <c r="FF306" s="364">
        <v>0</v>
      </c>
      <c r="FG306" s="364">
        <v>0</v>
      </c>
      <c r="FH306" s="364">
        <v>0</v>
      </c>
      <c r="FI306" s="365">
        <v>0</v>
      </c>
      <c r="FJ306" s="365">
        <v>0</v>
      </c>
      <c r="FK306" s="365">
        <v>0</v>
      </c>
      <c r="FL306" s="365">
        <v>0</v>
      </c>
      <c r="FM306" s="365">
        <v>0</v>
      </c>
      <c r="FN306" s="365">
        <v>0</v>
      </c>
      <c r="FO306" s="365">
        <v>0</v>
      </c>
      <c r="FP306" s="365">
        <v>0</v>
      </c>
      <c r="FQ306" s="365">
        <v>0</v>
      </c>
      <c r="FR306" s="365">
        <v>0</v>
      </c>
      <c r="FS306" s="365">
        <v>0</v>
      </c>
      <c r="FT306" s="365">
        <v>0</v>
      </c>
      <c r="FU306" s="436">
        <v>0</v>
      </c>
      <c r="FV306" s="436">
        <v>0</v>
      </c>
      <c r="FW306" s="436">
        <v>0</v>
      </c>
      <c r="FX306" s="436">
        <v>0</v>
      </c>
      <c r="FY306" s="365">
        <v>0</v>
      </c>
      <c r="FZ306" s="436">
        <v>0</v>
      </c>
      <c r="GA306" s="436">
        <v>0</v>
      </c>
      <c r="GB306" s="436">
        <v>0</v>
      </c>
      <c r="GC306" s="436">
        <v>0</v>
      </c>
      <c r="GD306" s="365">
        <v>0</v>
      </c>
    </row>
    <row r="307" spans="1:186" ht="15" x14ac:dyDescent="0.25">
      <c r="A307" s="357">
        <v>113</v>
      </c>
      <c r="B307" s="357">
        <v>98</v>
      </c>
      <c r="C307" s="357" t="s">
        <v>1217</v>
      </c>
      <c r="D307" s="2">
        <v>99712</v>
      </c>
      <c r="E307" s="268" t="s">
        <v>1527</v>
      </c>
      <c r="F307" s="358" t="s">
        <v>985</v>
      </c>
      <c r="G307" s="49">
        <v>351</v>
      </c>
      <c r="H307" s="49">
        <v>157</v>
      </c>
      <c r="I307" s="49">
        <v>145</v>
      </c>
      <c r="J307" s="49">
        <v>12</v>
      </c>
      <c r="K307" s="49">
        <v>0</v>
      </c>
      <c r="L307" s="49">
        <v>146</v>
      </c>
      <c r="M307" s="49">
        <v>146</v>
      </c>
      <c r="N307" s="49">
        <v>5</v>
      </c>
      <c r="O307" s="49">
        <v>0</v>
      </c>
      <c r="P307" s="49">
        <v>0</v>
      </c>
      <c r="Q307" s="49">
        <v>151</v>
      </c>
      <c r="R307" s="49">
        <v>0</v>
      </c>
      <c r="S307" s="49">
        <v>1851.4657534246576</v>
      </c>
      <c r="T307" s="49">
        <v>1851.4657534246576</v>
      </c>
      <c r="U307" s="49">
        <v>2919</v>
      </c>
      <c r="V307" s="49">
        <v>0</v>
      </c>
      <c r="W307" s="49">
        <v>0</v>
      </c>
      <c r="X307" s="49">
        <v>1886.8145695364237</v>
      </c>
      <c r="Y307" s="434">
        <v>270314</v>
      </c>
      <c r="Z307" s="434">
        <v>14595</v>
      </c>
      <c r="AA307" s="49">
        <v>0</v>
      </c>
      <c r="AB307" s="49">
        <v>157</v>
      </c>
      <c r="AC307" s="49">
        <v>0</v>
      </c>
      <c r="AD307" s="285">
        <v>5</v>
      </c>
      <c r="AE307" s="285">
        <v>0</v>
      </c>
      <c r="AF307" s="359">
        <v>162</v>
      </c>
      <c r="AG307" s="360">
        <v>0</v>
      </c>
      <c r="AH307" s="360">
        <v>145</v>
      </c>
      <c r="AI307" s="361">
        <v>145</v>
      </c>
      <c r="AJ307" s="360">
        <v>0</v>
      </c>
      <c r="AK307" s="360">
        <v>0</v>
      </c>
      <c r="AL307" s="360">
        <v>142.73093648788091</v>
      </c>
      <c r="AM307" s="360">
        <v>142.73093648788091</v>
      </c>
      <c r="AN307" s="360">
        <v>0</v>
      </c>
      <c r="AO307" s="360">
        <v>0</v>
      </c>
      <c r="AP307" s="360">
        <v>132.30584600624684</v>
      </c>
      <c r="AQ307" s="360">
        <v>132.30584600624684</v>
      </c>
      <c r="AR307" s="360">
        <v>0</v>
      </c>
      <c r="AS307" s="360">
        <v>4.6492067540691933</v>
      </c>
      <c r="AT307" s="360">
        <v>0</v>
      </c>
      <c r="AU307" s="360">
        <v>129.75872758412416</v>
      </c>
      <c r="AV307" s="360">
        <v>136.09035493214745</v>
      </c>
      <c r="AW307" s="360">
        <v>142.73093648788091</v>
      </c>
      <c r="AX307" s="360">
        <v>149.69554779150013</v>
      </c>
      <c r="AY307" s="360">
        <v>157</v>
      </c>
      <c r="AZ307" s="360">
        <v>120.72301301674968</v>
      </c>
      <c r="BA307" s="360">
        <v>126.38180394979419</v>
      </c>
      <c r="BB307" s="360">
        <v>132.30584600624684</v>
      </c>
      <c r="BC307" s="360">
        <v>138.50757261213479</v>
      </c>
      <c r="BD307" s="360">
        <v>145</v>
      </c>
      <c r="BE307" s="360">
        <v>4.3230246884165213</v>
      </c>
      <c r="BF307" s="360">
        <v>4.483150184791266</v>
      </c>
      <c r="BG307" s="360">
        <v>4.6492067540691933</v>
      </c>
      <c r="BH307" s="360">
        <v>4.8214140840987687</v>
      </c>
      <c r="BI307" s="360">
        <v>5</v>
      </c>
      <c r="BJ307" s="362">
        <v>158.48667968242478</v>
      </c>
      <c r="BK307" s="362">
        <v>159.98743717681219</v>
      </c>
      <c r="BL307" s="362">
        <v>161.50240579014965</v>
      </c>
      <c r="BM307" s="363">
        <v>160.44059833048172</v>
      </c>
      <c r="BN307" s="363">
        <v>159.38577178899817</v>
      </c>
      <c r="BO307" s="363">
        <v>158.87680142982637</v>
      </c>
      <c r="BP307" s="363">
        <v>158.36945637775449</v>
      </c>
      <c r="BQ307" s="363">
        <v>157.86373144265087</v>
      </c>
      <c r="BR307" s="363">
        <v>157.35962145095766</v>
      </c>
      <c r="BS307" s="363">
        <v>156.85712124563781</v>
      </c>
      <c r="BT307" s="363">
        <v>158.01738832562856</v>
      </c>
      <c r="BU307" s="363">
        <v>159.18623786388591</v>
      </c>
      <c r="BV307" s="363">
        <v>160.36373334457755</v>
      </c>
      <c r="BW307" s="363">
        <v>161.54993872146164</v>
      </c>
      <c r="BX307" s="363">
        <v>162.74491842135996</v>
      </c>
      <c r="BY307" s="435">
        <v>163.40091338660233</v>
      </c>
      <c r="BZ307" s="435">
        <v>164.0569083518447</v>
      </c>
      <c r="CA307" s="435">
        <v>164.71290331708704</v>
      </c>
      <c r="CB307" s="435">
        <v>165.36889828232941</v>
      </c>
      <c r="CC307" s="363">
        <v>166.02489324757178</v>
      </c>
      <c r="CD307" s="435">
        <v>166.56261522893303</v>
      </c>
      <c r="CE307" s="435">
        <v>167.10033721029424</v>
      </c>
      <c r="CF307" s="435">
        <v>167.63805919165549</v>
      </c>
      <c r="CG307" s="435">
        <v>168.1757811730167</v>
      </c>
      <c r="CH307" s="363">
        <v>168.71350315437795</v>
      </c>
      <c r="CI307" s="362">
        <v>146.37304811434137</v>
      </c>
      <c r="CJ307" s="362">
        <v>147.75909802953993</v>
      </c>
      <c r="CK307" s="362">
        <v>149.15827286351401</v>
      </c>
      <c r="CL307" s="363">
        <v>148.17762266190985</v>
      </c>
      <c r="CM307" s="363">
        <v>147.20341980512569</v>
      </c>
      <c r="CN307" s="363">
        <v>146.7333516390116</v>
      </c>
      <c r="CO307" s="363">
        <v>146.26478455270319</v>
      </c>
      <c r="CP307" s="363">
        <v>145.79771375276675</v>
      </c>
      <c r="CQ307" s="363">
        <v>145.33213446107555</v>
      </c>
      <c r="CR307" s="363">
        <v>144.86804191476105</v>
      </c>
      <c r="CS307" s="363">
        <v>145.93962616061236</v>
      </c>
      <c r="CT307" s="363">
        <v>147.01913688065895</v>
      </c>
      <c r="CU307" s="363">
        <v>148.10663270677546</v>
      </c>
      <c r="CV307" s="363">
        <v>149.20217270453463</v>
      </c>
      <c r="CW307" s="363">
        <v>150.30581637641524</v>
      </c>
      <c r="CX307" s="435">
        <v>150.91167159909131</v>
      </c>
      <c r="CY307" s="435">
        <v>151.51752682176738</v>
      </c>
      <c r="CZ307" s="435">
        <v>152.12338204444347</v>
      </c>
      <c r="DA307" s="435">
        <v>152.72923726711954</v>
      </c>
      <c r="DB307" s="363">
        <v>153.33509248979561</v>
      </c>
      <c r="DC307" s="435">
        <v>153.83171470188083</v>
      </c>
      <c r="DD307" s="435">
        <v>154.32833691396604</v>
      </c>
      <c r="DE307" s="435">
        <v>154.82495912605123</v>
      </c>
      <c r="DF307" s="435">
        <v>155.32158133813644</v>
      </c>
      <c r="DG307" s="363">
        <v>155.81820355022165</v>
      </c>
      <c r="DH307" s="362">
        <v>5.0473464867014259</v>
      </c>
      <c r="DI307" s="362">
        <v>5.0951413113634461</v>
      </c>
      <c r="DJ307" s="362">
        <v>5.1433887194315178</v>
      </c>
      <c r="DK307" s="363">
        <v>5.109573195238271</v>
      </c>
      <c r="DL307" s="363">
        <v>5.0759799932801961</v>
      </c>
      <c r="DM307" s="363">
        <v>5.0597707461728145</v>
      </c>
      <c r="DN307" s="363">
        <v>5.0436132604380415</v>
      </c>
      <c r="DO307" s="363">
        <v>5.0275073707850604</v>
      </c>
      <c r="DP307" s="363">
        <v>5.0114529124508813</v>
      </c>
      <c r="DQ307" s="363">
        <v>4.995449721198657</v>
      </c>
      <c r="DR307" s="363">
        <v>5.0324009020900817</v>
      </c>
      <c r="DS307" s="363">
        <v>5.0696254096778945</v>
      </c>
      <c r="DT307" s="363">
        <v>5.1071252657508772</v>
      </c>
      <c r="DU307" s="363">
        <v>5.144902507052918</v>
      </c>
      <c r="DV307" s="363">
        <v>5.1829591853936297</v>
      </c>
      <c r="DW307" s="435">
        <v>5.2038507447962523</v>
      </c>
      <c r="DX307" s="435">
        <v>5.2247423041988759</v>
      </c>
      <c r="DY307" s="435">
        <v>5.2456338636014985</v>
      </c>
      <c r="DZ307" s="435">
        <v>5.2665254230041221</v>
      </c>
      <c r="EA307" s="363">
        <v>5.2874169824067447</v>
      </c>
      <c r="EB307" s="435">
        <v>5.3045418862717524</v>
      </c>
      <c r="EC307" s="435">
        <v>5.3216667901367591</v>
      </c>
      <c r="ED307" s="435">
        <v>5.3387916940017668</v>
      </c>
      <c r="EE307" s="435">
        <v>5.3559165978667735</v>
      </c>
      <c r="EF307" s="363">
        <v>5.3730415017317812</v>
      </c>
      <c r="EG307" s="364">
        <v>0</v>
      </c>
      <c r="EH307" s="364">
        <v>0</v>
      </c>
      <c r="EI307" s="364">
        <v>0</v>
      </c>
      <c r="EJ307" s="365">
        <v>0</v>
      </c>
      <c r="EK307" s="365">
        <v>0</v>
      </c>
      <c r="EL307" s="365">
        <v>0</v>
      </c>
      <c r="EM307" s="365">
        <v>0</v>
      </c>
      <c r="EN307" s="365">
        <v>0</v>
      </c>
      <c r="EO307" s="365">
        <v>0</v>
      </c>
      <c r="EP307" s="365">
        <v>0</v>
      </c>
      <c r="EQ307" s="365">
        <v>0</v>
      </c>
      <c r="ER307" s="365">
        <v>0</v>
      </c>
      <c r="ES307" s="365">
        <v>0</v>
      </c>
      <c r="ET307" s="365">
        <v>0</v>
      </c>
      <c r="EU307" s="365">
        <v>0</v>
      </c>
      <c r="EV307" s="436">
        <v>0</v>
      </c>
      <c r="EW307" s="436">
        <v>0</v>
      </c>
      <c r="EX307" s="436">
        <v>0</v>
      </c>
      <c r="EY307" s="436">
        <v>0</v>
      </c>
      <c r="EZ307" s="365">
        <v>0</v>
      </c>
      <c r="FA307" s="436">
        <v>0</v>
      </c>
      <c r="FB307" s="436">
        <v>0</v>
      </c>
      <c r="FC307" s="436">
        <v>0</v>
      </c>
      <c r="FD307" s="436">
        <v>0</v>
      </c>
      <c r="FE307" s="365">
        <v>0</v>
      </c>
      <c r="FF307" s="364">
        <v>0</v>
      </c>
      <c r="FG307" s="364">
        <v>0</v>
      </c>
      <c r="FH307" s="364">
        <v>0</v>
      </c>
      <c r="FI307" s="365">
        <v>0</v>
      </c>
      <c r="FJ307" s="365">
        <v>0</v>
      </c>
      <c r="FK307" s="365">
        <v>0</v>
      </c>
      <c r="FL307" s="365">
        <v>0</v>
      </c>
      <c r="FM307" s="365">
        <v>0</v>
      </c>
      <c r="FN307" s="365">
        <v>0</v>
      </c>
      <c r="FO307" s="365">
        <v>0</v>
      </c>
      <c r="FP307" s="365">
        <v>0</v>
      </c>
      <c r="FQ307" s="365">
        <v>0</v>
      </c>
      <c r="FR307" s="365">
        <v>0</v>
      </c>
      <c r="FS307" s="365">
        <v>0</v>
      </c>
      <c r="FT307" s="365">
        <v>0</v>
      </c>
      <c r="FU307" s="436">
        <v>0</v>
      </c>
      <c r="FV307" s="436">
        <v>0</v>
      </c>
      <c r="FW307" s="436">
        <v>0</v>
      </c>
      <c r="FX307" s="436">
        <v>0</v>
      </c>
      <c r="FY307" s="365">
        <v>0</v>
      </c>
      <c r="FZ307" s="436">
        <v>0</v>
      </c>
      <c r="GA307" s="436">
        <v>0</v>
      </c>
      <c r="GB307" s="436">
        <v>0</v>
      </c>
      <c r="GC307" s="436">
        <v>0</v>
      </c>
      <c r="GD307" s="365">
        <v>0</v>
      </c>
    </row>
    <row r="308" spans="1:186" ht="15" x14ac:dyDescent="0.25">
      <c r="A308" s="357">
        <v>114</v>
      </c>
      <c r="B308" s="357">
        <v>98</v>
      </c>
      <c r="C308" s="357" t="s">
        <v>1218</v>
      </c>
      <c r="D308" s="2">
        <v>99712</v>
      </c>
      <c r="E308" s="268" t="s">
        <v>1527</v>
      </c>
      <c r="F308" s="358" t="s">
        <v>985</v>
      </c>
      <c r="G308" s="49">
        <v>561</v>
      </c>
      <c r="H308" s="49">
        <v>193</v>
      </c>
      <c r="I308" s="49">
        <v>187</v>
      </c>
      <c r="J308" s="49">
        <v>6</v>
      </c>
      <c r="K308" s="49">
        <v>0</v>
      </c>
      <c r="L308" s="49">
        <v>91</v>
      </c>
      <c r="M308" s="49">
        <v>91</v>
      </c>
      <c r="N308" s="49">
        <v>0</v>
      </c>
      <c r="O308" s="49">
        <v>0</v>
      </c>
      <c r="P308" s="49">
        <v>0</v>
      </c>
      <c r="Q308" s="49">
        <v>91</v>
      </c>
      <c r="R308" s="49">
        <v>0</v>
      </c>
      <c r="S308" s="49">
        <v>2840.2527472527472</v>
      </c>
      <c r="T308" s="49">
        <v>2840.2527472527472</v>
      </c>
      <c r="U308" s="49">
        <v>0</v>
      </c>
      <c r="V308" s="49">
        <v>0</v>
      </c>
      <c r="W308" s="49">
        <v>0</v>
      </c>
      <c r="X308" s="49">
        <v>2840.2527472527472</v>
      </c>
      <c r="Y308" s="434">
        <v>258463</v>
      </c>
      <c r="Z308" s="434">
        <v>0</v>
      </c>
      <c r="AA308" s="49">
        <v>0</v>
      </c>
      <c r="AB308" s="49">
        <v>193</v>
      </c>
      <c r="AC308" s="49">
        <v>0</v>
      </c>
      <c r="AD308" s="285">
        <v>0</v>
      </c>
      <c r="AE308" s="285">
        <v>0</v>
      </c>
      <c r="AF308" s="359">
        <v>193</v>
      </c>
      <c r="AG308" s="360">
        <v>0</v>
      </c>
      <c r="AH308" s="360">
        <v>187</v>
      </c>
      <c r="AI308" s="361">
        <v>187</v>
      </c>
      <c r="AJ308" s="360">
        <v>0</v>
      </c>
      <c r="AK308" s="360">
        <v>0</v>
      </c>
      <c r="AL308" s="360">
        <v>175.45904931312748</v>
      </c>
      <c r="AM308" s="360">
        <v>175.45904931312748</v>
      </c>
      <c r="AN308" s="360">
        <v>0</v>
      </c>
      <c r="AO308" s="360">
        <v>0</v>
      </c>
      <c r="AP308" s="360">
        <v>170.62891864253902</v>
      </c>
      <c r="AQ308" s="360">
        <v>170.62891864253902</v>
      </c>
      <c r="AR308" s="360">
        <v>0</v>
      </c>
      <c r="AS308" s="360">
        <v>0</v>
      </c>
      <c r="AT308" s="360">
        <v>0</v>
      </c>
      <c r="AU308" s="360">
        <v>159.51232117029275</v>
      </c>
      <c r="AV308" s="360">
        <v>167.29578663633413</v>
      </c>
      <c r="AW308" s="360">
        <v>175.45904931312748</v>
      </c>
      <c r="AX308" s="360">
        <v>184.02064155260845</v>
      </c>
      <c r="AY308" s="360">
        <v>193</v>
      </c>
      <c r="AZ308" s="360">
        <v>155.69105816642889</v>
      </c>
      <c r="BA308" s="360">
        <v>162.98894716283803</v>
      </c>
      <c r="BB308" s="360">
        <v>170.62891864253902</v>
      </c>
      <c r="BC308" s="360">
        <v>178.62700743771867</v>
      </c>
      <c r="BD308" s="360">
        <v>187</v>
      </c>
      <c r="BE308" s="360">
        <v>0</v>
      </c>
      <c r="BF308" s="360">
        <v>0</v>
      </c>
      <c r="BG308" s="360">
        <v>0</v>
      </c>
      <c r="BH308" s="360">
        <v>0</v>
      </c>
      <c r="BI308" s="360">
        <v>0</v>
      </c>
      <c r="BJ308" s="362">
        <v>194.82757438667505</v>
      </c>
      <c r="BK308" s="362">
        <v>196.67245461862902</v>
      </c>
      <c r="BL308" s="362">
        <v>198.53480457005656</v>
      </c>
      <c r="BM308" s="363">
        <v>197.22952533619724</v>
      </c>
      <c r="BN308" s="363">
        <v>195.93282774061558</v>
      </c>
      <c r="BO308" s="363">
        <v>195.3071508022706</v>
      </c>
      <c r="BP308" s="363">
        <v>194.68347185290838</v>
      </c>
      <c r="BQ308" s="363">
        <v>194.06178451230329</v>
      </c>
      <c r="BR308" s="363">
        <v>193.44208242060398</v>
      </c>
      <c r="BS308" s="363">
        <v>192.82435923826813</v>
      </c>
      <c r="BT308" s="363">
        <v>194.25067482067715</v>
      </c>
      <c r="BU308" s="363">
        <v>195.68754081356673</v>
      </c>
      <c r="BV308" s="363">
        <v>197.13503525798384</v>
      </c>
      <c r="BW308" s="363">
        <v>198.59323677224262</v>
      </c>
      <c r="BX308" s="363">
        <v>200.06222455619405</v>
      </c>
      <c r="BY308" s="435">
        <v>200.8686387491353</v>
      </c>
      <c r="BZ308" s="435">
        <v>201.67505294207658</v>
      </c>
      <c r="CA308" s="435">
        <v>202.48146713501782</v>
      </c>
      <c r="CB308" s="435">
        <v>203.2878813279591</v>
      </c>
      <c r="CC308" s="363">
        <v>204.09429552090035</v>
      </c>
      <c r="CD308" s="435">
        <v>204.75531681008962</v>
      </c>
      <c r="CE308" s="435">
        <v>205.4163380992789</v>
      </c>
      <c r="CF308" s="435">
        <v>206.07735938846818</v>
      </c>
      <c r="CG308" s="435">
        <v>206.73838067765746</v>
      </c>
      <c r="CH308" s="363">
        <v>207.39940196684674</v>
      </c>
      <c r="CI308" s="362">
        <v>188.77075860263335</v>
      </c>
      <c r="CJ308" s="362">
        <v>190.55828504499289</v>
      </c>
      <c r="CK308" s="362">
        <v>192.36273810673876</v>
      </c>
      <c r="CL308" s="363">
        <v>191.09803750191134</v>
      </c>
      <c r="CM308" s="363">
        <v>189.84165174867934</v>
      </c>
      <c r="CN308" s="363">
        <v>189.23542590686324</v>
      </c>
      <c r="CO308" s="363">
        <v>188.63113594038273</v>
      </c>
      <c r="CP308" s="363">
        <v>188.02877566736123</v>
      </c>
      <c r="CQ308" s="363">
        <v>187.42833892566296</v>
      </c>
      <c r="CR308" s="363">
        <v>186.82981957282976</v>
      </c>
      <c r="CS308" s="363">
        <v>188.21179373816906</v>
      </c>
      <c r="CT308" s="363">
        <v>189.60399032195326</v>
      </c>
      <c r="CU308" s="363">
        <v>191.00648493908281</v>
      </c>
      <c r="CV308" s="363">
        <v>192.41935376377913</v>
      </c>
      <c r="CW308" s="363">
        <v>193.84267353372172</v>
      </c>
      <c r="CX308" s="435">
        <v>194.62401785537983</v>
      </c>
      <c r="CY308" s="435">
        <v>195.40536217703794</v>
      </c>
      <c r="CZ308" s="435">
        <v>196.18670649869603</v>
      </c>
      <c r="DA308" s="435">
        <v>196.96805082035414</v>
      </c>
      <c r="DB308" s="363">
        <v>197.74939514201225</v>
      </c>
      <c r="DC308" s="435">
        <v>198.38986654656352</v>
      </c>
      <c r="DD308" s="435">
        <v>199.0303379511148</v>
      </c>
      <c r="DE308" s="435">
        <v>199.67080935566608</v>
      </c>
      <c r="DF308" s="435">
        <v>200.31128076021736</v>
      </c>
      <c r="DG308" s="363">
        <v>200.95175216476864</v>
      </c>
      <c r="DH308" s="362">
        <v>0</v>
      </c>
      <c r="DI308" s="362">
        <v>0</v>
      </c>
      <c r="DJ308" s="362">
        <v>0</v>
      </c>
      <c r="DK308" s="363">
        <v>0</v>
      </c>
      <c r="DL308" s="363">
        <v>0</v>
      </c>
      <c r="DM308" s="363">
        <v>0</v>
      </c>
      <c r="DN308" s="363">
        <v>0</v>
      </c>
      <c r="DO308" s="363">
        <v>0</v>
      </c>
      <c r="DP308" s="363">
        <v>0</v>
      </c>
      <c r="DQ308" s="363">
        <v>0</v>
      </c>
      <c r="DR308" s="363">
        <v>0</v>
      </c>
      <c r="DS308" s="363">
        <v>0</v>
      </c>
      <c r="DT308" s="363">
        <v>0</v>
      </c>
      <c r="DU308" s="363">
        <v>0</v>
      </c>
      <c r="DV308" s="363">
        <v>0</v>
      </c>
      <c r="DW308" s="435">
        <v>0</v>
      </c>
      <c r="DX308" s="435">
        <v>0</v>
      </c>
      <c r="DY308" s="435">
        <v>0</v>
      </c>
      <c r="DZ308" s="435">
        <v>0</v>
      </c>
      <c r="EA308" s="363">
        <v>0</v>
      </c>
      <c r="EB308" s="435">
        <v>0</v>
      </c>
      <c r="EC308" s="435">
        <v>0</v>
      </c>
      <c r="ED308" s="435">
        <v>0</v>
      </c>
      <c r="EE308" s="435">
        <v>0</v>
      </c>
      <c r="EF308" s="363">
        <v>0</v>
      </c>
      <c r="EG308" s="364">
        <v>0</v>
      </c>
      <c r="EH308" s="364">
        <v>0</v>
      </c>
      <c r="EI308" s="364">
        <v>0</v>
      </c>
      <c r="EJ308" s="365">
        <v>0</v>
      </c>
      <c r="EK308" s="365">
        <v>0</v>
      </c>
      <c r="EL308" s="365">
        <v>0</v>
      </c>
      <c r="EM308" s="365">
        <v>0</v>
      </c>
      <c r="EN308" s="365">
        <v>0</v>
      </c>
      <c r="EO308" s="365">
        <v>0</v>
      </c>
      <c r="EP308" s="365">
        <v>0</v>
      </c>
      <c r="EQ308" s="365">
        <v>0</v>
      </c>
      <c r="ER308" s="365">
        <v>0</v>
      </c>
      <c r="ES308" s="365">
        <v>0</v>
      </c>
      <c r="ET308" s="365">
        <v>0</v>
      </c>
      <c r="EU308" s="365">
        <v>0</v>
      </c>
      <c r="EV308" s="436">
        <v>0</v>
      </c>
      <c r="EW308" s="436">
        <v>0</v>
      </c>
      <c r="EX308" s="436">
        <v>0</v>
      </c>
      <c r="EY308" s="436">
        <v>0</v>
      </c>
      <c r="EZ308" s="365">
        <v>0</v>
      </c>
      <c r="FA308" s="436">
        <v>0</v>
      </c>
      <c r="FB308" s="436">
        <v>0</v>
      </c>
      <c r="FC308" s="436">
        <v>0</v>
      </c>
      <c r="FD308" s="436">
        <v>0</v>
      </c>
      <c r="FE308" s="365">
        <v>0</v>
      </c>
      <c r="FF308" s="364">
        <v>0</v>
      </c>
      <c r="FG308" s="364">
        <v>0</v>
      </c>
      <c r="FH308" s="364">
        <v>0</v>
      </c>
      <c r="FI308" s="365">
        <v>0</v>
      </c>
      <c r="FJ308" s="365">
        <v>0</v>
      </c>
      <c r="FK308" s="365">
        <v>0</v>
      </c>
      <c r="FL308" s="365">
        <v>0</v>
      </c>
      <c r="FM308" s="365">
        <v>0</v>
      </c>
      <c r="FN308" s="365">
        <v>0</v>
      </c>
      <c r="FO308" s="365">
        <v>0</v>
      </c>
      <c r="FP308" s="365">
        <v>0</v>
      </c>
      <c r="FQ308" s="365">
        <v>0</v>
      </c>
      <c r="FR308" s="365">
        <v>0</v>
      </c>
      <c r="FS308" s="365">
        <v>0</v>
      </c>
      <c r="FT308" s="365">
        <v>0</v>
      </c>
      <c r="FU308" s="436">
        <v>0</v>
      </c>
      <c r="FV308" s="436">
        <v>0</v>
      </c>
      <c r="FW308" s="436">
        <v>0</v>
      </c>
      <c r="FX308" s="436">
        <v>0</v>
      </c>
      <c r="FY308" s="365">
        <v>0</v>
      </c>
      <c r="FZ308" s="436">
        <v>0</v>
      </c>
      <c r="GA308" s="436">
        <v>0</v>
      </c>
      <c r="GB308" s="436">
        <v>0</v>
      </c>
      <c r="GC308" s="436">
        <v>0</v>
      </c>
      <c r="GD308" s="365">
        <v>0</v>
      </c>
    </row>
    <row r="309" spans="1:186" ht="15" x14ac:dyDescent="0.25">
      <c r="A309" s="357">
        <v>115</v>
      </c>
      <c r="B309" s="357">
        <v>98</v>
      </c>
      <c r="C309" s="357" t="s">
        <v>1219</v>
      </c>
      <c r="D309" s="2">
        <v>99712</v>
      </c>
      <c r="E309" s="268" t="s">
        <v>1527</v>
      </c>
      <c r="F309" s="358" t="s">
        <v>985</v>
      </c>
      <c r="G309" s="49">
        <v>5</v>
      </c>
      <c r="H309" s="49">
        <v>3</v>
      </c>
      <c r="I309" s="49">
        <v>2</v>
      </c>
      <c r="J309" s="49">
        <v>1</v>
      </c>
      <c r="K309" s="49">
        <v>0</v>
      </c>
      <c r="L309" s="49">
        <v>32</v>
      </c>
      <c r="M309" s="49">
        <v>32</v>
      </c>
      <c r="N309" s="49">
        <v>3</v>
      </c>
      <c r="O309" s="49">
        <v>0</v>
      </c>
      <c r="P309" s="49">
        <v>0</v>
      </c>
      <c r="Q309" s="49">
        <v>35</v>
      </c>
      <c r="R309" s="49">
        <v>0</v>
      </c>
      <c r="S309" s="49">
        <v>1974.96875</v>
      </c>
      <c r="T309" s="49">
        <v>1974.96875</v>
      </c>
      <c r="U309" s="49">
        <v>4730.666666666667</v>
      </c>
      <c r="V309" s="49">
        <v>0</v>
      </c>
      <c r="W309" s="49">
        <v>0</v>
      </c>
      <c r="X309" s="49">
        <v>2211.1714285714284</v>
      </c>
      <c r="Y309" s="434">
        <v>63199</v>
      </c>
      <c r="Z309" s="434">
        <v>14192</v>
      </c>
      <c r="AA309" s="49">
        <v>0</v>
      </c>
      <c r="AB309" s="49">
        <v>3</v>
      </c>
      <c r="AC309" s="49">
        <v>0</v>
      </c>
      <c r="AD309" s="285">
        <v>3</v>
      </c>
      <c r="AE309" s="285">
        <v>0</v>
      </c>
      <c r="AF309" s="359">
        <v>6</v>
      </c>
      <c r="AG309" s="360">
        <v>0</v>
      </c>
      <c r="AH309" s="360">
        <v>2</v>
      </c>
      <c r="AI309" s="361">
        <v>2</v>
      </c>
      <c r="AJ309" s="360">
        <v>0</v>
      </c>
      <c r="AK309" s="360">
        <v>0</v>
      </c>
      <c r="AL309" s="360">
        <v>2.7273427354372148</v>
      </c>
      <c r="AM309" s="360">
        <v>2.7273427354372148</v>
      </c>
      <c r="AN309" s="360">
        <v>0</v>
      </c>
      <c r="AO309" s="360">
        <v>0</v>
      </c>
      <c r="AP309" s="360">
        <v>1.8249082207758185</v>
      </c>
      <c r="AQ309" s="360">
        <v>1.8249082207758185</v>
      </c>
      <c r="AR309" s="360">
        <v>0</v>
      </c>
      <c r="AS309" s="360">
        <v>2.7895240524415161</v>
      </c>
      <c r="AT309" s="360">
        <v>0</v>
      </c>
      <c r="AU309" s="360">
        <v>2.4794661321807161</v>
      </c>
      <c r="AV309" s="360">
        <v>2.600452642015556</v>
      </c>
      <c r="AW309" s="360">
        <v>2.7273427354372148</v>
      </c>
      <c r="AX309" s="360">
        <v>2.8604244800923593</v>
      </c>
      <c r="AY309" s="360">
        <v>3</v>
      </c>
      <c r="AZ309" s="360">
        <v>1.6651450071275817</v>
      </c>
      <c r="BA309" s="360">
        <v>1.7431972958592303</v>
      </c>
      <c r="BB309" s="360">
        <v>1.8249082207758185</v>
      </c>
      <c r="BC309" s="360">
        <v>1.9104492774087558</v>
      </c>
      <c r="BD309" s="360">
        <v>2</v>
      </c>
      <c r="BE309" s="360">
        <v>2.5938148130499128</v>
      </c>
      <c r="BF309" s="360">
        <v>2.6898901108747597</v>
      </c>
      <c r="BG309" s="360">
        <v>2.7895240524415161</v>
      </c>
      <c r="BH309" s="360">
        <v>2.8928484504592613</v>
      </c>
      <c r="BI309" s="360">
        <v>3</v>
      </c>
      <c r="BJ309" s="362">
        <v>3.0284078920208559</v>
      </c>
      <c r="BK309" s="362">
        <v>3.0570847868180673</v>
      </c>
      <c r="BL309" s="362">
        <v>3.0860332316589103</v>
      </c>
      <c r="BM309" s="363">
        <v>3.0657439171429623</v>
      </c>
      <c r="BN309" s="363">
        <v>3.0455879959681176</v>
      </c>
      <c r="BO309" s="363">
        <v>3.0358624477036882</v>
      </c>
      <c r="BP309" s="363">
        <v>3.0261679562628245</v>
      </c>
      <c r="BQ309" s="363">
        <v>3.0165044224710358</v>
      </c>
      <c r="BR309" s="363">
        <v>3.0068717474705284</v>
      </c>
      <c r="BS309" s="363">
        <v>2.9972698327191938</v>
      </c>
      <c r="BT309" s="363">
        <v>3.0194405412540486</v>
      </c>
      <c r="BU309" s="363">
        <v>3.0417752458067366</v>
      </c>
      <c r="BV309" s="363">
        <v>3.0642751594505264</v>
      </c>
      <c r="BW309" s="363">
        <v>3.0869415042317505</v>
      </c>
      <c r="BX309" s="363">
        <v>3.1097755112361773</v>
      </c>
      <c r="BY309" s="435">
        <v>3.1223104468777514</v>
      </c>
      <c r="BZ309" s="435">
        <v>3.134845382519325</v>
      </c>
      <c r="CA309" s="435">
        <v>3.147380318160899</v>
      </c>
      <c r="CB309" s="435">
        <v>3.1599152538024726</v>
      </c>
      <c r="CC309" s="363">
        <v>3.1724501894440467</v>
      </c>
      <c r="CD309" s="435">
        <v>3.1827251317630512</v>
      </c>
      <c r="CE309" s="435">
        <v>3.1930000740820557</v>
      </c>
      <c r="CF309" s="435">
        <v>3.2032750164010597</v>
      </c>
      <c r="CG309" s="435">
        <v>3.2135499587200642</v>
      </c>
      <c r="CH309" s="363">
        <v>3.2238249010390687</v>
      </c>
      <c r="CI309" s="362">
        <v>2.0189385946805705</v>
      </c>
      <c r="CJ309" s="362">
        <v>2.0380565245453783</v>
      </c>
      <c r="CK309" s="362">
        <v>2.057355487772607</v>
      </c>
      <c r="CL309" s="363">
        <v>2.0438292780953082</v>
      </c>
      <c r="CM309" s="363">
        <v>2.0303919973120785</v>
      </c>
      <c r="CN309" s="363">
        <v>2.0239082984691255</v>
      </c>
      <c r="CO309" s="363">
        <v>2.0174453041752165</v>
      </c>
      <c r="CP309" s="363">
        <v>2.0110029483140237</v>
      </c>
      <c r="CQ309" s="363">
        <v>2.0045811649803524</v>
      </c>
      <c r="CR309" s="363">
        <v>1.9981798884794626</v>
      </c>
      <c r="CS309" s="363">
        <v>2.0129603608360327</v>
      </c>
      <c r="CT309" s="363">
        <v>2.0278501638711579</v>
      </c>
      <c r="CU309" s="363">
        <v>2.0428501063003508</v>
      </c>
      <c r="CV309" s="363">
        <v>2.0579610028211675</v>
      </c>
      <c r="CW309" s="363">
        <v>2.0731836741574514</v>
      </c>
      <c r="CX309" s="435">
        <v>2.0815402979185009</v>
      </c>
      <c r="CY309" s="435">
        <v>2.08989692167955</v>
      </c>
      <c r="CZ309" s="435">
        <v>2.0982535454405995</v>
      </c>
      <c r="DA309" s="435">
        <v>2.1066101692016486</v>
      </c>
      <c r="DB309" s="363">
        <v>2.1149667929626981</v>
      </c>
      <c r="DC309" s="435">
        <v>2.1218167545087008</v>
      </c>
      <c r="DD309" s="435">
        <v>2.1286667160547039</v>
      </c>
      <c r="DE309" s="435">
        <v>2.1355166776007066</v>
      </c>
      <c r="DF309" s="435">
        <v>2.1423666391467098</v>
      </c>
      <c r="DG309" s="363">
        <v>2.1492166006927125</v>
      </c>
      <c r="DH309" s="362">
        <v>3.0284078920208559</v>
      </c>
      <c r="DI309" s="362">
        <v>3.0570847868180673</v>
      </c>
      <c r="DJ309" s="362">
        <v>3.0860332316589103</v>
      </c>
      <c r="DK309" s="363">
        <v>3.0657439171429623</v>
      </c>
      <c r="DL309" s="363">
        <v>3.0455879959681176</v>
      </c>
      <c r="DM309" s="363">
        <v>3.0358624477036882</v>
      </c>
      <c r="DN309" s="363">
        <v>3.0261679562628245</v>
      </c>
      <c r="DO309" s="363">
        <v>3.0165044224710358</v>
      </c>
      <c r="DP309" s="363">
        <v>3.0068717474705284</v>
      </c>
      <c r="DQ309" s="363">
        <v>2.9972698327191938</v>
      </c>
      <c r="DR309" s="363">
        <v>3.0194405412540486</v>
      </c>
      <c r="DS309" s="363">
        <v>3.0417752458067366</v>
      </c>
      <c r="DT309" s="363">
        <v>3.0642751594505264</v>
      </c>
      <c r="DU309" s="363">
        <v>3.0869415042317505</v>
      </c>
      <c r="DV309" s="363">
        <v>3.1097755112361773</v>
      </c>
      <c r="DW309" s="435">
        <v>3.1223104468777514</v>
      </c>
      <c r="DX309" s="435">
        <v>3.134845382519325</v>
      </c>
      <c r="DY309" s="435">
        <v>3.147380318160899</v>
      </c>
      <c r="DZ309" s="435">
        <v>3.1599152538024726</v>
      </c>
      <c r="EA309" s="363">
        <v>3.1724501894440467</v>
      </c>
      <c r="EB309" s="435">
        <v>3.1827251317630512</v>
      </c>
      <c r="EC309" s="435">
        <v>3.1930000740820557</v>
      </c>
      <c r="ED309" s="435">
        <v>3.2032750164010597</v>
      </c>
      <c r="EE309" s="435">
        <v>3.2135499587200642</v>
      </c>
      <c r="EF309" s="363">
        <v>3.2238249010390687</v>
      </c>
      <c r="EG309" s="364">
        <v>0</v>
      </c>
      <c r="EH309" s="364">
        <v>0</v>
      </c>
      <c r="EI309" s="364">
        <v>0</v>
      </c>
      <c r="EJ309" s="365">
        <v>0</v>
      </c>
      <c r="EK309" s="365">
        <v>0</v>
      </c>
      <c r="EL309" s="365">
        <v>0</v>
      </c>
      <c r="EM309" s="365">
        <v>0</v>
      </c>
      <c r="EN309" s="365">
        <v>0</v>
      </c>
      <c r="EO309" s="365">
        <v>0</v>
      </c>
      <c r="EP309" s="365">
        <v>0</v>
      </c>
      <c r="EQ309" s="365">
        <v>0</v>
      </c>
      <c r="ER309" s="365">
        <v>0</v>
      </c>
      <c r="ES309" s="365">
        <v>0</v>
      </c>
      <c r="ET309" s="365">
        <v>0</v>
      </c>
      <c r="EU309" s="365">
        <v>0</v>
      </c>
      <c r="EV309" s="436">
        <v>0</v>
      </c>
      <c r="EW309" s="436">
        <v>0</v>
      </c>
      <c r="EX309" s="436">
        <v>0</v>
      </c>
      <c r="EY309" s="436">
        <v>0</v>
      </c>
      <c r="EZ309" s="365">
        <v>0</v>
      </c>
      <c r="FA309" s="436">
        <v>0</v>
      </c>
      <c r="FB309" s="436">
        <v>0</v>
      </c>
      <c r="FC309" s="436">
        <v>0</v>
      </c>
      <c r="FD309" s="436">
        <v>0</v>
      </c>
      <c r="FE309" s="365">
        <v>0</v>
      </c>
      <c r="FF309" s="364">
        <v>0</v>
      </c>
      <c r="FG309" s="364">
        <v>0</v>
      </c>
      <c r="FH309" s="364">
        <v>0</v>
      </c>
      <c r="FI309" s="365">
        <v>0</v>
      </c>
      <c r="FJ309" s="365">
        <v>0</v>
      </c>
      <c r="FK309" s="365">
        <v>0</v>
      </c>
      <c r="FL309" s="365">
        <v>0</v>
      </c>
      <c r="FM309" s="365">
        <v>0</v>
      </c>
      <c r="FN309" s="365">
        <v>0</v>
      </c>
      <c r="FO309" s="365">
        <v>0</v>
      </c>
      <c r="FP309" s="365">
        <v>0</v>
      </c>
      <c r="FQ309" s="365">
        <v>0</v>
      </c>
      <c r="FR309" s="365">
        <v>0</v>
      </c>
      <c r="FS309" s="365">
        <v>0</v>
      </c>
      <c r="FT309" s="365">
        <v>0</v>
      </c>
      <c r="FU309" s="436">
        <v>0</v>
      </c>
      <c r="FV309" s="436">
        <v>0</v>
      </c>
      <c r="FW309" s="436">
        <v>0</v>
      </c>
      <c r="FX309" s="436">
        <v>0</v>
      </c>
      <c r="FY309" s="365">
        <v>0</v>
      </c>
      <c r="FZ309" s="436">
        <v>0</v>
      </c>
      <c r="GA309" s="436">
        <v>0</v>
      </c>
      <c r="GB309" s="436">
        <v>0</v>
      </c>
      <c r="GC309" s="436">
        <v>0</v>
      </c>
      <c r="GD309" s="365">
        <v>0</v>
      </c>
    </row>
    <row r="310" spans="1:186" ht="15" x14ac:dyDescent="0.25">
      <c r="A310" s="357">
        <v>117</v>
      </c>
      <c r="B310" s="357">
        <v>98</v>
      </c>
      <c r="C310" s="357" t="s">
        <v>1220</v>
      </c>
      <c r="D310" s="2">
        <v>99712</v>
      </c>
      <c r="E310" s="268" t="s">
        <v>1527</v>
      </c>
      <c r="F310" s="358" t="s">
        <v>985</v>
      </c>
      <c r="G310" s="49">
        <v>134</v>
      </c>
      <c r="H310" s="49">
        <v>65</v>
      </c>
      <c r="I310" s="49">
        <v>59</v>
      </c>
      <c r="J310" s="49">
        <v>6</v>
      </c>
      <c r="K310" s="49">
        <v>1</v>
      </c>
      <c r="L310" s="49">
        <v>70</v>
      </c>
      <c r="M310" s="49">
        <v>71</v>
      </c>
      <c r="N310" s="49">
        <v>1</v>
      </c>
      <c r="O310" s="49">
        <v>0</v>
      </c>
      <c r="P310" s="49">
        <v>0</v>
      </c>
      <c r="Q310" s="49">
        <v>72</v>
      </c>
      <c r="R310" s="49">
        <v>4411</v>
      </c>
      <c r="S310" s="49">
        <v>1989.3571428571429</v>
      </c>
      <c r="T310" s="49">
        <v>2023.4647887323943</v>
      </c>
      <c r="U310" s="49">
        <v>8254</v>
      </c>
      <c r="V310" s="49">
        <v>0</v>
      </c>
      <c r="W310" s="49">
        <v>0</v>
      </c>
      <c r="X310" s="49">
        <v>2110</v>
      </c>
      <c r="Y310" s="434">
        <v>143666</v>
      </c>
      <c r="Z310" s="434">
        <v>8254</v>
      </c>
      <c r="AA310" s="49">
        <v>0.91549295774647887</v>
      </c>
      <c r="AB310" s="49">
        <v>64.08450704225352</v>
      </c>
      <c r="AC310" s="49">
        <v>0</v>
      </c>
      <c r="AD310" s="285">
        <v>1</v>
      </c>
      <c r="AE310" s="285">
        <v>0</v>
      </c>
      <c r="AF310" s="359">
        <v>66</v>
      </c>
      <c r="AG310" s="360">
        <v>0.83098591549295775</v>
      </c>
      <c r="AH310" s="360">
        <v>58.16901408450704</v>
      </c>
      <c r="AI310" s="361">
        <v>59</v>
      </c>
      <c r="AJ310" s="360">
        <v>0</v>
      </c>
      <c r="AK310" s="360">
        <v>0.83228768921792939</v>
      </c>
      <c r="AL310" s="360">
        <v>58.260138245255057</v>
      </c>
      <c r="AM310" s="360">
        <v>59.092425934472985</v>
      </c>
      <c r="AN310" s="360">
        <v>0</v>
      </c>
      <c r="AO310" s="360">
        <v>0.75823651426600913</v>
      </c>
      <c r="AP310" s="360">
        <v>53.076555998620634</v>
      </c>
      <c r="AQ310" s="360">
        <v>53.834792512886644</v>
      </c>
      <c r="AR310" s="360">
        <v>0</v>
      </c>
      <c r="AS310" s="360">
        <v>0.92984135081383867</v>
      </c>
      <c r="AT310" s="360">
        <v>0</v>
      </c>
      <c r="AU310" s="360">
        <v>53.721766197248854</v>
      </c>
      <c r="AV310" s="360">
        <v>56.343140577003716</v>
      </c>
      <c r="AW310" s="360">
        <v>59.092425934472985</v>
      </c>
      <c r="AX310" s="360">
        <v>61.975863735334457</v>
      </c>
      <c r="AY310" s="360">
        <v>65</v>
      </c>
      <c r="AZ310" s="360">
        <v>49.121777710263657</v>
      </c>
      <c r="BA310" s="360">
        <v>51.424320227847289</v>
      </c>
      <c r="BB310" s="360">
        <v>53.834792512886644</v>
      </c>
      <c r="BC310" s="360">
        <v>56.358253683558296</v>
      </c>
      <c r="BD310" s="360">
        <v>59</v>
      </c>
      <c r="BE310" s="360">
        <v>0.86460493768330426</v>
      </c>
      <c r="BF310" s="360">
        <v>0.89663003695825327</v>
      </c>
      <c r="BG310" s="360">
        <v>0.92984135081383867</v>
      </c>
      <c r="BH310" s="360">
        <v>0.96428281681975381</v>
      </c>
      <c r="BI310" s="360">
        <v>1</v>
      </c>
      <c r="BJ310" s="362">
        <v>65.601828434027837</v>
      </c>
      <c r="BK310" s="362">
        <v>66.209229136732688</v>
      </c>
      <c r="BL310" s="362">
        <v>66.822253701187307</v>
      </c>
      <c r="BM310" s="363">
        <v>66.382926701043814</v>
      </c>
      <c r="BN310" s="363">
        <v>65.946488083173648</v>
      </c>
      <c r="BO310" s="363">
        <v>65.735899601221519</v>
      </c>
      <c r="BP310" s="363">
        <v>65.525983596455376</v>
      </c>
      <c r="BQ310" s="363">
        <v>65.316737921437877</v>
      </c>
      <c r="BR310" s="363">
        <v>65.10816043558917</v>
      </c>
      <c r="BS310" s="363">
        <v>64.900249005164966</v>
      </c>
      <c r="BT310" s="363">
        <v>65.380314059310464</v>
      </c>
      <c r="BU310" s="363">
        <v>65.863930139218496</v>
      </c>
      <c r="BV310" s="363">
        <v>66.351123511712373</v>
      </c>
      <c r="BW310" s="363">
        <v>66.84192063791032</v>
      </c>
      <c r="BX310" s="363">
        <v>67.336348174662504</v>
      </c>
      <c r="BY310" s="435">
        <v>67.607768663909482</v>
      </c>
      <c r="BZ310" s="435">
        <v>67.87918915315646</v>
      </c>
      <c r="CA310" s="435">
        <v>68.150609642403452</v>
      </c>
      <c r="CB310" s="435">
        <v>68.42203013165043</v>
      </c>
      <c r="CC310" s="363">
        <v>68.693450620897408</v>
      </c>
      <c r="CD310" s="435">
        <v>68.915935199275225</v>
      </c>
      <c r="CE310" s="435">
        <v>69.138419777653056</v>
      </c>
      <c r="CF310" s="435">
        <v>69.360904356030872</v>
      </c>
      <c r="CG310" s="435">
        <v>69.583388934408703</v>
      </c>
      <c r="CH310" s="363">
        <v>69.805873512786519</v>
      </c>
      <c r="CI310" s="362">
        <v>59.546275040117578</v>
      </c>
      <c r="CJ310" s="362">
        <v>60.097607985649667</v>
      </c>
      <c r="CK310" s="362">
        <v>60.654045667231557</v>
      </c>
      <c r="CL310" s="363">
        <v>60.255271928639765</v>
      </c>
      <c r="CM310" s="363">
        <v>59.859119952419157</v>
      </c>
      <c r="CN310" s="363">
        <v>59.667970407262615</v>
      </c>
      <c r="CO310" s="363">
        <v>59.477431264474887</v>
      </c>
      <c r="CP310" s="363">
        <v>59.287500574843619</v>
      </c>
      <c r="CQ310" s="363">
        <v>59.098176395380939</v>
      </c>
      <c r="CR310" s="363">
        <v>58.909456789303583</v>
      </c>
      <c r="CS310" s="363">
        <v>59.345208146143349</v>
      </c>
      <c r="CT310" s="363">
        <v>59.784182741752169</v>
      </c>
      <c r="CU310" s="363">
        <v>60.22640441832354</v>
      </c>
      <c r="CV310" s="363">
        <v>60.67189719441091</v>
      </c>
      <c r="CW310" s="363">
        <v>61.120685266232123</v>
      </c>
      <c r="CX310" s="435">
        <v>61.367051556471687</v>
      </c>
      <c r="CY310" s="435">
        <v>61.613417846711258</v>
      </c>
      <c r="CZ310" s="435">
        <v>61.859784136950822</v>
      </c>
      <c r="DA310" s="435">
        <v>62.106150427190393</v>
      </c>
      <c r="DB310" s="363">
        <v>62.352516717429957</v>
      </c>
      <c r="DC310" s="435">
        <v>62.554464257803673</v>
      </c>
      <c r="DD310" s="435">
        <v>62.756411798177389</v>
      </c>
      <c r="DE310" s="435">
        <v>62.958359338551098</v>
      </c>
      <c r="DF310" s="435">
        <v>63.160306878924814</v>
      </c>
      <c r="DG310" s="363">
        <v>63.36225441929853</v>
      </c>
      <c r="DH310" s="362">
        <v>1.0092588989850437</v>
      </c>
      <c r="DI310" s="362">
        <v>1.0186035251805028</v>
      </c>
      <c r="DJ310" s="362">
        <v>1.0280346723259586</v>
      </c>
      <c r="DK310" s="363">
        <v>1.0212757954006739</v>
      </c>
      <c r="DL310" s="363">
        <v>1.0145613551257484</v>
      </c>
      <c r="DM310" s="363">
        <v>1.011321532326485</v>
      </c>
      <c r="DN310" s="363">
        <v>1.0080920553300827</v>
      </c>
      <c r="DO310" s="363">
        <v>1.0048728910990443</v>
      </c>
      <c r="DP310" s="363">
        <v>1.0016640067013718</v>
      </c>
      <c r="DQ310" s="363">
        <v>0.99846536931023022</v>
      </c>
      <c r="DR310" s="363">
        <v>1.0058509855278532</v>
      </c>
      <c r="DS310" s="363">
        <v>1.0132912329110537</v>
      </c>
      <c r="DT310" s="363">
        <v>1.0207865155648057</v>
      </c>
      <c r="DU310" s="363">
        <v>1.0283372405832358</v>
      </c>
      <c r="DV310" s="363">
        <v>1.0359438180717309</v>
      </c>
      <c r="DW310" s="435">
        <v>1.0401195179062999</v>
      </c>
      <c r="DX310" s="435">
        <v>1.0442952177408689</v>
      </c>
      <c r="DY310" s="435">
        <v>1.0484709175754376</v>
      </c>
      <c r="DZ310" s="435">
        <v>1.0526466174100066</v>
      </c>
      <c r="EA310" s="363">
        <v>1.0568223172445756</v>
      </c>
      <c r="EB310" s="435">
        <v>1.0602451569119267</v>
      </c>
      <c r="EC310" s="435">
        <v>1.0636679965792777</v>
      </c>
      <c r="ED310" s="435">
        <v>1.0670908362466289</v>
      </c>
      <c r="EE310" s="435">
        <v>1.0705136759139799</v>
      </c>
      <c r="EF310" s="363">
        <v>1.073936515581331</v>
      </c>
      <c r="EG310" s="364">
        <v>0</v>
      </c>
      <c r="EH310" s="364">
        <v>0</v>
      </c>
      <c r="EI310" s="364">
        <v>0</v>
      </c>
      <c r="EJ310" s="365">
        <v>0</v>
      </c>
      <c r="EK310" s="365">
        <v>0</v>
      </c>
      <c r="EL310" s="365">
        <v>0</v>
      </c>
      <c r="EM310" s="365">
        <v>0</v>
      </c>
      <c r="EN310" s="365">
        <v>0</v>
      </c>
      <c r="EO310" s="365">
        <v>0</v>
      </c>
      <c r="EP310" s="365">
        <v>0</v>
      </c>
      <c r="EQ310" s="365">
        <v>0</v>
      </c>
      <c r="ER310" s="365">
        <v>0</v>
      </c>
      <c r="ES310" s="365">
        <v>0</v>
      </c>
      <c r="ET310" s="365">
        <v>0</v>
      </c>
      <c r="EU310" s="365">
        <v>0</v>
      </c>
      <c r="EV310" s="436">
        <v>0</v>
      </c>
      <c r="EW310" s="436">
        <v>0</v>
      </c>
      <c r="EX310" s="436">
        <v>0</v>
      </c>
      <c r="EY310" s="436">
        <v>0</v>
      </c>
      <c r="EZ310" s="365">
        <v>0</v>
      </c>
      <c r="FA310" s="436">
        <v>0</v>
      </c>
      <c r="FB310" s="436">
        <v>0</v>
      </c>
      <c r="FC310" s="436">
        <v>0</v>
      </c>
      <c r="FD310" s="436">
        <v>0</v>
      </c>
      <c r="FE310" s="365">
        <v>0</v>
      </c>
      <c r="FF310" s="364">
        <v>0</v>
      </c>
      <c r="FG310" s="364">
        <v>0</v>
      </c>
      <c r="FH310" s="364">
        <v>0</v>
      </c>
      <c r="FI310" s="365">
        <v>0</v>
      </c>
      <c r="FJ310" s="365">
        <v>0</v>
      </c>
      <c r="FK310" s="365">
        <v>0</v>
      </c>
      <c r="FL310" s="365">
        <v>0</v>
      </c>
      <c r="FM310" s="365">
        <v>0</v>
      </c>
      <c r="FN310" s="365">
        <v>0</v>
      </c>
      <c r="FO310" s="365">
        <v>0</v>
      </c>
      <c r="FP310" s="365">
        <v>0</v>
      </c>
      <c r="FQ310" s="365">
        <v>0</v>
      </c>
      <c r="FR310" s="365">
        <v>0</v>
      </c>
      <c r="FS310" s="365">
        <v>0</v>
      </c>
      <c r="FT310" s="365">
        <v>0</v>
      </c>
      <c r="FU310" s="436">
        <v>0</v>
      </c>
      <c r="FV310" s="436">
        <v>0</v>
      </c>
      <c r="FW310" s="436">
        <v>0</v>
      </c>
      <c r="FX310" s="436">
        <v>0</v>
      </c>
      <c r="FY310" s="365">
        <v>0</v>
      </c>
      <c r="FZ310" s="436">
        <v>0</v>
      </c>
      <c r="GA310" s="436">
        <v>0</v>
      </c>
      <c r="GB310" s="436">
        <v>0</v>
      </c>
      <c r="GC310" s="436">
        <v>0</v>
      </c>
      <c r="GD310" s="365">
        <v>0</v>
      </c>
    </row>
    <row r="311" spans="1:186" ht="15" x14ac:dyDescent="0.25">
      <c r="A311" s="357">
        <v>118</v>
      </c>
      <c r="B311" s="357">
        <v>98</v>
      </c>
      <c r="C311" s="357" t="s">
        <v>1221</v>
      </c>
      <c r="D311" s="2">
        <v>99712</v>
      </c>
      <c r="E311" s="268" t="s">
        <v>1527</v>
      </c>
      <c r="F311" s="358" t="s">
        <v>985</v>
      </c>
      <c r="G311" s="49">
        <v>148</v>
      </c>
      <c r="H311" s="49">
        <v>64</v>
      </c>
      <c r="I311" s="49">
        <v>59</v>
      </c>
      <c r="J311" s="49">
        <v>5</v>
      </c>
      <c r="K311" s="49">
        <v>0</v>
      </c>
      <c r="L311" s="49">
        <v>36</v>
      </c>
      <c r="M311" s="49">
        <v>36</v>
      </c>
      <c r="N311" s="49">
        <v>0</v>
      </c>
      <c r="O311" s="49">
        <v>0</v>
      </c>
      <c r="P311" s="49">
        <v>0</v>
      </c>
      <c r="Q311" s="49">
        <v>36</v>
      </c>
      <c r="R311" s="49">
        <v>0</v>
      </c>
      <c r="S311" s="49">
        <v>2430.3055555555557</v>
      </c>
      <c r="T311" s="49">
        <v>2430.3055555555557</v>
      </c>
      <c r="U311" s="49">
        <v>0</v>
      </c>
      <c r="V311" s="49">
        <v>0</v>
      </c>
      <c r="W311" s="49">
        <v>0</v>
      </c>
      <c r="X311" s="49">
        <v>2430.3055555555557</v>
      </c>
      <c r="Y311" s="434">
        <v>87491</v>
      </c>
      <c r="Z311" s="434">
        <v>0</v>
      </c>
      <c r="AA311" s="49">
        <v>0</v>
      </c>
      <c r="AB311" s="49">
        <v>64</v>
      </c>
      <c r="AC311" s="49">
        <v>0</v>
      </c>
      <c r="AD311" s="285">
        <v>0</v>
      </c>
      <c r="AE311" s="285">
        <v>0</v>
      </c>
      <c r="AF311" s="359">
        <v>64</v>
      </c>
      <c r="AG311" s="360">
        <v>0</v>
      </c>
      <c r="AH311" s="360">
        <v>59</v>
      </c>
      <c r="AI311" s="361">
        <v>59</v>
      </c>
      <c r="AJ311" s="360">
        <v>0</v>
      </c>
      <c r="AK311" s="360">
        <v>0</v>
      </c>
      <c r="AL311" s="360">
        <v>58.183311689327248</v>
      </c>
      <c r="AM311" s="360">
        <v>58.183311689327248</v>
      </c>
      <c r="AN311" s="360">
        <v>0</v>
      </c>
      <c r="AO311" s="360">
        <v>0</v>
      </c>
      <c r="AP311" s="360">
        <v>53.834792512886644</v>
      </c>
      <c r="AQ311" s="360">
        <v>53.834792512886644</v>
      </c>
      <c r="AR311" s="360">
        <v>0</v>
      </c>
      <c r="AS311" s="360">
        <v>0</v>
      </c>
      <c r="AT311" s="360">
        <v>0</v>
      </c>
      <c r="AU311" s="360">
        <v>52.895277486521948</v>
      </c>
      <c r="AV311" s="360">
        <v>55.476323029665203</v>
      </c>
      <c r="AW311" s="360">
        <v>58.183311689327248</v>
      </c>
      <c r="AX311" s="360">
        <v>61.022388908636998</v>
      </c>
      <c r="AY311" s="360">
        <v>64</v>
      </c>
      <c r="AZ311" s="360">
        <v>49.121777710263657</v>
      </c>
      <c r="BA311" s="360">
        <v>51.424320227847289</v>
      </c>
      <c r="BB311" s="360">
        <v>53.834792512886644</v>
      </c>
      <c r="BC311" s="360">
        <v>56.358253683558296</v>
      </c>
      <c r="BD311" s="360">
        <v>59</v>
      </c>
      <c r="BE311" s="360">
        <v>0</v>
      </c>
      <c r="BF311" s="360">
        <v>0</v>
      </c>
      <c r="BG311" s="360">
        <v>0</v>
      </c>
      <c r="BH311" s="360">
        <v>0</v>
      </c>
      <c r="BI311" s="360">
        <v>0</v>
      </c>
      <c r="BJ311" s="362">
        <v>64.592569535042799</v>
      </c>
      <c r="BK311" s="362">
        <v>65.190625611552178</v>
      </c>
      <c r="BL311" s="362">
        <v>65.794219028861349</v>
      </c>
      <c r="BM311" s="363">
        <v>65.361650905643131</v>
      </c>
      <c r="BN311" s="363">
        <v>64.931926728047898</v>
      </c>
      <c r="BO311" s="363">
        <v>64.724578068895042</v>
      </c>
      <c r="BP311" s="363">
        <v>64.517891541125294</v>
      </c>
      <c r="BQ311" s="363">
        <v>64.311865030338836</v>
      </c>
      <c r="BR311" s="363">
        <v>64.106496428887795</v>
      </c>
      <c r="BS311" s="363">
        <v>63.901783635854734</v>
      </c>
      <c r="BT311" s="363">
        <v>64.374463073782607</v>
      </c>
      <c r="BU311" s="363">
        <v>64.850638906307438</v>
      </c>
      <c r="BV311" s="363">
        <v>65.330336996147565</v>
      </c>
      <c r="BW311" s="363">
        <v>65.813583397327093</v>
      </c>
      <c r="BX311" s="363">
        <v>66.300404356590775</v>
      </c>
      <c r="BY311" s="435">
        <v>66.567649146003191</v>
      </c>
      <c r="BZ311" s="435">
        <v>66.834893935415607</v>
      </c>
      <c r="CA311" s="435">
        <v>67.102138724828009</v>
      </c>
      <c r="CB311" s="435">
        <v>67.369383514240425</v>
      </c>
      <c r="CC311" s="363">
        <v>67.636628303652842</v>
      </c>
      <c r="CD311" s="435">
        <v>67.855690042363307</v>
      </c>
      <c r="CE311" s="435">
        <v>68.074751781073772</v>
      </c>
      <c r="CF311" s="435">
        <v>68.293813519784251</v>
      </c>
      <c r="CG311" s="435">
        <v>68.512875258494716</v>
      </c>
      <c r="CH311" s="363">
        <v>68.731936997205182</v>
      </c>
      <c r="CI311" s="362">
        <v>59.546275040117578</v>
      </c>
      <c r="CJ311" s="362">
        <v>60.097607985649667</v>
      </c>
      <c r="CK311" s="362">
        <v>60.654045667231557</v>
      </c>
      <c r="CL311" s="363">
        <v>60.255271928639765</v>
      </c>
      <c r="CM311" s="363">
        <v>59.859119952419157</v>
      </c>
      <c r="CN311" s="363">
        <v>59.667970407262615</v>
      </c>
      <c r="CO311" s="363">
        <v>59.477431264474887</v>
      </c>
      <c r="CP311" s="363">
        <v>59.287500574843619</v>
      </c>
      <c r="CQ311" s="363">
        <v>59.098176395380939</v>
      </c>
      <c r="CR311" s="363">
        <v>58.909456789303583</v>
      </c>
      <c r="CS311" s="363">
        <v>59.345208146143349</v>
      </c>
      <c r="CT311" s="363">
        <v>59.784182741752169</v>
      </c>
      <c r="CU311" s="363">
        <v>60.22640441832354</v>
      </c>
      <c r="CV311" s="363">
        <v>60.67189719441091</v>
      </c>
      <c r="CW311" s="363">
        <v>61.120685266232123</v>
      </c>
      <c r="CX311" s="435">
        <v>61.367051556471687</v>
      </c>
      <c r="CY311" s="435">
        <v>61.613417846711258</v>
      </c>
      <c r="CZ311" s="435">
        <v>61.859784136950822</v>
      </c>
      <c r="DA311" s="435">
        <v>62.106150427190393</v>
      </c>
      <c r="DB311" s="363">
        <v>62.352516717429957</v>
      </c>
      <c r="DC311" s="435">
        <v>62.554464257803673</v>
      </c>
      <c r="DD311" s="435">
        <v>62.756411798177389</v>
      </c>
      <c r="DE311" s="435">
        <v>62.958359338551098</v>
      </c>
      <c r="DF311" s="435">
        <v>63.160306878924814</v>
      </c>
      <c r="DG311" s="363">
        <v>63.36225441929853</v>
      </c>
      <c r="DH311" s="362">
        <v>0</v>
      </c>
      <c r="DI311" s="362">
        <v>0</v>
      </c>
      <c r="DJ311" s="362">
        <v>0</v>
      </c>
      <c r="DK311" s="363">
        <v>0</v>
      </c>
      <c r="DL311" s="363">
        <v>0</v>
      </c>
      <c r="DM311" s="363">
        <v>0</v>
      </c>
      <c r="DN311" s="363">
        <v>0</v>
      </c>
      <c r="DO311" s="363">
        <v>0</v>
      </c>
      <c r="DP311" s="363">
        <v>0</v>
      </c>
      <c r="DQ311" s="363">
        <v>0</v>
      </c>
      <c r="DR311" s="363">
        <v>0</v>
      </c>
      <c r="DS311" s="363">
        <v>0</v>
      </c>
      <c r="DT311" s="363">
        <v>0</v>
      </c>
      <c r="DU311" s="363">
        <v>0</v>
      </c>
      <c r="DV311" s="363">
        <v>0</v>
      </c>
      <c r="DW311" s="435">
        <v>0</v>
      </c>
      <c r="DX311" s="435">
        <v>0</v>
      </c>
      <c r="DY311" s="435">
        <v>0</v>
      </c>
      <c r="DZ311" s="435">
        <v>0</v>
      </c>
      <c r="EA311" s="363">
        <v>0</v>
      </c>
      <c r="EB311" s="435">
        <v>0</v>
      </c>
      <c r="EC311" s="435">
        <v>0</v>
      </c>
      <c r="ED311" s="435">
        <v>0</v>
      </c>
      <c r="EE311" s="435">
        <v>0</v>
      </c>
      <c r="EF311" s="363">
        <v>0</v>
      </c>
      <c r="EG311" s="364">
        <v>0</v>
      </c>
      <c r="EH311" s="364">
        <v>0</v>
      </c>
      <c r="EI311" s="364">
        <v>0</v>
      </c>
      <c r="EJ311" s="365">
        <v>0</v>
      </c>
      <c r="EK311" s="365">
        <v>0</v>
      </c>
      <c r="EL311" s="365">
        <v>0</v>
      </c>
      <c r="EM311" s="365">
        <v>0</v>
      </c>
      <c r="EN311" s="365">
        <v>0</v>
      </c>
      <c r="EO311" s="365">
        <v>0</v>
      </c>
      <c r="EP311" s="365">
        <v>0</v>
      </c>
      <c r="EQ311" s="365">
        <v>0</v>
      </c>
      <c r="ER311" s="365">
        <v>0</v>
      </c>
      <c r="ES311" s="365">
        <v>0</v>
      </c>
      <c r="ET311" s="365">
        <v>0</v>
      </c>
      <c r="EU311" s="365">
        <v>0</v>
      </c>
      <c r="EV311" s="436">
        <v>0</v>
      </c>
      <c r="EW311" s="436">
        <v>0</v>
      </c>
      <c r="EX311" s="436">
        <v>0</v>
      </c>
      <c r="EY311" s="436">
        <v>0</v>
      </c>
      <c r="EZ311" s="365">
        <v>0</v>
      </c>
      <c r="FA311" s="436">
        <v>0</v>
      </c>
      <c r="FB311" s="436">
        <v>0</v>
      </c>
      <c r="FC311" s="436">
        <v>0</v>
      </c>
      <c r="FD311" s="436">
        <v>0</v>
      </c>
      <c r="FE311" s="365">
        <v>0</v>
      </c>
      <c r="FF311" s="364">
        <v>0</v>
      </c>
      <c r="FG311" s="364">
        <v>0</v>
      </c>
      <c r="FH311" s="364">
        <v>0</v>
      </c>
      <c r="FI311" s="365">
        <v>0</v>
      </c>
      <c r="FJ311" s="365">
        <v>0</v>
      </c>
      <c r="FK311" s="365">
        <v>0</v>
      </c>
      <c r="FL311" s="365">
        <v>0</v>
      </c>
      <c r="FM311" s="365">
        <v>0</v>
      </c>
      <c r="FN311" s="365">
        <v>0</v>
      </c>
      <c r="FO311" s="365">
        <v>0</v>
      </c>
      <c r="FP311" s="365">
        <v>0</v>
      </c>
      <c r="FQ311" s="365">
        <v>0</v>
      </c>
      <c r="FR311" s="365">
        <v>0</v>
      </c>
      <c r="FS311" s="365">
        <v>0</v>
      </c>
      <c r="FT311" s="365">
        <v>0</v>
      </c>
      <c r="FU311" s="436">
        <v>0</v>
      </c>
      <c r="FV311" s="436">
        <v>0</v>
      </c>
      <c r="FW311" s="436">
        <v>0</v>
      </c>
      <c r="FX311" s="436">
        <v>0</v>
      </c>
      <c r="FY311" s="365">
        <v>0</v>
      </c>
      <c r="FZ311" s="436">
        <v>0</v>
      </c>
      <c r="GA311" s="436">
        <v>0</v>
      </c>
      <c r="GB311" s="436">
        <v>0</v>
      </c>
      <c r="GC311" s="436">
        <v>0</v>
      </c>
      <c r="GD311" s="365">
        <v>0</v>
      </c>
    </row>
    <row r="312" spans="1:186" ht="15" x14ac:dyDescent="0.25">
      <c r="A312" s="357">
        <v>119</v>
      </c>
      <c r="B312" s="357">
        <v>98</v>
      </c>
      <c r="C312" s="357" t="s">
        <v>1222</v>
      </c>
      <c r="D312" s="2">
        <v>99712</v>
      </c>
      <c r="E312" s="268" t="s">
        <v>19</v>
      </c>
      <c r="F312" s="358" t="s">
        <v>915</v>
      </c>
      <c r="G312" s="49">
        <v>35</v>
      </c>
      <c r="H312" s="49">
        <v>13</v>
      </c>
      <c r="I312" s="49">
        <v>13</v>
      </c>
      <c r="J312" s="49">
        <v>0</v>
      </c>
      <c r="K312" s="49">
        <v>0</v>
      </c>
      <c r="L312" s="49">
        <v>68</v>
      </c>
      <c r="M312" s="49">
        <v>68</v>
      </c>
      <c r="N312" s="49">
        <v>2</v>
      </c>
      <c r="O312" s="49">
        <v>0</v>
      </c>
      <c r="P312" s="49">
        <v>0</v>
      </c>
      <c r="Q312" s="49">
        <v>70</v>
      </c>
      <c r="R312" s="49">
        <v>0</v>
      </c>
      <c r="S312" s="49">
        <v>2283.3529411764707</v>
      </c>
      <c r="T312" s="49">
        <v>2283.3529411764707</v>
      </c>
      <c r="U312" s="49">
        <v>1766</v>
      </c>
      <c r="V312" s="49">
        <v>0</v>
      </c>
      <c r="W312" s="49">
        <v>0</v>
      </c>
      <c r="X312" s="49">
        <v>2268.5714285714284</v>
      </c>
      <c r="Y312" s="434">
        <v>155268</v>
      </c>
      <c r="Z312" s="434">
        <v>3532</v>
      </c>
      <c r="AA312" s="49">
        <v>0</v>
      </c>
      <c r="AB312" s="49">
        <v>13</v>
      </c>
      <c r="AC312" s="49">
        <v>0</v>
      </c>
      <c r="AD312" s="285">
        <v>2</v>
      </c>
      <c r="AE312" s="285">
        <v>0</v>
      </c>
      <c r="AF312" s="359">
        <v>15</v>
      </c>
      <c r="AG312" s="360">
        <v>0</v>
      </c>
      <c r="AH312" s="360">
        <v>13</v>
      </c>
      <c r="AI312" s="361">
        <v>13</v>
      </c>
      <c r="AJ312" s="360">
        <v>0</v>
      </c>
      <c r="AK312" s="360">
        <v>0</v>
      </c>
      <c r="AL312" s="360">
        <v>11.818485186894597</v>
      </c>
      <c r="AM312" s="360">
        <v>11.818485186894597</v>
      </c>
      <c r="AN312" s="360">
        <v>0</v>
      </c>
      <c r="AO312" s="360">
        <v>0</v>
      </c>
      <c r="AP312" s="360">
        <v>11.861903435042819</v>
      </c>
      <c r="AQ312" s="360">
        <v>11.861903435042819</v>
      </c>
      <c r="AR312" s="360">
        <v>0</v>
      </c>
      <c r="AS312" s="360">
        <v>1.8596827016276773</v>
      </c>
      <c r="AT312" s="360">
        <v>0</v>
      </c>
      <c r="AU312" s="360">
        <v>10.74435323944977</v>
      </c>
      <c r="AV312" s="360">
        <v>11.268628115400743</v>
      </c>
      <c r="AW312" s="360">
        <v>11.818485186894597</v>
      </c>
      <c r="AX312" s="360">
        <v>12.395172747066891</v>
      </c>
      <c r="AY312" s="360">
        <v>13</v>
      </c>
      <c r="AZ312" s="360">
        <v>10.82344254632928</v>
      </c>
      <c r="BA312" s="360">
        <v>11.330782423084997</v>
      </c>
      <c r="BB312" s="360">
        <v>11.861903435042819</v>
      </c>
      <c r="BC312" s="360">
        <v>12.417920303156913</v>
      </c>
      <c r="BD312" s="360">
        <v>13</v>
      </c>
      <c r="BE312" s="360">
        <v>1.7292098753666085</v>
      </c>
      <c r="BF312" s="360">
        <v>1.7932600739165065</v>
      </c>
      <c r="BG312" s="360">
        <v>1.8596827016276773</v>
      </c>
      <c r="BH312" s="360">
        <v>1.9285656336395076</v>
      </c>
      <c r="BI312" s="360">
        <v>2</v>
      </c>
      <c r="BJ312" s="362">
        <v>13.120365686805568</v>
      </c>
      <c r="BK312" s="362">
        <v>13.241845827346536</v>
      </c>
      <c r="BL312" s="362">
        <v>13.364450740237462</v>
      </c>
      <c r="BM312" s="363">
        <v>13.276585340208761</v>
      </c>
      <c r="BN312" s="363">
        <v>13.189297616634729</v>
      </c>
      <c r="BO312" s="363">
        <v>13.147179920244305</v>
      </c>
      <c r="BP312" s="363">
        <v>13.105196719291078</v>
      </c>
      <c r="BQ312" s="363">
        <v>13.063347584287577</v>
      </c>
      <c r="BR312" s="363">
        <v>13.021632087117835</v>
      </c>
      <c r="BS312" s="363">
        <v>12.980049801032994</v>
      </c>
      <c r="BT312" s="363">
        <v>13.076062811862094</v>
      </c>
      <c r="BU312" s="363">
        <v>13.172786027843699</v>
      </c>
      <c r="BV312" s="363">
        <v>13.270224702342476</v>
      </c>
      <c r="BW312" s="363">
        <v>13.368384127582067</v>
      </c>
      <c r="BX312" s="363">
        <v>13.467269634932501</v>
      </c>
      <c r="BY312" s="435">
        <v>13.521553732781898</v>
      </c>
      <c r="BZ312" s="435">
        <v>13.575837830631293</v>
      </c>
      <c r="CA312" s="435">
        <v>13.63012192848069</v>
      </c>
      <c r="CB312" s="435">
        <v>13.684406026330086</v>
      </c>
      <c r="CC312" s="363">
        <v>13.738690124179483</v>
      </c>
      <c r="CD312" s="435">
        <v>13.783187039855047</v>
      </c>
      <c r="CE312" s="435">
        <v>13.827683955530611</v>
      </c>
      <c r="CF312" s="435">
        <v>13.872180871206176</v>
      </c>
      <c r="CG312" s="435">
        <v>13.91667778688174</v>
      </c>
      <c r="CH312" s="363">
        <v>13.961174702557305</v>
      </c>
      <c r="CI312" s="362">
        <v>13.120365686805568</v>
      </c>
      <c r="CJ312" s="362">
        <v>13.241845827346536</v>
      </c>
      <c r="CK312" s="362">
        <v>13.364450740237462</v>
      </c>
      <c r="CL312" s="363">
        <v>13.276585340208761</v>
      </c>
      <c r="CM312" s="363">
        <v>13.189297616634729</v>
      </c>
      <c r="CN312" s="363">
        <v>13.147179920244305</v>
      </c>
      <c r="CO312" s="363">
        <v>13.105196719291078</v>
      </c>
      <c r="CP312" s="363">
        <v>13.063347584287577</v>
      </c>
      <c r="CQ312" s="363">
        <v>13.021632087117835</v>
      </c>
      <c r="CR312" s="363">
        <v>12.980049801032994</v>
      </c>
      <c r="CS312" s="363">
        <v>13.076062811862094</v>
      </c>
      <c r="CT312" s="363">
        <v>13.172786027843699</v>
      </c>
      <c r="CU312" s="363">
        <v>13.270224702342476</v>
      </c>
      <c r="CV312" s="363">
        <v>13.368384127582067</v>
      </c>
      <c r="CW312" s="363">
        <v>13.467269634932501</v>
      </c>
      <c r="CX312" s="435">
        <v>13.521553732781898</v>
      </c>
      <c r="CY312" s="435">
        <v>13.575837830631293</v>
      </c>
      <c r="CZ312" s="435">
        <v>13.63012192848069</v>
      </c>
      <c r="DA312" s="435">
        <v>13.684406026330086</v>
      </c>
      <c r="DB312" s="363">
        <v>13.738690124179483</v>
      </c>
      <c r="DC312" s="435">
        <v>13.783187039855047</v>
      </c>
      <c r="DD312" s="435">
        <v>13.827683955530611</v>
      </c>
      <c r="DE312" s="435">
        <v>13.872180871206176</v>
      </c>
      <c r="DF312" s="435">
        <v>13.91667778688174</v>
      </c>
      <c r="DG312" s="363">
        <v>13.961174702557305</v>
      </c>
      <c r="DH312" s="362">
        <v>2.0185177979700875</v>
      </c>
      <c r="DI312" s="362">
        <v>2.0372070503610056</v>
      </c>
      <c r="DJ312" s="362">
        <v>2.0560693446519172</v>
      </c>
      <c r="DK312" s="363">
        <v>2.0425515908013478</v>
      </c>
      <c r="DL312" s="363">
        <v>2.0291227102514968</v>
      </c>
      <c r="DM312" s="363">
        <v>2.0226430646529701</v>
      </c>
      <c r="DN312" s="363">
        <v>2.0161841106601655</v>
      </c>
      <c r="DO312" s="363">
        <v>2.0097457821980886</v>
      </c>
      <c r="DP312" s="363">
        <v>2.0033280134027436</v>
      </c>
      <c r="DQ312" s="363">
        <v>1.9969307386204604</v>
      </c>
      <c r="DR312" s="363">
        <v>2.0117019710557065</v>
      </c>
      <c r="DS312" s="363">
        <v>2.0265824658221074</v>
      </c>
      <c r="DT312" s="363">
        <v>2.0415730311296114</v>
      </c>
      <c r="DU312" s="363">
        <v>2.0566744811664717</v>
      </c>
      <c r="DV312" s="363">
        <v>2.0718876361434617</v>
      </c>
      <c r="DW312" s="435">
        <v>2.0802390358125997</v>
      </c>
      <c r="DX312" s="435">
        <v>2.0885904354817377</v>
      </c>
      <c r="DY312" s="435">
        <v>2.0969418351508753</v>
      </c>
      <c r="DZ312" s="435">
        <v>2.1052932348200133</v>
      </c>
      <c r="EA312" s="363">
        <v>2.1136446344891513</v>
      </c>
      <c r="EB312" s="435">
        <v>2.1204903138238533</v>
      </c>
      <c r="EC312" s="435">
        <v>2.1273359931585554</v>
      </c>
      <c r="ED312" s="435">
        <v>2.1341816724932579</v>
      </c>
      <c r="EE312" s="435">
        <v>2.1410273518279599</v>
      </c>
      <c r="EF312" s="363">
        <v>2.1478730311626619</v>
      </c>
      <c r="EG312" s="364">
        <v>0</v>
      </c>
      <c r="EH312" s="364">
        <v>0</v>
      </c>
      <c r="EI312" s="364">
        <v>0</v>
      </c>
      <c r="EJ312" s="365">
        <v>0</v>
      </c>
      <c r="EK312" s="365">
        <v>0</v>
      </c>
      <c r="EL312" s="365">
        <v>0</v>
      </c>
      <c r="EM312" s="365">
        <v>0</v>
      </c>
      <c r="EN312" s="365">
        <v>0</v>
      </c>
      <c r="EO312" s="365">
        <v>0</v>
      </c>
      <c r="EP312" s="365">
        <v>0</v>
      </c>
      <c r="EQ312" s="365">
        <v>0</v>
      </c>
      <c r="ER312" s="365">
        <v>0</v>
      </c>
      <c r="ES312" s="365">
        <v>0</v>
      </c>
      <c r="ET312" s="365">
        <v>0</v>
      </c>
      <c r="EU312" s="365">
        <v>0</v>
      </c>
      <c r="EV312" s="436">
        <v>0</v>
      </c>
      <c r="EW312" s="436">
        <v>0</v>
      </c>
      <c r="EX312" s="436">
        <v>0</v>
      </c>
      <c r="EY312" s="436">
        <v>0</v>
      </c>
      <c r="EZ312" s="365">
        <v>0</v>
      </c>
      <c r="FA312" s="436">
        <v>0</v>
      </c>
      <c r="FB312" s="436">
        <v>0</v>
      </c>
      <c r="FC312" s="436">
        <v>0</v>
      </c>
      <c r="FD312" s="436">
        <v>0</v>
      </c>
      <c r="FE312" s="365">
        <v>0</v>
      </c>
      <c r="FF312" s="364">
        <v>0</v>
      </c>
      <c r="FG312" s="364">
        <v>0</v>
      </c>
      <c r="FH312" s="364">
        <v>0</v>
      </c>
      <c r="FI312" s="365">
        <v>0</v>
      </c>
      <c r="FJ312" s="365">
        <v>0</v>
      </c>
      <c r="FK312" s="365">
        <v>0</v>
      </c>
      <c r="FL312" s="365">
        <v>0</v>
      </c>
      <c r="FM312" s="365">
        <v>0</v>
      </c>
      <c r="FN312" s="365">
        <v>0</v>
      </c>
      <c r="FO312" s="365">
        <v>0</v>
      </c>
      <c r="FP312" s="365">
        <v>0</v>
      </c>
      <c r="FQ312" s="365">
        <v>0</v>
      </c>
      <c r="FR312" s="365">
        <v>0</v>
      </c>
      <c r="FS312" s="365">
        <v>0</v>
      </c>
      <c r="FT312" s="365">
        <v>0</v>
      </c>
      <c r="FU312" s="436">
        <v>0</v>
      </c>
      <c r="FV312" s="436">
        <v>0</v>
      </c>
      <c r="FW312" s="436">
        <v>0</v>
      </c>
      <c r="FX312" s="436">
        <v>0</v>
      </c>
      <c r="FY312" s="365">
        <v>0</v>
      </c>
      <c r="FZ312" s="436">
        <v>0</v>
      </c>
      <c r="GA312" s="436">
        <v>0</v>
      </c>
      <c r="GB312" s="436">
        <v>0</v>
      </c>
      <c r="GC312" s="436">
        <v>0</v>
      </c>
      <c r="GD312" s="365">
        <v>0</v>
      </c>
    </row>
    <row r="313" spans="1:186" ht="15" x14ac:dyDescent="0.25">
      <c r="A313" s="357">
        <v>120</v>
      </c>
      <c r="B313" s="357">
        <v>98</v>
      </c>
      <c r="C313" s="357" t="s">
        <v>1223</v>
      </c>
      <c r="D313" s="2">
        <v>99712</v>
      </c>
      <c r="E313" s="268" t="s">
        <v>19</v>
      </c>
      <c r="F313" s="358" t="s">
        <v>915</v>
      </c>
      <c r="G313" s="49">
        <v>29</v>
      </c>
      <c r="H313" s="49">
        <v>15</v>
      </c>
      <c r="I313" s="49">
        <v>13</v>
      </c>
      <c r="J313" s="49">
        <v>2</v>
      </c>
      <c r="K313" s="49">
        <v>0</v>
      </c>
      <c r="L313" s="49">
        <v>34</v>
      </c>
      <c r="M313" s="49">
        <v>34</v>
      </c>
      <c r="N313" s="49">
        <v>0</v>
      </c>
      <c r="O313" s="49">
        <v>0</v>
      </c>
      <c r="P313" s="49">
        <v>0</v>
      </c>
      <c r="Q313" s="49">
        <v>34</v>
      </c>
      <c r="R313" s="49">
        <v>0</v>
      </c>
      <c r="S313" s="49">
        <v>1493.8823529411766</v>
      </c>
      <c r="T313" s="49">
        <v>1493.8823529411766</v>
      </c>
      <c r="U313" s="49">
        <v>0</v>
      </c>
      <c r="V313" s="49">
        <v>0</v>
      </c>
      <c r="W313" s="49">
        <v>0</v>
      </c>
      <c r="X313" s="49">
        <v>1493.8823529411766</v>
      </c>
      <c r="Y313" s="434">
        <v>50792</v>
      </c>
      <c r="Z313" s="434">
        <v>0</v>
      </c>
      <c r="AA313" s="49">
        <v>0</v>
      </c>
      <c r="AB313" s="49">
        <v>15</v>
      </c>
      <c r="AC313" s="49">
        <v>0</v>
      </c>
      <c r="AD313" s="285">
        <v>0</v>
      </c>
      <c r="AE313" s="285">
        <v>0</v>
      </c>
      <c r="AF313" s="359">
        <v>15</v>
      </c>
      <c r="AG313" s="360">
        <v>0</v>
      </c>
      <c r="AH313" s="360">
        <v>13</v>
      </c>
      <c r="AI313" s="361">
        <v>13</v>
      </c>
      <c r="AJ313" s="360">
        <v>0</v>
      </c>
      <c r="AK313" s="360">
        <v>0</v>
      </c>
      <c r="AL313" s="360">
        <v>13.636713677186073</v>
      </c>
      <c r="AM313" s="360">
        <v>13.636713677186073</v>
      </c>
      <c r="AN313" s="360">
        <v>0</v>
      </c>
      <c r="AO313" s="360">
        <v>0</v>
      </c>
      <c r="AP313" s="360">
        <v>11.861903435042819</v>
      </c>
      <c r="AQ313" s="360">
        <v>11.861903435042819</v>
      </c>
      <c r="AR313" s="360">
        <v>0</v>
      </c>
      <c r="AS313" s="360">
        <v>0</v>
      </c>
      <c r="AT313" s="360">
        <v>0</v>
      </c>
      <c r="AU313" s="360">
        <v>12.397330660903581</v>
      </c>
      <c r="AV313" s="360">
        <v>13.002263210077782</v>
      </c>
      <c r="AW313" s="360">
        <v>13.636713677186073</v>
      </c>
      <c r="AX313" s="360">
        <v>14.302122400461798</v>
      </c>
      <c r="AY313" s="360">
        <v>15</v>
      </c>
      <c r="AZ313" s="360">
        <v>10.82344254632928</v>
      </c>
      <c r="BA313" s="360">
        <v>11.330782423084997</v>
      </c>
      <c r="BB313" s="360">
        <v>11.861903435042819</v>
      </c>
      <c r="BC313" s="360">
        <v>12.417920303156913</v>
      </c>
      <c r="BD313" s="360">
        <v>13</v>
      </c>
      <c r="BE313" s="360">
        <v>0</v>
      </c>
      <c r="BF313" s="360">
        <v>0</v>
      </c>
      <c r="BG313" s="360">
        <v>0</v>
      </c>
      <c r="BH313" s="360">
        <v>0</v>
      </c>
      <c r="BI313" s="360">
        <v>0</v>
      </c>
      <c r="BJ313" s="362">
        <v>15.138883484775656</v>
      </c>
      <c r="BK313" s="362">
        <v>15.279052877707542</v>
      </c>
      <c r="BL313" s="362">
        <v>15.420520084889379</v>
      </c>
      <c r="BM313" s="363">
        <v>15.31913693101011</v>
      </c>
      <c r="BN313" s="363">
        <v>15.218420326886227</v>
      </c>
      <c r="BO313" s="363">
        <v>15.169822984897275</v>
      </c>
      <c r="BP313" s="363">
        <v>15.121380829951242</v>
      </c>
      <c r="BQ313" s="363">
        <v>15.073093366485665</v>
      </c>
      <c r="BR313" s="363">
        <v>15.024960100520579</v>
      </c>
      <c r="BS313" s="363">
        <v>14.976980539653454</v>
      </c>
      <c r="BT313" s="363">
        <v>15.0877647829178</v>
      </c>
      <c r="BU313" s="363">
        <v>15.199368493665805</v>
      </c>
      <c r="BV313" s="363">
        <v>15.311797733472087</v>
      </c>
      <c r="BW313" s="363">
        <v>15.425058608748538</v>
      </c>
      <c r="BX313" s="363">
        <v>15.539157271075963</v>
      </c>
      <c r="BY313" s="435">
        <v>15.601792768594498</v>
      </c>
      <c r="BZ313" s="435">
        <v>15.664428266113031</v>
      </c>
      <c r="CA313" s="435">
        <v>15.727063763631566</v>
      </c>
      <c r="CB313" s="435">
        <v>15.789699261150099</v>
      </c>
      <c r="CC313" s="363">
        <v>15.852334758668635</v>
      </c>
      <c r="CD313" s="435">
        <v>15.903677353678901</v>
      </c>
      <c r="CE313" s="435">
        <v>15.955019948689166</v>
      </c>
      <c r="CF313" s="435">
        <v>16.006362543699431</v>
      </c>
      <c r="CG313" s="435">
        <v>16.0577051387097</v>
      </c>
      <c r="CH313" s="363">
        <v>16.109047733719965</v>
      </c>
      <c r="CI313" s="362">
        <v>13.120365686805568</v>
      </c>
      <c r="CJ313" s="362">
        <v>13.241845827346536</v>
      </c>
      <c r="CK313" s="362">
        <v>13.364450740237462</v>
      </c>
      <c r="CL313" s="363">
        <v>13.276585340208761</v>
      </c>
      <c r="CM313" s="363">
        <v>13.189297616634729</v>
      </c>
      <c r="CN313" s="363">
        <v>13.147179920244305</v>
      </c>
      <c r="CO313" s="363">
        <v>13.105196719291078</v>
      </c>
      <c r="CP313" s="363">
        <v>13.063347584287577</v>
      </c>
      <c r="CQ313" s="363">
        <v>13.021632087117835</v>
      </c>
      <c r="CR313" s="363">
        <v>12.980049801032994</v>
      </c>
      <c r="CS313" s="363">
        <v>13.076062811862094</v>
      </c>
      <c r="CT313" s="363">
        <v>13.172786027843699</v>
      </c>
      <c r="CU313" s="363">
        <v>13.270224702342476</v>
      </c>
      <c r="CV313" s="363">
        <v>13.368384127582067</v>
      </c>
      <c r="CW313" s="363">
        <v>13.467269634932501</v>
      </c>
      <c r="CX313" s="435">
        <v>13.521553732781898</v>
      </c>
      <c r="CY313" s="435">
        <v>13.575837830631293</v>
      </c>
      <c r="CZ313" s="435">
        <v>13.63012192848069</v>
      </c>
      <c r="DA313" s="435">
        <v>13.684406026330086</v>
      </c>
      <c r="DB313" s="363">
        <v>13.738690124179483</v>
      </c>
      <c r="DC313" s="435">
        <v>13.783187039855047</v>
      </c>
      <c r="DD313" s="435">
        <v>13.827683955530611</v>
      </c>
      <c r="DE313" s="435">
        <v>13.872180871206176</v>
      </c>
      <c r="DF313" s="435">
        <v>13.91667778688174</v>
      </c>
      <c r="DG313" s="363">
        <v>13.961174702557305</v>
      </c>
      <c r="DH313" s="362">
        <v>0</v>
      </c>
      <c r="DI313" s="362">
        <v>0</v>
      </c>
      <c r="DJ313" s="362">
        <v>0</v>
      </c>
      <c r="DK313" s="363">
        <v>0</v>
      </c>
      <c r="DL313" s="363">
        <v>0</v>
      </c>
      <c r="DM313" s="363">
        <v>0</v>
      </c>
      <c r="DN313" s="363">
        <v>0</v>
      </c>
      <c r="DO313" s="363">
        <v>0</v>
      </c>
      <c r="DP313" s="363">
        <v>0</v>
      </c>
      <c r="DQ313" s="363">
        <v>0</v>
      </c>
      <c r="DR313" s="363">
        <v>0</v>
      </c>
      <c r="DS313" s="363">
        <v>0</v>
      </c>
      <c r="DT313" s="363">
        <v>0</v>
      </c>
      <c r="DU313" s="363">
        <v>0</v>
      </c>
      <c r="DV313" s="363">
        <v>0</v>
      </c>
      <c r="DW313" s="435">
        <v>0</v>
      </c>
      <c r="DX313" s="435">
        <v>0</v>
      </c>
      <c r="DY313" s="435">
        <v>0</v>
      </c>
      <c r="DZ313" s="435">
        <v>0</v>
      </c>
      <c r="EA313" s="363">
        <v>0</v>
      </c>
      <c r="EB313" s="435">
        <v>0</v>
      </c>
      <c r="EC313" s="435">
        <v>0</v>
      </c>
      <c r="ED313" s="435">
        <v>0</v>
      </c>
      <c r="EE313" s="435">
        <v>0</v>
      </c>
      <c r="EF313" s="363">
        <v>0</v>
      </c>
      <c r="EG313" s="364">
        <v>0</v>
      </c>
      <c r="EH313" s="364">
        <v>0</v>
      </c>
      <c r="EI313" s="364">
        <v>0</v>
      </c>
      <c r="EJ313" s="365">
        <v>0</v>
      </c>
      <c r="EK313" s="365">
        <v>0</v>
      </c>
      <c r="EL313" s="365">
        <v>0</v>
      </c>
      <c r="EM313" s="365">
        <v>0</v>
      </c>
      <c r="EN313" s="365">
        <v>0</v>
      </c>
      <c r="EO313" s="365">
        <v>0</v>
      </c>
      <c r="EP313" s="365">
        <v>0</v>
      </c>
      <c r="EQ313" s="365">
        <v>0</v>
      </c>
      <c r="ER313" s="365">
        <v>0</v>
      </c>
      <c r="ES313" s="365">
        <v>0</v>
      </c>
      <c r="ET313" s="365">
        <v>0</v>
      </c>
      <c r="EU313" s="365">
        <v>0</v>
      </c>
      <c r="EV313" s="436">
        <v>0</v>
      </c>
      <c r="EW313" s="436">
        <v>0</v>
      </c>
      <c r="EX313" s="436">
        <v>0</v>
      </c>
      <c r="EY313" s="436">
        <v>0</v>
      </c>
      <c r="EZ313" s="365">
        <v>0</v>
      </c>
      <c r="FA313" s="436">
        <v>0</v>
      </c>
      <c r="FB313" s="436">
        <v>0</v>
      </c>
      <c r="FC313" s="436">
        <v>0</v>
      </c>
      <c r="FD313" s="436">
        <v>0</v>
      </c>
      <c r="FE313" s="365">
        <v>0</v>
      </c>
      <c r="FF313" s="364">
        <v>0</v>
      </c>
      <c r="FG313" s="364">
        <v>0</v>
      </c>
      <c r="FH313" s="364">
        <v>0</v>
      </c>
      <c r="FI313" s="365">
        <v>0</v>
      </c>
      <c r="FJ313" s="365">
        <v>0</v>
      </c>
      <c r="FK313" s="365">
        <v>0</v>
      </c>
      <c r="FL313" s="365">
        <v>0</v>
      </c>
      <c r="FM313" s="365">
        <v>0</v>
      </c>
      <c r="FN313" s="365">
        <v>0</v>
      </c>
      <c r="FO313" s="365">
        <v>0</v>
      </c>
      <c r="FP313" s="365">
        <v>0</v>
      </c>
      <c r="FQ313" s="365">
        <v>0</v>
      </c>
      <c r="FR313" s="365">
        <v>0</v>
      </c>
      <c r="FS313" s="365">
        <v>0</v>
      </c>
      <c r="FT313" s="365">
        <v>0</v>
      </c>
      <c r="FU313" s="436">
        <v>0</v>
      </c>
      <c r="FV313" s="436">
        <v>0</v>
      </c>
      <c r="FW313" s="436">
        <v>0</v>
      </c>
      <c r="FX313" s="436">
        <v>0</v>
      </c>
      <c r="FY313" s="365">
        <v>0</v>
      </c>
      <c r="FZ313" s="436">
        <v>0</v>
      </c>
      <c r="GA313" s="436">
        <v>0</v>
      </c>
      <c r="GB313" s="436">
        <v>0</v>
      </c>
      <c r="GC313" s="436">
        <v>0</v>
      </c>
      <c r="GD313" s="365">
        <v>0</v>
      </c>
    </row>
    <row r="314" spans="1:186" ht="15" x14ac:dyDescent="0.25">
      <c r="A314" s="357">
        <v>122</v>
      </c>
      <c r="B314" s="357">
        <v>98</v>
      </c>
      <c r="C314" s="357" t="s">
        <v>1224</v>
      </c>
      <c r="D314" s="2">
        <v>99712</v>
      </c>
      <c r="E314" s="268" t="s">
        <v>19</v>
      </c>
      <c r="F314" s="358" t="s">
        <v>915</v>
      </c>
      <c r="G314" s="49">
        <v>4</v>
      </c>
      <c r="H314" s="49">
        <v>4</v>
      </c>
      <c r="I314" s="49">
        <v>3</v>
      </c>
      <c r="J314" s="49">
        <v>1</v>
      </c>
      <c r="K314" s="49">
        <v>0</v>
      </c>
      <c r="L314" s="49">
        <v>28</v>
      </c>
      <c r="M314" s="49">
        <v>28</v>
      </c>
      <c r="N314" s="49">
        <v>0</v>
      </c>
      <c r="O314" s="49">
        <v>0</v>
      </c>
      <c r="P314" s="49">
        <v>0</v>
      </c>
      <c r="Q314" s="49">
        <v>28</v>
      </c>
      <c r="R314" s="49">
        <v>0</v>
      </c>
      <c r="S314" s="49">
        <v>2195.3571428571427</v>
      </c>
      <c r="T314" s="49">
        <v>2195.3571428571427</v>
      </c>
      <c r="U314" s="49">
        <v>0</v>
      </c>
      <c r="V314" s="49">
        <v>0</v>
      </c>
      <c r="W314" s="49">
        <v>0</v>
      </c>
      <c r="X314" s="49">
        <v>2195.3571428571427</v>
      </c>
      <c r="Y314" s="434">
        <v>61469.999999999993</v>
      </c>
      <c r="Z314" s="434">
        <v>0</v>
      </c>
      <c r="AA314" s="49">
        <v>0</v>
      </c>
      <c r="AB314" s="49">
        <v>4</v>
      </c>
      <c r="AC314" s="49">
        <v>0</v>
      </c>
      <c r="AD314" s="285">
        <v>0</v>
      </c>
      <c r="AE314" s="285">
        <v>0</v>
      </c>
      <c r="AF314" s="359">
        <v>4</v>
      </c>
      <c r="AG314" s="360">
        <v>0</v>
      </c>
      <c r="AH314" s="360">
        <v>3</v>
      </c>
      <c r="AI314" s="361">
        <v>3</v>
      </c>
      <c r="AJ314" s="360">
        <v>0</v>
      </c>
      <c r="AK314" s="360">
        <v>0</v>
      </c>
      <c r="AL314" s="360">
        <v>3.636456980582953</v>
      </c>
      <c r="AM314" s="360">
        <v>3.636456980582953</v>
      </c>
      <c r="AN314" s="360">
        <v>0</v>
      </c>
      <c r="AO314" s="360">
        <v>0</v>
      </c>
      <c r="AP314" s="360">
        <v>2.7373623311637276</v>
      </c>
      <c r="AQ314" s="360">
        <v>2.7373623311637276</v>
      </c>
      <c r="AR314" s="360">
        <v>0</v>
      </c>
      <c r="AS314" s="360">
        <v>0</v>
      </c>
      <c r="AT314" s="360">
        <v>0</v>
      </c>
      <c r="AU314" s="360">
        <v>3.3059548429076218</v>
      </c>
      <c r="AV314" s="360">
        <v>3.4672701893540752</v>
      </c>
      <c r="AW314" s="360">
        <v>3.636456980582953</v>
      </c>
      <c r="AX314" s="360">
        <v>3.8138993067898124</v>
      </c>
      <c r="AY314" s="360">
        <v>4</v>
      </c>
      <c r="AZ314" s="360">
        <v>2.4977175106913725</v>
      </c>
      <c r="BA314" s="360">
        <v>2.6147959437888453</v>
      </c>
      <c r="BB314" s="360">
        <v>2.7373623311637276</v>
      </c>
      <c r="BC314" s="360">
        <v>2.8656739161131335</v>
      </c>
      <c r="BD314" s="360">
        <v>3</v>
      </c>
      <c r="BE314" s="360">
        <v>0</v>
      </c>
      <c r="BF314" s="360">
        <v>0</v>
      </c>
      <c r="BG314" s="360">
        <v>0</v>
      </c>
      <c r="BH314" s="360">
        <v>0</v>
      </c>
      <c r="BI314" s="360">
        <v>0</v>
      </c>
      <c r="BJ314" s="362">
        <v>4.0370355959401749</v>
      </c>
      <c r="BK314" s="362">
        <v>4.0744141007220112</v>
      </c>
      <c r="BL314" s="362">
        <v>4.1121386893038343</v>
      </c>
      <c r="BM314" s="363">
        <v>4.0851031816026957</v>
      </c>
      <c r="BN314" s="363">
        <v>4.0582454205029936</v>
      </c>
      <c r="BO314" s="363">
        <v>4.0452861293059401</v>
      </c>
      <c r="BP314" s="363">
        <v>4.0323682213203309</v>
      </c>
      <c r="BQ314" s="363">
        <v>4.0194915643961773</v>
      </c>
      <c r="BR314" s="363">
        <v>4.0066560268054872</v>
      </c>
      <c r="BS314" s="363">
        <v>3.9938614772409209</v>
      </c>
      <c r="BT314" s="363">
        <v>4.0234039421114129</v>
      </c>
      <c r="BU314" s="363">
        <v>4.0531649316442149</v>
      </c>
      <c r="BV314" s="363">
        <v>4.0831460622592228</v>
      </c>
      <c r="BW314" s="363">
        <v>4.1133489623329433</v>
      </c>
      <c r="BX314" s="363">
        <v>4.1437752722869234</v>
      </c>
      <c r="BY314" s="435">
        <v>4.1604780716251994</v>
      </c>
      <c r="BZ314" s="435">
        <v>4.1771808709634755</v>
      </c>
      <c r="CA314" s="435">
        <v>4.1938836703017506</v>
      </c>
      <c r="CB314" s="435">
        <v>4.2105864696400266</v>
      </c>
      <c r="CC314" s="363">
        <v>4.2272892689783026</v>
      </c>
      <c r="CD314" s="435">
        <v>4.2409806276477067</v>
      </c>
      <c r="CE314" s="435">
        <v>4.2546719863171107</v>
      </c>
      <c r="CF314" s="435">
        <v>4.2683633449865157</v>
      </c>
      <c r="CG314" s="435">
        <v>4.2820547036559198</v>
      </c>
      <c r="CH314" s="363">
        <v>4.2957460623253239</v>
      </c>
      <c r="CI314" s="362">
        <v>3.0277766969551312</v>
      </c>
      <c r="CJ314" s="362">
        <v>3.0558105755415084</v>
      </c>
      <c r="CK314" s="362">
        <v>3.084104016977876</v>
      </c>
      <c r="CL314" s="363">
        <v>3.0638273862020222</v>
      </c>
      <c r="CM314" s="363">
        <v>3.0436840653772452</v>
      </c>
      <c r="CN314" s="363">
        <v>3.0339645969794553</v>
      </c>
      <c r="CO314" s="363">
        <v>3.0242761659902486</v>
      </c>
      <c r="CP314" s="363">
        <v>3.0146186732971332</v>
      </c>
      <c r="CQ314" s="363">
        <v>3.0049920201041158</v>
      </c>
      <c r="CR314" s="363">
        <v>2.9953961079306906</v>
      </c>
      <c r="CS314" s="363">
        <v>3.0175529565835602</v>
      </c>
      <c r="CT314" s="363">
        <v>3.0398736987331612</v>
      </c>
      <c r="CU314" s="363">
        <v>3.0623595466944176</v>
      </c>
      <c r="CV314" s="363">
        <v>3.0850117217497077</v>
      </c>
      <c r="CW314" s="363">
        <v>3.1078314542151926</v>
      </c>
      <c r="CX314" s="435">
        <v>3.1203585537188996</v>
      </c>
      <c r="CY314" s="435">
        <v>3.1328856532226066</v>
      </c>
      <c r="CZ314" s="435">
        <v>3.1454127527263132</v>
      </c>
      <c r="DA314" s="435">
        <v>3.1579398522300202</v>
      </c>
      <c r="DB314" s="363">
        <v>3.1704669517337272</v>
      </c>
      <c r="DC314" s="435">
        <v>3.1807354707357804</v>
      </c>
      <c r="DD314" s="435">
        <v>3.1910039897378337</v>
      </c>
      <c r="DE314" s="435">
        <v>3.201272508739887</v>
      </c>
      <c r="DF314" s="435">
        <v>3.2115410277419403</v>
      </c>
      <c r="DG314" s="363">
        <v>3.2218095467439936</v>
      </c>
      <c r="DH314" s="362">
        <v>0</v>
      </c>
      <c r="DI314" s="362">
        <v>0</v>
      </c>
      <c r="DJ314" s="362">
        <v>0</v>
      </c>
      <c r="DK314" s="363">
        <v>0</v>
      </c>
      <c r="DL314" s="363">
        <v>0</v>
      </c>
      <c r="DM314" s="363">
        <v>0</v>
      </c>
      <c r="DN314" s="363">
        <v>0</v>
      </c>
      <c r="DO314" s="363">
        <v>0</v>
      </c>
      <c r="DP314" s="363">
        <v>0</v>
      </c>
      <c r="DQ314" s="363">
        <v>0</v>
      </c>
      <c r="DR314" s="363">
        <v>0</v>
      </c>
      <c r="DS314" s="363">
        <v>0</v>
      </c>
      <c r="DT314" s="363">
        <v>0</v>
      </c>
      <c r="DU314" s="363">
        <v>0</v>
      </c>
      <c r="DV314" s="363">
        <v>0</v>
      </c>
      <c r="DW314" s="435">
        <v>0</v>
      </c>
      <c r="DX314" s="435">
        <v>0</v>
      </c>
      <c r="DY314" s="435">
        <v>0</v>
      </c>
      <c r="DZ314" s="435">
        <v>0</v>
      </c>
      <c r="EA314" s="363">
        <v>0</v>
      </c>
      <c r="EB314" s="435">
        <v>0</v>
      </c>
      <c r="EC314" s="435">
        <v>0</v>
      </c>
      <c r="ED314" s="435">
        <v>0</v>
      </c>
      <c r="EE314" s="435">
        <v>0</v>
      </c>
      <c r="EF314" s="363">
        <v>0</v>
      </c>
      <c r="EG314" s="364">
        <v>0</v>
      </c>
      <c r="EH314" s="364">
        <v>0</v>
      </c>
      <c r="EI314" s="364">
        <v>0</v>
      </c>
      <c r="EJ314" s="365">
        <v>0</v>
      </c>
      <c r="EK314" s="365">
        <v>0</v>
      </c>
      <c r="EL314" s="365">
        <v>0</v>
      </c>
      <c r="EM314" s="365">
        <v>0</v>
      </c>
      <c r="EN314" s="365">
        <v>0</v>
      </c>
      <c r="EO314" s="365">
        <v>0</v>
      </c>
      <c r="EP314" s="365">
        <v>0</v>
      </c>
      <c r="EQ314" s="365">
        <v>0</v>
      </c>
      <c r="ER314" s="365">
        <v>0</v>
      </c>
      <c r="ES314" s="365">
        <v>0</v>
      </c>
      <c r="ET314" s="365">
        <v>0</v>
      </c>
      <c r="EU314" s="365">
        <v>0</v>
      </c>
      <c r="EV314" s="436">
        <v>0</v>
      </c>
      <c r="EW314" s="436">
        <v>0</v>
      </c>
      <c r="EX314" s="436">
        <v>0</v>
      </c>
      <c r="EY314" s="436">
        <v>0</v>
      </c>
      <c r="EZ314" s="365">
        <v>0</v>
      </c>
      <c r="FA314" s="436">
        <v>0</v>
      </c>
      <c r="FB314" s="436">
        <v>0</v>
      </c>
      <c r="FC314" s="436">
        <v>0</v>
      </c>
      <c r="FD314" s="436">
        <v>0</v>
      </c>
      <c r="FE314" s="365">
        <v>0</v>
      </c>
      <c r="FF314" s="364">
        <v>0</v>
      </c>
      <c r="FG314" s="364">
        <v>0</v>
      </c>
      <c r="FH314" s="364">
        <v>0</v>
      </c>
      <c r="FI314" s="365">
        <v>0</v>
      </c>
      <c r="FJ314" s="365">
        <v>0</v>
      </c>
      <c r="FK314" s="365">
        <v>0</v>
      </c>
      <c r="FL314" s="365">
        <v>0</v>
      </c>
      <c r="FM314" s="365">
        <v>0</v>
      </c>
      <c r="FN314" s="365">
        <v>0</v>
      </c>
      <c r="FO314" s="365">
        <v>0</v>
      </c>
      <c r="FP314" s="365">
        <v>0</v>
      </c>
      <c r="FQ314" s="365">
        <v>0</v>
      </c>
      <c r="FR314" s="365">
        <v>0</v>
      </c>
      <c r="FS314" s="365">
        <v>0</v>
      </c>
      <c r="FT314" s="365">
        <v>0</v>
      </c>
      <c r="FU314" s="436">
        <v>0</v>
      </c>
      <c r="FV314" s="436">
        <v>0</v>
      </c>
      <c r="FW314" s="436">
        <v>0</v>
      </c>
      <c r="FX314" s="436">
        <v>0</v>
      </c>
      <c r="FY314" s="365">
        <v>0</v>
      </c>
      <c r="FZ314" s="436">
        <v>0</v>
      </c>
      <c r="GA314" s="436">
        <v>0</v>
      </c>
      <c r="GB314" s="436">
        <v>0</v>
      </c>
      <c r="GC314" s="436">
        <v>0</v>
      </c>
      <c r="GD314" s="365">
        <v>0</v>
      </c>
    </row>
    <row r="315" spans="1:186" ht="15" x14ac:dyDescent="0.25">
      <c r="A315" s="357">
        <v>124</v>
      </c>
      <c r="B315" s="357">
        <v>98</v>
      </c>
      <c r="C315" s="357" t="s">
        <v>1225</v>
      </c>
      <c r="D315" s="2">
        <v>99712</v>
      </c>
      <c r="E315" s="268" t="s">
        <v>19</v>
      </c>
      <c r="F315" s="358" t="s">
        <v>915</v>
      </c>
      <c r="G315" s="49">
        <v>62</v>
      </c>
      <c r="H315" s="49">
        <v>24</v>
      </c>
      <c r="I315" s="49">
        <v>22</v>
      </c>
      <c r="J315" s="49">
        <v>2</v>
      </c>
      <c r="K315" s="49">
        <v>0</v>
      </c>
      <c r="L315" s="49">
        <v>30</v>
      </c>
      <c r="M315" s="49">
        <v>30</v>
      </c>
      <c r="N315" s="49">
        <v>2</v>
      </c>
      <c r="O315" s="49">
        <v>0</v>
      </c>
      <c r="P315" s="49">
        <v>0</v>
      </c>
      <c r="Q315" s="49">
        <v>32</v>
      </c>
      <c r="R315" s="49">
        <v>0</v>
      </c>
      <c r="S315" s="49">
        <v>2037.8</v>
      </c>
      <c r="T315" s="49">
        <v>2037.8</v>
      </c>
      <c r="U315" s="49">
        <v>3155</v>
      </c>
      <c r="V315" s="49">
        <v>0</v>
      </c>
      <c r="W315" s="49">
        <v>0</v>
      </c>
      <c r="X315" s="49">
        <v>2107.625</v>
      </c>
      <c r="Y315" s="434">
        <v>61134</v>
      </c>
      <c r="Z315" s="434">
        <v>6310</v>
      </c>
      <c r="AA315" s="49">
        <v>0</v>
      </c>
      <c r="AB315" s="49">
        <v>24</v>
      </c>
      <c r="AC315" s="49">
        <v>0</v>
      </c>
      <c r="AD315" s="285">
        <v>2</v>
      </c>
      <c r="AE315" s="285">
        <v>0</v>
      </c>
      <c r="AF315" s="359">
        <v>26</v>
      </c>
      <c r="AG315" s="360">
        <v>0</v>
      </c>
      <c r="AH315" s="360">
        <v>22</v>
      </c>
      <c r="AI315" s="361">
        <v>22</v>
      </c>
      <c r="AJ315" s="360">
        <v>0</v>
      </c>
      <c r="AK315" s="360">
        <v>0</v>
      </c>
      <c r="AL315" s="360">
        <v>21.818741883497719</v>
      </c>
      <c r="AM315" s="360">
        <v>21.818741883497719</v>
      </c>
      <c r="AN315" s="360">
        <v>0</v>
      </c>
      <c r="AO315" s="360">
        <v>0</v>
      </c>
      <c r="AP315" s="360">
        <v>20.073990428534003</v>
      </c>
      <c r="AQ315" s="360">
        <v>20.073990428534003</v>
      </c>
      <c r="AR315" s="360">
        <v>0</v>
      </c>
      <c r="AS315" s="360">
        <v>1.8596827016276773</v>
      </c>
      <c r="AT315" s="360">
        <v>0</v>
      </c>
      <c r="AU315" s="360">
        <v>19.835729057445729</v>
      </c>
      <c r="AV315" s="360">
        <v>20.803621136124448</v>
      </c>
      <c r="AW315" s="360">
        <v>21.818741883497719</v>
      </c>
      <c r="AX315" s="360">
        <v>22.883395840738874</v>
      </c>
      <c r="AY315" s="360">
        <v>24</v>
      </c>
      <c r="AZ315" s="360">
        <v>18.316595078403399</v>
      </c>
      <c r="BA315" s="360">
        <v>19.175170254451533</v>
      </c>
      <c r="BB315" s="360">
        <v>20.073990428534003</v>
      </c>
      <c r="BC315" s="360">
        <v>21.014942051496313</v>
      </c>
      <c r="BD315" s="360">
        <v>22</v>
      </c>
      <c r="BE315" s="360">
        <v>1.7292098753666085</v>
      </c>
      <c r="BF315" s="360">
        <v>1.7932600739165065</v>
      </c>
      <c r="BG315" s="360">
        <v>1.8596827016276773</v>
      </c>
      <c r="BH315" s="360">
        <v>1.9285656336395076</v>
      </c>
      <c r="BI315" s="360">
        <v>2</v>
      </c>
      <c r="BJ315" s="362">
        <v>24.222213575641049</v>
      </c>
      <c r="BK315" s="362">
        <v>24.446484604332067</v>
      </c>
      <c r="BL315" s="362">
        <v>24.672832135823008</v>
      </c>
      <c r="BM315" s="363">
        <v>24.510619089616178</v>
      </c>
      <c r="BN315" s="363">
        <v>24.349472523017962</v>
      </c>
      <c r="BO315" s="363">
        <v>24.271716775835642</v>
      </c>
      <c r="BP315" s="363">
        <v>24.194209327921989</v>
      </c>
      <c r="BQ315" s="363">
        <v>24.116949386377065</v>
      </c>
      <c r="BR315" s="363">
        <v>24.039936160832927</v>
      </c>
      <c r="BS315" s="363">
        <v>23.963168863445524</v>
      </c>
      <c r="BT315" s="363">
        <v>24.140423652668481</v>
      </c>
      <c r="BU315" s="363">
        <v>24.318989589865289</v>
      </c>
      <c r="BV315" s="363">
        <v>24.498876373555341</v>
      </c>
      <c r="BW315" s="363">
        <v>24.680093773997662</v>
      </c>
      <c r="BX315" s="363">
        <v>24.862651633721541</v>
      </c>
      <c r="BY315" s="435">
        <v>24.962868429751197</v>
      </c>
      <c r="BZ315" s="435">
        <v>25.063085225780853</v>
      </c>
      <c r="CA315" s="435">
        <v>25.163302021810505</v>
      </c>
      <c r="CB315" s="435">
        <v>25.263518817840161</v>
      </c>
      <c r="CC315" s="363">
        <v>25.363735613869817</v>
      </c>
      <c r="CD315" s="435">
        <v>25.445883765886244</v>
      </c>
      <c r="CE315" s="435">
        <v>25.52803191790267</v>
      </c>
      <c r="CF315" s="435">
        <v>25.610180069919096</v>
      </c>
      <c r="CG315" s="435">
        <v>25.692328221935522</v>
      </c>
      <c r="CH315" s="363">
        <v>25.774476373951948</v>
      </c>
      <c r="CI315" s="362">
        <v>22.203695777670962</v>
      </c>
      <c r="CJ315" s="362">
        <v>22.409277553971062</v>
      </c>
      <c r="CK315" s="362">
        <v>22.616762791171087</v>
      </c>
      <c r="CL315" s="363">
        <v>22.468067498814825</v>
      </c>
      <c r="CM315" s="363">
        <v>22.320349812766462</v>
      </c>
      <c r="CN315" s="363">
        <v>22.249073711182668</v>
      </c>
      <c r="CO315" s="363">
        <v>22.178025217261819</v>
      </c>
      <c r="CP315" s="363">
        <v>22.107203604178974</v>
      </c>
      <c r="CQ315" s="363">
        <v>22.036608147430179</v>
      </c>
      <c r="CR315" s="363">
        <v>21.966238124825061</v>
      </c>
      <c r="CS315" s="363">
        <v>22.12872168161277</v>
      </c>
      <c r="CT315" s="363">
        <v>22.29240712404318</v>
      </c>
      <c r="CU315" s="363">
        <v>22.457303342425725</v>
      </c>
      <c r="CV315" s="363">
        <v>22.623419292831187</v>
      </c>
      <c r="CW315" s="363">
        <v>22.790763997578075</v>
      </c>
      <c r="CX315" s="435">
        <v>22.882629393938593</v>
      </c>
      <c r="CY315" s="435">
        <v>22.974494790299111</v>
      </c>
      <c r="CZ315" s="435">
        <v>23.066360186659626</v>
      </c>
      <c r="DA315" s="435">
        <v>23.158225583020144</v>
      </c>
      <c r="DB315" s="363">
        <v>23.250090979380662</v>
      </c>
      <c r="DC315" s="435">
        <v>23.325393452062386</v>
      </c>
      <c r="DD315" s="435">
        <v>23.40069592474411</v>
      </c>
      <c r="DE315" s="435">
        <v>23.475998397425833</v>
      </c>
      <c r="DF315" s="435">
        <v>23.551300870107557</v>
      </c>
      <c r="DG315" s="363">
        <v>23.626603342789281</v>
      </c>
      <c r="DH315" s="362">
        <v>2.0185177979700875</v>
      </c>
      <c r="DI315" s="362">
        <v>2.0372070503610056</v>
      </c>
      <c r="DJ315" s="362">
        <v>2.0560693446519172</v>
      </c>
      <c r="DK315" s="363">
        <v>2.0425515908013478</v>
      </c>
      <c r="DL315" s="363">
        <v>2.0291227102514968</v>
      </c>
      <c r="DM315" s="363">
        <v>2.0226430646529701</v>
      </c>
      <c r="DN315" s="363">
        <v>2.0161841106601655</v>
      </c>
      <c r="DO315" s="363">
        <v>2.0097457821980886</v>
      </c>
      <c r="DP315" s="363">
        <v>2.0033280134027436</v>
      </c>
      <c r="DQ315" s="363">
        <v>1.9969307386204604</v>
      </c>
      <c r="DR315" s="363">
        <v>2.0117019710557065</v>
      </c>
      <c r="DS315" s="363">
        <v>2.0265824658221074</v>
      </c>
      <c r="DT315" s="363">
        <v>2.0415730311296114</v>
      </c>
      <c r="DU315" s="363">
        <v>2.0566744811664717</v>
      </c>
      <c r="DV315" s="363">
        <v>2.0718876361434617</v>
      </c>
      <c r="DW315" s="435">
        <v>2.0802390358125997</v>
      </c>
      <c r="DX315" s="435">
        <v>2.0885904354817377</v>
      </c>
      <c r="DY315" s="435">
        <v>2.0969418351508753</v>
      </c>
      <c r="DZ315" s="435">
        <v>2.1052932348200133</v>
      </c>
      <c r="EA315" s="363">
        <v>2.1136446344891513</v>
      </c>
      <c r="EB315" s="435">
        <v>2.1204903138238533</v>
      </c>
      <c r="EC315" s="435">
        <v>2.1273359931585554</v>
      </c>
      <c r="ED315" s="435">
        <v>2.1341816724932579</v>
      </c>
      <c r="EE315" s="435">
        <v>2.1410273518279599</v>
      </c>
      <c r="EF315" s="363">
        <v>2.1478730311626619</v>
      </c>
      <c r="EG315" s="364">
        <v>0</v>
      </c>
      <c r="EH315" s="364">
        <v>0</v>
      </c>
      <c r="EI315" s="364">
        <v>0</v>
      </c>
      <c r="EJ315" s="365">
        <v>0</v>
      </c>
      <c r="EK315" s="365">
        <v>0</v>
      </c>
      <c r="EL315" s="365">
        <v>0</v>
      </c>
      <c r="EM315" s="365">
        <v>0</v>
      </c>
      <c r="EN315" s="365">
        <v>0</v>
      </c>
      <c r="EO315" s="365">
        <v>0</v>
      </c>
      <c r="EP315" s="365">
        <v>0</v>
      </c>
      <c r="EQ315" s="365">
        <v>0</v>
      </c>
      <c r="ER315" s="365">
        <v>0</v>
      </c>
      <c r="ES315" s="365">
        <v>0</v>
      </c>
      <c r="ET315" s="365">
        <v>0</v>
      </c>
      <c r="EU315" s="365">
        <v>0</v>
      </c>
      <c r="EV315" s="436">
        <v>0</v>
      </c>
      <c r="EW315" s="436">
        <v>0</v>
      </c>
      <c r="EX315" s="436">
        <v>0</v>
      </c>
      <c r="EY315" s="436">
        <v>0</v>
      </c>
      <c r="EZ315" s="365">
        <v>0</v>
      </c>
      <c r="FA315" s="436">
        <v>0</v>
      </c>
      <c r="FB315" s="436">
        <v>0</v>
      </c>
      <c r="FC315" s="436">
        <v>0</v>
      </c>
      <c r="FD315" s="436">
        <v>0</v>
      </c>
      <c r="FE315" s="365">
        <v>0</v>
      </c>
      <c r="FF315" s="364">
        <v>0</v>
      </c>
      <c r="FG315" s="364">
        <v>0</v>
      </c>
      <c r="FH315" s="364">
        <v>0</v>
      </c>
      <c r="FI315" s="365">
        <v>0</v>
      </c>
      <c r="FJ315" s="365">
        <v>0</v>
      </c>
      <c r="FK315" s="365">
        <v>0</v>
      </c>
      <c r="FL315" s="365">
        <v>0</v>
      </c>
      <c r="FM315" s="365">
        <v>0</v>
      </c>
      <c r="FN315" s="365">
        <v>0</v>
      </c>
      <c r="FO315" s="365">
        <v>0</v>
      </c>
      <c r="FP315" s="365">
        <v>0</v>
      </c>
      <c r="FQ315" s="365">
        <v>0</v>
      </c>
      <c r="FR315" s="365">
        <v>0</v>
      </c>
      <c r="FS315" s="365">
        <v>0</v>
      </c>
      <c r="FT315" s="365">
        <v>0</v>
      </c>
      <c r="FU315" s="436">
        <v>0</v>
      </c>
      <c r="FV315" s="436">
        <v>0</v>
      </c>
      <c r="FW315" s="436">
        <v>0</v>
      </c>
      <c r="FX315" s="436">
        <v>0</v>
      </c>
      <c r="FY315" s="365">
        <v>0</v>
      </c>
      <c r="FZ315" s="436">
        <v>0</v>
      </c>
      <c r="GA315" s="436">
        <v>0</v>
      </c>
      <c r="GB315" s="436">
        <v>0</v>
      </c>
      <c r="GC315" s="436">
        <v>0</v>
      </c>
      <c r="GD315" s="365">
        <v>0</v>
      </c>
    </row>
    <row r="316" spans="1:186" ht="15" x14ac:dyDescent="0.25">
      <c r="A316" s="357">
        <v>125</v>
      </c>
      <c r="B316" s="357">
        <v>98</v>
      </c>
      <c r="C316" s="357" t="s">
        <v>1226</v>
      </c>
      <c r="D316" s="2">
        <v>99712</v>
      </c>
      <c r="E316" s="268" t="s">
        <v>19</v>
      </c>
      <c r="F316" s="358" t="s">
        <v>915</v>
      </c>
      <c r="G316" s="49">
        <v>35</v>
      </c>
      <c r="H316" s="49">
        <v>13</v>
      </c>
      <c r="I316" s="49">
        <v>12</v>
      </c>
      <c r="J316" s="49">
        <v>1</v>
      </c>
      <c r="K316" s="49">
        <v>0</v>
      </c>
      <c r="L316" s="49">
        <v>35</v>
      </c>
      <c r="M316" s="49">
        <v>35</v>
      </c>
      <c r="N316" s="49">
        <v>1</v>
      </c>
      <c r="O316" s="49">
        <v>0</v>
      </c>
      <c r="P316" s="49">
        <v>0</v>
      </c>
      <c r="Q316" s="49">
        <v>36</v>
      </c>
      <c r="R316" s="49">
        <v>0</v>
      </c>
      <c r="S316" s="49">
        <v>2181.2571428571428</v>
      </c>
      <c r="T316" s="49">
        <v>2181.2571428571428</v>
      </c>
      <c r="U316" s="49">
        <v>6870</v>
      </c>
      <c r="V316" s="49">
        <v>0</v>
      </c>
      <c r="W316" s="49">
        <v>0</v>
      </c>
      <c r="X316" s="49">
        <v>2311.5</v>
      </c>
      <c r="Y316" s="434">
        <v>76344</v>
      </c>
      <c r="Z316" s="434">
        <v>6870</v>
      </c>
      <c r="AA316" s="49">
        <v>0</v>
      </c>
      <c r="AB316" s="49">
        <v>13</v>
      </c>
      <c r="AC316" s="49">
        <v>0</v>
      </c>
      <c r="AD316" s="285">
        <v>1</v>
      </c>
      <c r="AE316" s="285">
        <v>0</v>
      </c>
      <c r="AF316" s="359">
        <v>14</v>
      </c>
      <c r="AG316" s="360">
        <v>0</v>
      </c>
      <c r="AH316" s="360">
        <v>12</v>
      </c>
      <c r="AI316" s="361">
        <v>12</v>
      </c>
      <c r="AJ316" s="360">
        <v>0</v>
      </c>
      <c r="AK316" s="360">
        <v>0</v>
      </c>
      <c r="AL316" s="360">
        <v>11.818485186894597</v>
      </c>
      <c r="AM316" s="360">
        <v>11.818485186894597</v>
      </c>
      <c r="AN316" s="360">
        <v>0</v>
      </c>
      <c r="AO316" s="360">
        <v>0</v>
      </c>
      <c r="AP316" s="360">
        <v>10.94944932465491</v>
      </c>
      <c r="AQ316" s="360">
        <v>10.94944932465491</v>
      </c>
      <c r="AR316" s="360">
        <v>0</v>
      </c>
      <c r="AS316" s="360">
        <v>0.92984135081383867</v>
      </c>
      <c r="AT316" s="360">
        <v>0</v>
      </c>
      <c r="AU316" s="360">
        <v>10.74435323944977</v>
      </c>
      <c r="AV316" s="360">
        <v>11.268628115400743</v>
      </c>
      <c r="AW316" s="360">
        <v>11.818485186894597</v>
      </c>
      <c r="AX316" s="360">
        <v>12.395172747066891</v>
      </c>
      <c r="AY316" s="360">
        <v>13</v>
      </c>
      <c r="AZ316" s="360">
        <v>9.99087004276549</v>
      </c>
      <c r="BA316" s="360">
        <v>10.459183775155381</v>
      </c>
      <c r="BB316" s="360">
        <v>10.94944932465491</v>
      </c>
      <c r="BC316" s="360">
        <v>11.462695664452534</v>
      </c>
      <c r="BD316" s="360">
        <v>12</v>
      </c>
      <c r="BE316" s="360">
        <v>0.86460493768330426</v>
      </c>
      <c r="BF316" s="360">
        <v>0.89663003695825327</v>
      </c>
      <c r="BG316" s="360">
        <v>0.92984135081383867</v>
      </c>
      <c r="BH316" s="360">
        <v>0.96428281681975381</v>
      </c>
      <c r="BI316" s="360">
        <v>1</v>
      </c>
      <c r="BJ316" s="362">
        <v>13.120365686805568</v>
      </c>
      <c r="BK316" s="362">
        <v>13.241845827346536</v>
      </c>
      <c r="BL316" s="362">
        <v>13.364450740237462</v>
      </c>
      <c r="BM316" s="363">
        <v>13.276585340208761</v>
      </c>
      <c r="BN316" s="363">
        <v>13.189297616634729</v>
      </c>
      <c r="BO316" s="363">
        <v>13.147179920244305</v>
      </c>
      <c r="BP316" s="363">
        <v>13.105196719291078</v>
      </c>
      <c r="BQ316" s="363">
        <v>13.063347584287577</v>
      </c>
      <c r="BR316" s="363">
        <v>13.021632087117835</v>
      </c>
      <c r="BS316" s="363">
        <v>12.980049801032994</v>
      </c>
      <c r="BT316" s="363">
        <v>13.076062811862094</v>
      </c>
      <c r="BU316" s="363">
        <v>13.172786027843699</v>
      </c>
      <c r="BV316" s="363">
        <v>13.270224702342476</v>
      </c>
      <c r="BW316" s="363">
        <v>13.368384127582067</v>
      </c>
      <c r="BX316" s="363">
        <v>13.467269634932501</v>
      </c>
      <c r="BY316" s="435">
        <v>13.521553732781898</v>
      </c>
      <c r="BZ316" s="435">
        <v>13.575837830631293</v>
      </c>
      <c r="CA316" s="435">
        <v>13.63012192848069</v>
      </c>
      <c r="CB316" s="435">
        <v>13.684406026330086</v>
      </c>
      <c r="CC316" s="363">
        <v>13.738690124179483</v>
      </c>
      <c r="CD316" s="435">
        <v>13.783187039855047</v>
      </c>
      <c r="CE316" s="435">
        <v>13.827683955530611</v>
      </c>
      <c r="CF316" s="435">
        <v>13.872180871206176</v>
      </c>
      <c r="CG316" s="435">
        <v>13.91667778688174</v>
      </c>
      <c r="CH316" s="363">
        <v>13.961174702557305</v>
      </c>
      <c r="CI316" s="362">
        <v>12.111106787820525</v>
      </c>
      <c r="CJ316" s="362">
        <v>12.223242302166033</v>
      </c>
      <c r="CK316" s="362">
        <v>12.336416067911504</v>
      </c>
      <c r="CL316" s="363">
        <v>12.255309544808089</v>
      </c>
      <c r="CM316" s="363">
        <v>12.174736261508981</v>
      </c>
      <c r="CN316" s="363">
        <v>12.135858387917821</v>
      </c>
      <c r="CO316" s="363">
        <v>12.097104663960994</v>
      </c>
      <c r="CP316" s="363">
        <v>12.058474693188533</v>
      </c>
      <c r="CQ316" s="363">
        <v>12.019968080416463</v>
      </c>
      <c r="CR316" s="363">
        <v>11.981584431722762</v>
      </c>
      <c r="CS316" s="363">
        <v>12.070211826334241</v>
      </c>
      <c r="CT316" s="363">
        <v>12.159494794932645</v>
      </c>
      <c r="CU316" s="363">
        <v>12.24943818677767</v>
      </c>
      <c r="CV316" s="363">
        <v>12.340046886998831</v>
      </c>
      <c r="CW316" s="363">
        <v>12.43132581686077</v>
      </c>
      <c r="CX316" s="435">
        <v>12.481434214875598</v>
      </c>
      <c r="CY316" s="435">
        <v>12.531542612890426</v>
      </c>
      <c r="CZ316" s="435">
        <v>12.581651010905253</v>
      </c>
      <c r="DA316" s="435">
        <v>12.631759408920081</v>
      </c>
      <c r="DB316" s="363">
        <v>12.681867806934909</v>
      </c>
      <c r="DC316" s="435">
        <v>12.722941882943122</v>
      </c>
      <c r="DD316" s="435">
        <v>12.764015958951335</v>
      </c>
      <c r="DE316" s="435">
        <v>12.805090034959548</v>
      </c>
      <c r="DF316" s="435">
        <v>12.846164110967761</v>
      </c>
      <c r="DG316" s="363">
        <v>12.887238186975974</v>
      </c>
      <c r="DH316" s="362">
        <v>1.0092588989850437</v>
      </c>
      <c r="DI316" s="362">
        <v>1.0186035251805028</v>
      </c>
      <c r="DJ316" s="362">
        <v>1.0280346723259586</v>
      </c>
      <c r="DK316" s="363">
        <v>1.0212757954006739</v>
      </c>
      <c r="DL316" s="363">
        <v>1.0145613551257484</v>
      </c>
      <c r="DM316" s="363">
        <v>1.011321532326485</v>
      </c>
      <c r="DN316" s="363">
        <v>1.0080920553300827</v>
      </c>
      <c r="DO316" s="363">
        <v>1.0048728910990443</v>
      </c>
      <c r="DP316" s="363">
        <v>1.0016640067013718</v>
      </c>
      <c r="DQ316" s="363">
        <v>0.99846536931023022</v>
      </c>
      <c r="DR316" s="363">
        <v>1.0058509855278532</v>
      </c>
      <c r="DS316" s="363">
        <v>1.0132912329110537</v>
      </c>
      <c r="DT316" s="363">
        <v>1.0207865155648057</v>
      </c>
      <c r="DU316" s="363">
        <v>1.0283372405832358</v>
      </c>
      <c r="DV316" s="363">
        <v>1.0359438180717309</v>
      </c>
      <c r="DW316" s="435">
        <v>1.0401195179062999</v>
      </c>
      <c r="DX316" s="435">
        <v>1.0442952177408689</v>
      </c>
      <c r="DY316" s="435">
        <v>1.0484709175754376</v>
      </c>
      <c r="DZ316" s="435">
        <v>1.0526466174100066</v>
      </c>
      <c r="EA316" s="363">
        <v>1.0568223172445756</v>
      </c>
      <c r="EB316" s="435">
        <v>1.0602451569119267</v>
      </c>
      <c r="EC316" s="435">
        <v>1.0636679965792777</v>
      </c>
      <c r="ED316" s="435">
        <v>1.0670908362466289</v>
      </c>
      <c r="EE316" s="435">
        <v>1.0705136759139799</v>
      </c>
      <c r="EF316" s="363">
        <v>1.073936515581331</v>
      </c>
      <c r="EG316" s="364">
        <v>0</v>
      </c>
      <c r="EH316" s="364">
        <v>0</v>
      </c>
      <c r="EI316" s="364">
        <v>0</v>
      </c>
      <c r="EJ316" s="365">
        <v>0</v>
      </c>
      <c r="EK316" s="365">
        <v>0</v>
      </c>
      <c r="EL316" s="365">
        <v>0</v>
      </c>
      <c r="EM316" s="365">
        <v>0</v>
      </c>
      <c r="EN316" s="365">
        <v>0</v>
      </c>
      <c r="EO316" s="365">
        <v>0</v>
      </c>
      <c r="EP316" s="365">
        <v>0</v>
      </c>
      <c r="EQ316" s="365">
        <v>0</v>
      </c>
      <c r="ER316" s="365">
        <v>0</v>
      </c>
      <c r="ES316" s="365">
        <v>0</v>
      </c>
      <c r="ET316" s="365">
        <v>0</v>
      </c>
      <c r="EU316" s="365">
        <v>0</v>
      </c>
      <c r="EV316" s="436">
        <v>0</v>
      </c>
      <c r="EW316" s="436">
        <v>0</v>
      </c>
      <c r="EX316" s="436">
        <v>0</v>
      </c>
      <c r="EY316" s="436">
        <v>0</v>
      </c>
      <c r="EZ316" s="365">
        <v>0</v>
      </c>
      <c r="FA316" s="436">
        <v>0</v>
      </c>
      <c r="FB316" s="436">
        <v>0</v>
      </c>
      <c r="FC316" s="436">
        <v>0</v>
      </c>
      <c r="FD316" s="436">
        <v>0</v>
      </c>
      <c r="FE316" s="365">
        <v>0</v>
      </c>
      <c r="FF316" s="364">
        <v>0</v>
      </c>
      <c r="FG316" s="364">
        <v>0</v>
      </c>
      <c r="FH316" s="364">
        <v>0</v>
      </c>
      <c r="FI316" s="365">
        <v>0</v>
      </c>
      <c r="FJ316" s="365">
        <v>0</v>
      </c>
      <c r="FK316" s="365">
        <v>0</v>
      </c>
      <c r="FL316" s="365">
        <v>0</v>
      </c>
      <c r="FM316" s="365">
        <v>0</v>
      </c>
      <c r="FN316" s="365">
        <v>0</v>
      </c>
      <c r="FO316" s="365">
        <v>0</v>
      </c>
      <c r="FP316" s="365">
        <v>0</v>
      </c>
      <c r="FQ316" s="365">
        <v>0</v>
      </c>
      <c r="FR316" s="365">
        <v>0</v>
      </c>
      <c r="FS316" s="365">
        <v>0</v>
      </c>
      <c r="FT316" s="365">
        <v>0</v>
      </c>
      <c r="FU316" s="436">
        <v>0</v>
      </c>
      <c r="FV316" s="436">
        <v>0</v>
      </c>
      <c r="FW316" s="436">
        <v>0</v>
      </c>
      <c r="FX316" s="436">
        <v>0</v>
      </c>
      <c r="FY316" s="365">
        <v>0</v>
      </c>
      <c r="FZ316" s="436">
        <v>0</v>
      </c>
      <c r="GA316" s="436">
        <v>0</v>
      </c>
      <c r="GB316" s="436">
        <v>0</v>
      </c>
      <c r="GC316" s="436">
        <v>0</v>
      </c>
      <c r="GD316" s="365">
        <v>0</v>
      </c>
    </row>
    <row r="317" spans="1:186" ht="15" x14ac:dyDescent="0.25">
      <c r="A317" s="357">
        <v>128</v>
      </c>
      <c r="B317" s="357">
        <v>98</v>
      </c>
      <c r="C317" s="357" t="s">
        <v>1227</v>
      </c>
      <c r="D317" s="2">
        <v>99712</v>
      </c>
      <c r="E317" s="268" t="s">
        <v>19</v>
      </c>
      <c r="F317" s="358" t="s">
        <v>915</v>
      </c>
      <c r="G317" s="49">
        <v>24</v>
      </c>
      <c r="H317" s="49">
        <v>12</v>
      </c>
      <c r="I317" s="49">
        <v>10</v>
      </c>
      <c r="J317" s="49">
        <v>2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>
        <v>0</v>
      </c>
      <c r="R317" s="49">
        <v>0</v>
      </c>
      <c r="S317" s="49">
        <v>834.49503068156923</v>
      </c>
      <c r="T317" s="49">
        <v>834.49503068156923</v>
      </c>
      <c r="U317" s="49">
        <v>1408.3846153846155</v>
      </c>
      <c r="V317" s="49">
        <v>0</v>
      </c>
      <c r="W317" s="49">
        <v>0</v>
      </c>
      <c r="X317" s="49">
        <v>1365.173957061457</v>
      </c>
      <c r="Y317" s="434">
        <v>0</v>
      </c>
      <c r="Z317" s="434">
        <v>0</v>
      </c>
      <c r="AA317" s="49">
        <v>0.27494802494802495</v>
      </c>
      <c r="AB317" s="49">
        <v>11.70945945945946</v>
      </c>
      <c r="AC317" s="49">
        <v>1.5592515592515593E-2</v>
      </c>
      <c r="AD317" s="285">
        <v>0</v>
      </c>
      <c r="AE317" s="285">
        <v>0</v>
      </c>
      <c r="AF317" s="359">
        <v>12</v>
      </c>
      <c r="AG317" s="360">
        <v>0.22912335412335413</v>
      </c>
      <c r="AH317" s="360">
        <v>9.7578828828828836</v>
      </c>
      <c r="AI317" s="361">
        <v>9.9870062370062378</v>
      </c>
      <c r="AJ317" s="360">
        <v>1.2993762993762994E-2</v>
      </c>
      <c r="AK317" s="360">
        <v>0.2499591661549353</v>
      </c>
      <c r="AL317" s="360">
        <v>10.645236397551111</v>
      </c>
      <c r="AM317" s="360">
        <v>10.895195563706046</v>
      </c>
      <c r="AN317" s="360">
        <v>1.4175378042812967E-2</v>
      </c>
      <c r="AO317" s="360">
        <v>0.20906454625571899</v>
      </c>
      <c r="AP317" s="360">
        <v>8.9036203451703084</v>
      </c>
      <c r="AQ317" s="360">
        <v>9.1126848914260279</v>
      </c>
      <c r="AR317" s="360">
        <v>1.1856212453065349E-2</v>
      </c>
      <c r="AS317" s="360">
        <v>0</v>
      </c>
      <c r="AT317" s="360">
        <v>0</v>
      </c>
      <c r="AU317" s="360">
        <v>9.9049774906138168</v>
      </c>
      <c r="AV317" s="360">
        <v>10.388294701939483</v>
      </c>
      <c r="AW317" s="360">
        <v>10.895195563706045</v>
      </c>
      <c r="AX317" s="360">
        <v>11.426830849267086</v>
      </c>
      <c r="AY317" s="360">
        <v>11.984407484407484</v>
      </c>
      <c r="AZ317" s="360">
        <v>8.3149067858514769</v>
      </c>
      <c r="BA317" s="360">
        <v>8.70466113303927</v>
      </c>
      <c r="BB317" s="360">
        <v>9.1126848914260279</v>
      </c>
      <c r="BC317" s="360">
        <v>9.5398344244826525</v>
      </c>
      <c r="BD317" s="360">
        <v>9.9870062370062378</v>
      </c>
      <c r="BE317" s="360">
        <v>0</v>
      </c>
      <c r="BF317" s="360">
        <v>0</v>
      </c>
      <c r="BG317" s="360">
        <v>0</v>
      </c>
      <c r="BH317" s="360">
        <v>0</v>
      </c>
      <c r="BI317" s="360">
        <v>0</v>
      </c>
      <c r="BJ317" s="362">
        <v>12.13610340927106</v>
      </c>
      <c r="BK317" s="362">
        <v>12.289719466911343</v>
      </c>
      <c r="BL317" s="362">
        <v>12.445279961935615</v>
      </c>
      <c r="BM317" s="363">
        <v>12.3634577064925</v>
      </c>
      <c r="BN317" s="363">
        <v>12.282173396479802</v>
      </c>
      <c r="BO317" s="363">
        <v>12.24295244134152</v>
      </c>
      <c r="BP317" s="363">
        <v>12.203856731408001</v>
      </c>
      <c r="BQ317" s="363">
        <v>12.164885866730764</v>
      </c>
      <c r="BR317" s="363">
        <v>12.126039448638497</v>
      </c>
      <c r="BS317" s="363">
        <v>12.087317079732975</v>
      </c>
      <c r="BT317" s="363">
        <v>12.17672657534052</v>
      </c>
      <c r="BU317" s="363">
        <v>12.2667974301109</v>
      </c>
      <c r="BV317" s="363">
        <v>12.357534536096571</v>
      </c>
      <c r="BW317" s="363">
        <v>12.448942821536342</v>
      </c>
      <c r="BX317" s="363">
        <v>12.541027251123035</v>
      </c>
      <c r="BY317" s="435">
        <v>12.591577835531478</v>
      </c>
      <c r="BZ317" s="435">
        <v>12.642128419939921</v>
      </c>
      <c r="CA317" s="435">
        <v>12.692679004348362</v>
      </c>
      <c r="CB317" s="435">
        <v>12.743229588756805</v>
      </c>
      <c r="CC317" s="363">
        <v>12.793780173165247</v>
      </c>
      <c r="CD317" s="435">
        <v>12.835216711320738</v>
      </c>
      <c r="CE317" s="435">
        <v>12.876653249476231</v>
      </c>
      <c r="CF317" s="435">
        <v>12.918089787631722</v>
      </c>
      <c r="CG317" s="435">
        <v>12.959526325787214</v>
      </c>
      <c r="CH317" s="363">
        <v>13.000962863942705</v>
      </c>
      <c r="CI317" s="362">
        <v>10.113419507725885</v>
      </c>
      <c r="CJ317" s="362">
        <v>10.241432889092787</v>
      </c>
      <c r="CK317" s="362">
        <v>10.371066634946347</v>
      </c>
      <c r="CL317" s="363">
        <v>10.302881422077085</v>
      </c>
      <c r="CM317" s="363">
        <v>10.235144497066504</v>
      </c>
      <c r="CN317" s="363">
        <v>10.202460367784601</v>
      </c>
      <c r="CO317" s="363">
        <v>10.169880609506668</v>
      </c>
      <c r="CP317" s="363">
        <v>10.137404888942305</v>
      </c>
      <c r="CQ317" s="363">
        <v>10.105032873865415</v>
      </c>
      <c r="CR317" s="363">
        <v>10.072764233110814</v>
      </c>
      <c r="CS317" s="363">
        <v>10.147272146117102</v>
      </c>
      <c r="CT317" s="363">
        <v>10.222331191759086</v>
      </c>
      <c r="CU317" s="363">
        <v>10.297945446747145</v>
      </c>
      <c r="CV317" s="363">
        <v>10.374119017946953</v>
      </c>
      <c r="CW317" s="363">
        <v>10.450856042602529</v>
      </c>
      <c r="CX317" s="435">
        <v>10.492981529609565</v>
      </c>
      <c r="CY317" s="435">
        <v>10.5351070166166</v>
      </c>
      <c r="CZ317" s="435">
        <v>10.577232503623636</v>
      </c>
      <c r="DA317" s="435">
        <v>10.61935799063067</v>
      </c>
      <c r="DB317" s="363">
        <v>10.661483477637706</v>
      </c>
      <c r="DC317" s="435">
        <v>10.696013926100616</v>
      </c>
      <c r="DD317" s="435">
        <v>10.730544374563525</v>
      </c>
      <c r="DE317" s="435">
        <v>10.765074823026437</v>
      </c>
      <c r="DF317" s="435">
        <v>10.799605271489346</v>
      </c>
      <c r="DG317" s="363">
        <v>10.834135719952256</v>
      </c>
      <c r="DH317" s="362">
        <v>0</v>
      </c>
      <c r="DI317" s="362">
        <v>0</v>
      </c>
      <c r="DJ317" s="362">
        <v>0</v>
      </c>
      <c r="DK317" s="363">
        <v>0</v>
      </c>
      <c r="DL317" s="363">
        <v>0</v>
      </c>
      <c r="DM317" s="363">
        <v>0</v>
      </c>
      <c r="DN317" s="363">
        <v>0</v>
      </c>
      <c r="DO317" s="363">
        <v>0</v>
      </c>
      <c r="DP317" s="363">
        <v>0</v>
      </c>
      <c r="DQ317" s="363">
        <v>0</v>
      </c>
      <c r="DR317" s="363">
        <v>0</v>
      </c>
      <c r="DS317" s="363">
        <v>0</v>
      </c>
      <c r="DT317" s="363">
        <v>0</v>
      </c>
      <c r="DU317" s="363">
        <v>0</v>
      </c>
      <c r="DV317" s="363">
        <v>0</v>
      </c>
      <c r="DW317" s="435">
        <v>0</v>
      </c>
      <c r="DX317" s="435">
        <v>0</v>
      </c>
      <c r="DY317" s="435">
        <v>0</v>
      </c>
      <c r="DZ317" s="435">
        <v>0</v>
      </c>
      <c r="EA317" s="363">
        <v>0</v>
      </c>
      <c r="EB317" s="435">
        <v>0</v>
      </c>
      <c r="EC317" s="435">
        <v>0</v>
      </c>
      <c r="ED317" s="435">
        <v>0</v>
      </c>
      <c r="EE317" s="435">
        <v>0</v>
      </c>
      <c r="EF317" s="363">
        <v>0</v>
      </c>
      <c r="EG317" s="364">
        <v>1.5789882135403412E-2</v>
      </c>
      <c r="EH317" s="364">
        <v>1.5989746899442291E-2</v>
      </c>
      <c r="EI317" s="364">
        <v>1.6192141506551672E-2</v>
      </c>
      <c r="EJ317" s="365">
        <v>1.6085685280370153E-2</v>
      </c>
      <c r="EK317" s="365">
        <v>1.5979928957168623E-2</v>
      </c>
      <c r="EL317" s="365">
        <v>1.5928899871638723E-2</v>
      </c>
      <c r="EM317" s="365">
        <v>1.5878033738495969E-2</v>
      </c>
      <c r="EN317" s="365">
        <v>1.5827330037380648E-2</v>
      </c>
      <c r="EO317" s="365">
        <v>1.5776788249594716E-2</v>
      </c>
      <c r="EP317" s="365">
        <v>1.5726407858096508E-2</v>
      </c>
      <c r="EQ317" s="365">
        <v>1.5842735591127401E-2</v>
      </c>
      <c r="ER317" s="365">
        <v>1.5959923796657432E-2</v>
      </c>
      <c r="ES317" s="365">
        <v>1.6077978839573993E-2</v>
      </c>
      <c r="ET317" s="365">
        <v>1.6196907131845358E-2</v>
      </c>
      <c r="EU317" s="365">
        <v>1.6316715132868899E-2</v>
      </c>
      <c r="EV317" s="436">
        <v>1.6382484823746393E-2</v>
      </c>
      <c r="EW317" s="436">
        <v>1.6448254514623888E-2</v>
      </c>
      <c r="EX317" s="436">
        <v>1.6514024205501382E-2</v>
      </c>
      <c r="EY317" s="436">
        <v>1.6579793896378876E-2</v>
      </c>
      <c r="EZ317" s="365">
        <v>1.6645563587256371E-2</v>
      </c>
      <c r="FA317" s="436">
        <v>1.6699475294458414E-2</v>
      </c>
      <c r="FB317" s="436">
        <v>1.6753387001660461E-2</v>
      </c>
      <c r="FC317" s="436">
        <v>1.6807298708862505E-2</v>
      </c>
      <c r="FD317" s="436">
        <v>1.6861210416064552E-2</v>
      </c>
      <c r="FE317" s="365">
        <v>1.6915122123266596E-2</v>
      </c>
      <c r="FF317" s="364">
        <v>0</v>
      </c>
      <c r="FG317" s="364">
        <v>0</v>
      </c>
      <c r="FH317" s="364">
        <v>0</v>
      </c>
      <c r="FI317" s="365">
        <v>0</v>
      </c>
      <c r="FJ317" s="365">
        <v>0</v>
      </c>
      <c r="FK317" s="365">
        <v>0</v>
      </c>
      <c r="FL317" s="365">
        <v>0</v>
      </c>
      <c r="FM317" s="365">
        <v>0</v>
      </c>
      <c r="FN317" s="365">
        <v>0</v>
      </c>
      <c r="FO317" s="365">
        <v>0</v>
      </c>
      <c r="FP317" s="365">
        <v>0</v>
      </c>
      <c r="FQ317" s="365">
        <v>0</v>
      </c>
      <c r="FR317" s="365">
        <v>0</v>
      </c>
      <c r="FS317" s="365">
        <v>0</v>
      </c>
      <c r="FT317" s="365">
        <v>0</v>
      </c>
      <c r="FU317" s="436">
        <v>0</v>
      </c>
      <c r="FV317" s="436">
        <v>0</v>
      </c>
      <c r="FW317" s="436">
        <v>0</v>
      </c>
      <c r="FX317" s="436">
        <v>0</v>
      </c>
      <c r="FY317" s="365">
        <v>0</v>
      </c>
      <c r="FZ317" s="436">
        <v>0</v>
      </c>
      <c r="GA317" s="436">
        <v>0</v>
      </c>
      <c r="GB317" s="436">
        <v>0</v>
      </c>
      <c r="GC317" s="436">
        <v>0</v>
      </c>
      <c r="GD317" s="365">
        <v>0</v>
      </c>
    </row>
    <row r="318" spans="1:186" ht="15" x14ac:dyDescent="0.25">
      <c r="A318" s="357">
        <v>131</v>
      </c>
      <c r="B318" s="357">
        <v>98</v>
      </c>
      <c r="C318" s="357" t="s">
        <v>1228</v>
      </c>
      <c r="D318" s="2">
        <v>99712</v>
      </c>
      <c r="E318" s="268" t="s">
        <v>19</v>
      </c>
      <c r="F318" s="358" t="s">
        <v>915</v>
      </c>
      <c r="G318" s="49">
        <v>289</v>
      </c>
      <c r="H318" s="49">
        <v>138</v>
      </c>
      <c r="I318" s="49">
        <v>122</v>
      </c>
      <c r="J318" s="49">
        <v>16</v>
      </c>
      <c r="K318" s="49">
        <v>0</v>
      </c>
      <c r="L318" s="49">
        <v>5</v>
      </c>
      <c r="M318" s="49">
        <v>5</v>
      </c>
      <c r="N318" s="49">
        <v>0</v>
      </c>
      <c r="O318" s="49">
        <v>0</v>
      </c>
      <c r="P318" s="49">
        <v>0</v>
      </c>
      <c r="Q318" s="49">
        <v>5</v>
      </c>
      <c r="R318" s="49">
        <v>0</v>
      </c>
      <c r="S318" s="49">
        <v>2245.6</v>
      </c>
      <c r="T318" s="49">
        <v>2245.6</v>
      </c>
      <c r="U318" s="49">
        <v>0</v>
      </c>
      <c r="V318" s="49">
        <v>0</v>
      </c>
      <c r="W318" s="49">
        <v>0</v>
      </c>
      <c r="X318" s="49">
        <v>2245.6</v>
      </c>
      <c r="Y318" s="434">
        <v>11228</v>
      </c>
      <c r="Z318" s="434">
        <v>0</v>
      </c>
      <c r="AA318" s="49">
        <v>0</v>
      </c>
      <c r="AB318" s="49">
        <v>138</v>
      </c>
      <c r="AC318" s="49">
        <v>0</v>
      </c>
      <c r="AD318" s="285">
        <v>0</v>
      </c>
      <c r="AE318" s="285">
        <v>0</v>
      </c>
      <c r="AF318" s="359">
        <v>138</v>
      </c>
      <c r="AG318" s="360">
        <v>0</v>
      </c>
      <c r="AH318" s="360">
        <v>122</v>
      </c>
      <c r="AI318" s="361">
        <v>122</v>
      </c>
      <c r="AJ318" s="360">
        <v>0</v>
      </c>
      <c r="AK318" s="360">
        <v>0</v>
      </c>
      <c r="AL318" s="360">
        <v>125.45776583011187</v>
      </c>
      <c r="AM318" s="360">
        <v>125.45776583011187</v>
      </c>
      <c r="AN318" s="360">
        <v>0</v>
      </c>
      <c r="AO318" s="360">
        <v>0</v>
      </c>
      <c r="AP318" s="360">
        <v>111.31940146732492</v>
      </c>
      <c r="AQ318" s="360">
        <v>111.31940146732492</v>
      </c>
      <c r="AR318" s="360">
        <v>0</v>
      </c>
      <c r="AS318" s="360">
        <v>0</v>
      </c>
      <c r="AT318" s="360">
        <v>0</v>
      </c>
      <c r="AU318" s="360">
        <v>114.05544208031294</v>
      </c>
      <c r="AV318" s="360">
        <v>119.62082153271558</v>
      </c>
      <c r="AW318" s="360">
        <v>125.45776583011187</v>
      </c>
      <c r="AX318" s="360">
        <v>131.57952608424853</v>
      </c>
      <c r="AY318" s="360">
        <v>138</v>
      </c>
      <c r="AZ318" s="360">
        <v>101.57384543478248</v>
      </c>
      <c r="BA318" s="360">
        <v>106.33503504741304</v>
      </c>
      <c r="BB318" s="360">
        <v>111.31940146732492</v>
      </c>
      <c r="BC318" s="360">
        <v>116.53740592193411</v>
      </c>
      <c r="BD318" s="360">
        <v>122</v>
      </c>
      <c r="BE318" s="360">
        <v>0</v>
      </c>
      <c r="BF318" s="360">
        <v>0</v>
      </c>
      <c r="BG318" s="360">
        <v>0</v>
      </c>
      <c r="BH318" s="360">
        <v>0</v>
      </c>
      <c r="BI318" s="360">
        <v>0</v>
      </c>
      <c r="BJ318" s="362">
        <v>139.74677285117434</v>
      </c>
      <c r="BK318" s="362">
        <v>141.51565595882403</v>
      </c>
      <c r="BL318" s="362">
        <v>143.30692918958493</v>
      </c>
      <c r="BM318" s="363">
        <v>142.36474900538803</v>
      </c>
      <c r="BN318" s="363">
        <v>141.42876324252518</v>
      </c>
      <c r="BO318" s="363">
        <v>140.97713542395135</v>
      </c>
      <c r="BP318" s="363">
        <v>140.52694979918473</v>
      </c>
      <c r="BQ318" s="363">
        <v>140.07820176283369</v>
      </c>
      <c r="BR318" s="363">
        <v>139.63088672421307</v>
      </c>
      <c r="BS318" s="363">
        <v>139.18500010729733</v>
      </c>
      <c r="BT318" s="363">
        <v>140.21454707571397</v>
      </c>
      <c r="BU318" s="363">
        <v>141.25170956993693</v>
      </c>
      <c r="BV318" s="363">
        <v>142.2965439217657</v>
      </c>
      <c r="BW318" s="363">
        <v>143.34910687968417</v>
      </c>
      <c r="BX318" s="363">
        <v>144.40945561194292</v>
      </c>
      <c r="BY318" s="435">
        <v>144.99154368408509</v>
      </c>
      <c r="BZ318" s="435">
        <v>145.57363175622726</v>
      </c>
      <c r="CA318" s="435">
        <v>146.15571982836946</v>
      </c>
      <c r="CB318" s="435">
        <v>146.73780790051163</v>
      </c>
      <c r="CC318" s="363">
        <v>147.3198959726538</v>
      </c>
      <c r="CD318" s="435">
        <v>147.79703614607479</v>
      </c>
      <c r="CE318" s="435">
        <v>148.27417631949575</v>
      </c>
      <c r="CF318" s="435">
        <v>148.75131649291674</v>
      </c>
      <c r="CG318" s="435">
        <v>149.22845666633771</v>
      </c>
      <c r="CH318" s="363">
        <v>149.7055968397587</v>
      </c>
      <c r="CI318" s="362">
        <v>123.5442484626324</v>
      </c>
      <c r="CJ318" s="362">
        <v>125.10804367374298</v>
      </c>
      <c r="CK318" s="362">
        <v>126.69163305166204</v>
      </c>
      <c r="CL318" s="363">
        <v>125.85869114969086</v>
      </c>
      <c r="CM318" s="363">
        <v>125.03122547527589</v>
      </c>
      <c r="CN318" s="363">
        <v>124.63196030233379</v>
      </c>
      <c r="CO318" s="363">
        <v>124.23397011232274</v>
      </c>
      <c r="CP318" s="363">
        <v>123.83725083380949</v>
      </c>
      <c r="CQ318" s="363">
        <v>123.44179840836227</v>
      </c>
      <c r="CR318" s="363">
        <v>123.04760879050923</v>
      </c>
      <c r="CS318" s="363">
        <v>123.95778799447176</v>
      </c>
      <c r="CT318" s="363">
        <v>124.87469976472686</v>
      </c>
      <c r="CU318" s="363">
        <v>125.79839390185082</v>
      </c>
      <c r="CV318" s="363">
        <v>126.72892057479325</v>
      </c>
      <c r="CW318" s="363">
        <v>127.6663303236017</v>
      </c>
      <c r="CX318" s="435">
        <v>128.18092992361144</v>
      </c>
      <c r="CY318" s="435">
        <v>128.69552952362119</v>
      </c>
      <c r="CZ318" s="435">
        <v>129.21012912363096</v>
      </c>
      <c r="DA318" s="435">
        <v>129.72472872364071</v>
      </c>
      <c r="DB318" s="363">
        <v>130.23932832365045</v>
      </c>
      <c r="DC318" s="435">
        <v>130.66114789725449</v>
      </c>
      <c r="DD318" s="435">
        <v>131.08296747085856</v>
      </c>
      <c r="DE318" s="435">
        <v>131.5047870444626</v>
      </c>
      <c r="DF318" s="435">
        <v>131.92660661806667</v>
      </c>
      <c r="DG318" s="363">
        <v>132.34842619167071</v>
      </c>
      <c r="DH318" s="362">
        <v>0</v>
      </c>
      <c r="DI318" s="362">
        <v>0</v>
      </c>
      <c r="DJ318" s="362">
        <v>0</v>
      </c>
      <c r="DK318" s="363">
        <v>0</v>
      </c>
      <c r="DL318" s="363">
        <v>0</v>
      </c>
      <c r="DM318" s="363">
        <v>0</v>
      </c>
      <c r="DN318" s="363">
        <v>0</v>
      </c>
      <c r="DO318" s="363">
        <v>0</v>
      </c>
      <c r="DP318" s="363">
        <v>0</v>
      </c>
      <c r="DQ318" s="363">
        <v>0</v>
      </c>
      <c r="DR318" s="363">
        <v>0</v>
      </c>
      <c r="DS318" s="363">
        <v>0</v>
      </c>
      <c r="DT318" s="363">
        <v>0</v>
      </c>
      <c r="DU318" s="363">
        <v>0</v>
      </c>
      <c r="DV318" s="363">
        <v>0</v>
      </c>
      <c r="DW318" s="435">
        <v>0</v>
      </c>
      <c r="DX318" s="435">
        <v>0</v>
      </c>
      <c r="DY318" s="435">
        <v>0</v>
      </c>
      <c r="DZ318" s="435">
        <v>0</v>
      </c>
      <c r="EA318" s="363">
        <v>0</v>
      </c>
      <c r="EB318" s="435">
        <v>0</v>
      </c>
      <c r="EC318" s="435">
        <v>0</v>
      </c>
      <c r="ED318" s="435">
        <v>0</v>
      </c>
      <c r="EE318" s="435">
        <v>0</v>
      </c>
      <c r="EF318" s="363">
        <v>0</v>
      </c>
      <c r="EG318" s="364">
        <v>0</v>
      </c>
      <c r="EH318" s="364">
        <v>0</v>
      </c>
      <c r="EI318" s="364">
        <v>0</v>
      </c>
      <c r="EJ318" s="365">
        <v>0</v>
      </c>
      <c r="EK318" s="365">
        <v>0</v>
      </c>
      <c r="EL318" s="365">
        <v>0</v>
      </c>
      <c r="EM318" s="365">
        <v>0</v>
      </c>
      <c r="EN318" s="365">
        <v>0</v>
      </c>
      <c r="EO318" s="365">
        <v>0</v>
      </c>
      <c r="EP318" s="365">
        <v>0</v>
      </c>
      <c r="EQ318" s="365">
        <v>0</v>
      </c>
      <c r="ER318" s="365">
        <v>0</v>
      </c>
      <c r="ES318" s="365">
        <v>0</v>
      </c>
      <c r="ET318" s="365">
        <v>0</v>
      </c>
      <c r="EU318" s="365">
        <v>0</v>
      </c>
      <c r="EV318" s="436">
        <v>0</v>
      </c>
      <c r="EW318" s="436">
        <v>0</v>
      </c>
      <c r="EX318" s="436">
        <v>0</v>
      </c>
      <c r="EY318" s="436">
        <v>0</v>
      </c>
      <c r="EZ318" s="365">
        <v>0</v>
      </c>
      <c r="FA318" s="436">
        <v>0</v>
      </c>
      <c r="FB318" s="436">
        <v>0</v>
      </c>
      <c r="FC318" s="436">
        <v>0</v>
      </c>
      <c r="FD318" s="436">
        <v>0</v>
      </c>
      <c r="FE318" s="365">
        <v>0</v>
      </c>
      <c r="FF318" s="364">
        <v>0</v>
      </c>
      <c r="FG318" s="364">
        <v>0</v>
      </c>
      <c r="FH318" s="364">
        <v>0</v>
      </c>
      <c r="FI318" s="365">
        <v>0</v>
      </c>
      <c r="FJ318" s="365">
        <v>0</v>
      </c>
      <c r="FK318" s="365">
        <v>0</v>
      </c>
      <c r="FL318" s="365">
        <v>0</v>
      </c>
      <c r="FM318" s="365">
        <v>0</v>
      </c>
      <c r="FN318" s="365">
        <v>0</v>
      </c>
      <c r="FO318" s="365">
        <v>0</v>
      </c>
      <c r="FP318" s="365">
        <v>0</v>
      </c>
      <c r="FQ318" s="365">
        <v>0</v>
      </c>
      <c r="FR318" s="365">
        <v>0</v>
      </c>
      <c r="FS318" s="365">
        <v>0</v>
      </c>
      <c r="FT318" s="365">
        <v>0</v>
      </c>
      <c r="FU318" s="436">
        <v>0</v>
      </c>
      <c r="FV318" s="436">
        <v>0</v>
      </c>
      <c r="FW318" s="436">
        <v>0</v>
      </c>
      <c r="FX318" s="436">
        <v>0</v>
      </c>
      <c r="FY318" s="365">
        <v>0</v>
      </c>
      <c r="FZ318" s="436">
        <v>0</v>
      </c>
      <c r="GA318" s="436">
        <v>0</v>
      </c>
      <c r="GB318" s="436">
        <v>0</v>
      </c>
      <c r="GC318" s="436">
        <v>0</v>
      </c>
      <c r="GD318" s="365">
        <v>0</v>
      </c>
    </row>
    <row r="319" spans="1:186" ht="15" x14ac:dyDescent="0.25">
      <c r="A319" s="357">
        <v>141</v>
      </c>
      <c r="B319" s="357">
        <v>98</v>
      </c>
      <c r="C319" s="357" t="s">
        <v>1229</v>
      </c>
      <c r="D319" s="2">
        <v>99712</v>
      </c>
      <c r="E319" s="268" t="s">
        <v>19</v>
      </c>
      <c r="F319" s="358" t="s">
        <v>915</v>
      </c>
      <c r="G319" s="49">
        <v>10</v>
      </c>
      <c r="H319" s="49">
        <v>6</v>
      </c>
      <c r="I319" s="49">
        <v>4</v>
      </c>
      <c r="J319" s="49">
        <v>2</v>
      </c>
      <c r="K319" s="49">
        <v>0</v>
      </c>
      <c r="L319" s="49">
        <v>3</v>
      </c>
      <c r="M319" s="49">
        <v>3</v>
      </c>
      <c r="N319" s="49">
        <v>0</v>
      </c>
      <c r="O319" s="49">
        <v>0</v>
      </c>
      <c r="P319" s="49">
        <v>0</v>
      </c>
      <c r="Q319" s="49">
        <v>3</v>
      </c>
      <c r="R319" s="49">
        <v>0</v>
      </c>
      <c r="S319" s="49">
        <v>1969.3333333333333</v>
      </c>
      <c r="T319" s="49">
        <v>1969.3333333333333</v>
      </c>
      <c r="U319" s="49">
        <v>0</v>
      </c>
      <c r="V319" s="49">
        <v>0</v>
      </c>
      <c r="W319" s="49">
        <v>0</v>
      </c>
      <c r="X319" s="49">
        <v>1969.3333333333333</v>
      </c>
      <c r="Y319" s="434">
        <v>5908</v>
      </c>
      <c r="Z319" s="434">
        <v>0</v>
      </c>
      <c r="AA319" s="49">
        <v>0</v>
      </c>
      <c r="AB319" s="49">
        <v>6</v>
      </c>
      <c r="AC319" s="49">
        <v>0</v>
      </c>
      <c r="AD319" s="285">
        <v>0</v>
      </c>
      <c r="AE319" s="285">
        <v>0</v>
      </c>
      <c r="AF319" s="359">
        <v>6</v>
      </c>
      <c r="AG319" s="360">
        <v>0</v>
      </c>
      <c r="AH319" s="360">
        <v>4</v>
      </c>
      <c r="AI319" s="361">
        <v>4</v>
      </c>
      <c r="AJ319" s="360">
        <v>0</v>
      </c>
      <c r="AK319" s="360">
        <v>0</v>
      </c>
      <c r="AL319" s="360">
        <v>5.4546854708744297</v>
      </c>
      <c r="AM319" s="360">
        <v>5.4546854708744297</v>
      </c>
      <c r="AN319" s="360">
        <v>0</v>
      </c>
      <c r="AO319" s="360">
        <v>0</v>
      </c>
      <c r="AP319" s="360">
        <v>3.649816441551637</v>
      </c>
      <c r="AQ319" s="360">
        <v>3.649816441551637</v>
      </c>
      <c r="AR319" s="360">
        <v>0</v>
      </c>
      <c r="AS319" s="360">
        <v>0</v>
      </c>
      <c r="AT319" s="360">
        <v>0</v>
      </c>
      <c r="AU319" s="360">
        <v>4.9589322643614322</v>
      </c>
      <c r="AV319" s="360">
        <v>5.2009052840311121</v>
      </c>
      <c r="AW319" s="360">
        <v>5.4546854708744297</v>
      </c>
      <c r="AX319" s="360">
        <v>5.7208489601847186</v>
      </c>
      <c r="AY319" s="360">
        <v>6</v>
      </c>
      <c r="AZ319" s="360">
        <v>3.3302900142551635</v>
      </c>
      <c r="BA319" s="360">
        <v>3.4863945917184607</v>
      </c>
      <c r="BB319" s="360">
        <v>3.649816441551637</v>
      </c>
      <c r="BC319" s="360">
        <v>3.8208985548175116</v>
      </c>
      <c r="BD319" s="360">
        <v>4</v>
      </c>
      <c r="BE319" s="360">
        <v>0</v>
      </c>
      <c r="BF319" s="360">
        <v>0</v>
      </c>
      <c r="BG319" s="360">
        <v>0</v>
      </c>
      <c r="BH319" s="360">
        <v>0</v>
      </c>
      <c r="BI319" s="360">
        <v>0</v>
      </c>
      <c r="BJ319" s="362">
        <v>6.0759466457032323</v>
      </c>
      <c r="BK319" s="362">
        <v>6.1528546069053931</v>
      </c>
      <c r="BL319" s="362">
        <v>6.2307360517210837</v>
      </c>
      <c r="BM319" s="363">
        <v>6.1897716958864359</v>
      </c>
      <c r="BN319" s="363">
        <v>6.1490766627184863</v>
      </c>
      <c r="BO319" s="363">
        <v>6.1294406706065798</v>
      </c>
      <c r="BP319" s="363">
        <v>6.109867382573249</v>
      </c>
      <c r="BQ319" s="363">
        <v>6.0903565983840728</v>
      </c>
      <c r="BR319" s="363">
        <v>6.0709081184440468</v>
      </c>
      <c r="BS319" s="363">
        <v>6.0515217437955364</v>
      </c>
      <c r="BT319" s="363">
        <v>6.0962846554658237</v>
      </c>
      <c r="BU319" s="363">
        <v>6.1413786769537797</v>
      </c>
      <c r="BV319" s="363">
        <v>6.1868062574680733</v>
      </c>
      <c r="BW319" s="363">
        <v>6.2325698643340939</v>
      </c>
      <c r="BX319" s="363">
        <v>6.2786719831279525</v>
      </c>
      <c r="BY319" s="435">
        <v>6.3039801601776126</v>
      </c>
      <c r="BZ319" s="435">
        <v>6.3292883372272719</v>
      </c>
      <c r="CA319" s="435">
        <v>6.3545965142769321</v>
      </c>
      <c r="CB319" s="435">
        <v>6.3799046913265913</v>
      </c>
      <c r="CC319" s="363">
        <v>6.4052128683762515</v>
      </c>
      <c r="CD319" s="435">
        <v>6.4259580933075986</v>
      </c>
      <c r="CE319" s="435">
        <v>6.4467033182389457</v>
      </c>
      <c r="CF319" s="435">
        <v>6.4674485431702919</v>
      </c>
      <c r="CG319" s="435">
        <v>6.4881937681016391</v>
      </c>
      <c r="CH319" s="363">
        <v>6.5089389930329862</v>
      </c>
      <c r="CI319" s="362">
        <v>4.0506310971354882</v>
      </c>
      <c r="CJ319" s="362">
        <v>4.1019030712702618</v>
      </c>
      <c r="CK319" s="362">
        <v>4.1538240344807225</v>
      </c>
      <c r="CL319" s="363">
        <v>4.1265144639242903</v>
      </c>
      <c r="CM319" s="363">
        <v>4.0993844418123242</v>
      </c>
      <c r="CN319" s="363">
        <v>4.0862937804043868</v>
      </c>
      <c r="CO319" s="363">
        <v>4.0732449217154993</v>
      </c>
      <c r="CP319" s="363">
        <v>4.0602377322560486</v>
      </c>
      <c r="CQ319" s="363">
        <v>4.0472720789626973</v>
      </c>
      <c r="CR319" s="363">
        <v>4.0343478291970243</v>
      </c>
      <c r="CS319" s="363">
        <v>4.0641897703105494</v>
      </c>
      <c r="CT319" s="363">
        <v>4.0942524513025198</v>
      </c>
      <c r="CU319" s="363">
        <v>4.124537504978715</v>
      </c>
      <c r="CV319" s="363">
        <v>4.1550465762227295</v>
      </c>
      <c r="CW319" s="363">
        <v>4.1857813220853011</v>
      </c>
      <c r="CX319" s="435">
        <v>4.2026534401184081</v>
      </c>
      <c r="CY319" s="435">
        <v>4.2195255581515143</v>
      </c>
      <c r="CZ319" s="435">
        <v>4.2363976761846214</v>
      </c>
      <c r="DA319" s="435">
        <v>4.2532697942177276</v>
      </c>
      <c r="DB319" s="363">
        <v>4.2701419122508346</v>
      </c>
      <c r="DC319" s="435">
        <v>4.2839720622050654</v>
      </c>
      <c r="DD319" s="435">
        <v>4.2978022121592971</v>
      </c>
      <c r="DE319" s="435">
        <v>4.311632362113528</v>
      </c>
      <c r="DF319" s="435">
        <v>4.3254625120677597</v>
      </c>
      <c r="DG319" s="363">
        <v>4.3392926620219905</v>
      </c>
      <c r="DH319" s="362">
        <v>0</v>
      </c>
      <c r="DI319" s="362">
        <v>0</v>
      </c>
      <c r="DJ319" s="362">
        <v>0</v>
      </c>
      <c r="DK319" s="363">
        <v>0</v>
      </c>
      <c r="DL319" s="363">
        <v>0</v>
      </c>
      <c r="DM319" s="363">
        <v>0</v>
      </c>
      <c r="DN319" s="363">
        <v>0</v>
      </c>
      <c r="DO319" s="363">
        <v>0</v>
      </c>
      <c r="DP319" s="363">
        <v>0</v>
      </c>
      <c r="DQ319" s="363">
        <v>0</v>
      </c>
      <c r="DR319" s="363">
        <v>0</v>
      </c>
      <c r="DS319" s="363">
        <v>0</v>
      </c>
      <c r="DT319" s="363">
        <v>0</v>
      </c>
      <c r="DU319" s="363">
        <v>0</v>
      </c>
      <c r="DV319" s="363">
        <v>0</v>
      </c>
      <c r="DW319" s="435">
        <v>0</v>
      </c>
      <c r="DX319" s="435">
        <v>0</v>
      </c>
      <c r="DY319" s="435">
        <v>0</v>
      </c>
      <c r="DZ319" s="435">
        <v>0</v>
      </c>
      <c r="EA319" s="363">
        <v>0</v>
      </c>
      <c r="EB319" s="435">
        <v>0</v>
      </c>
      <c r="EC319" s="435">
        <v>0</v>
      </c>
      <c r="ED319" s="435">
        <v>0</v>
      </c>
      <c r="EE319" s="435">
        <v>0</v>
      </c>
      <c r="EF319" s="363">
        <v>0</v>
      </c>
      <c r="EG319" s="364">
        <v>0</v>
      </c>
      <c r="EH319" s="364">
        <v>0</v>
      </c>
      <c r="EI319" s="364">
        <v>0</v>
      </c>
      <c r="EJ319" s="365">
        <v>0</v>
      </c>
      <c r="EK319" s="365">
        <v>0</v>
      </c>
      <c r="EL319" s="365">
        <v>0</v>
      </c>
      <c r="EM319" s="365">
        <v>0</v>
      </c>
      <c r="EN319" s="365">
        <v>0</v>
      </c>
      <c r="EO319" s="365">
        <v>0</v>
      </c>
      <c r="EP319" s="365">
        <v>0</v>
      </c>
      <c r="EQ319" s="365">
        <v>0</v>
      </c>
      <c r="ER319" s="365">
        <v>0</v>
      </c>
      <c r="ES319" s="365">
        <v>0</v>
      </c>
      <c r="ET319" s="365">
        <v>0</v>
      </c>
      <c r="EU319" s="365">
        <v>0</v>
      </c>
      <c r="EV319" s="436">
        <v>0</v>
      </c>
      <c r="EW319" s="436">
        <v>0</v>
      </c>
      <c r="EX319" s="436">
        <v>0</v>
      </c>
      <c r="EY319" s="436">
        <v>0</v>
      </c>
      <c r="EZ319" s="365">
        <v>0</v>
      </c>
      <c r="FA319" s="436">
        <v>0</v>
      </c>
      <c r="FB319" s="436">
        <v>0</v>
      </c>
      <c r="FC319" s="436">
        <v>0</v>
      </c>
      <c r="FD319" s="436">
        <v>0</v>
      </c>
      <c r="FE319" s="365">
        <v>0</v>
      </c>
      <c r="FF319" s="364">
        <v>0</v>
      </c>
      <c r="FG319" s="364">
        <v>0</v>
      </c>
      <c r="FH319" s="364">
        <v>0</v>
      </c>
      <c r="FI319" s="365">
        <v>0</v>
      </c>
      <c r="FJ319" s="365">
        <v>0</v>
      </c>
      <c r="FK319" s="365">
        <v>0</v>
      </c>
      <c r="FL319" s="365">
        <v>0</v>
      </c>
      <c r="FM319" s="365">
        <v>0</v>
      </c>
      <c r="FN319" s="365">
        <v>0</v>
      </c>
      <c r="FO319" s="365">
        <v>0</v>
      </c>
      <c r="FP319" s="365">
        <v>0</v>
      </c>
      <c r="FQ319" s="365">
        <v>0</v>
      </c>
      <c r="FR319" s="365">
        <v>0</v>
      </c>
      <c r="FS319" s="365">
        <v>0</v>
      </c>
      <c r="FT319" s="365">
        <v>0</v>
      </c>
      <c r="FU319" s="436">
        <v>0</v>
      </c>
      <c r="FV319" s="436">
        <v>0</v>
      </c>
      <c r="FW319" s="436">
        <v>0</v>
      </c>
      <c r="FX319" s="436">
        <v>0</v>
      </c>
      <c r="FY319" s="365">
        <v>0</v>
      </c>
      <c r="FZ319" s="436">
        <v>0</v>
      </c>
      <c r="GA319" s="436">
        <v>0</v>
      </c>
      <c r="GB319" s="436">
        <v>0</v>
      </c>
      <c r="GC319" s="436">
        <v>0</v>
      </c>
      <c r="GD319" s="365">
        <v>0</v>
      </c>
    </row>
    <row r="320" spans="1:186" ht="15" x14ac:dyDescent="0.25">
      <c r="A320" s="357">
        <v>90</v>
      </c>
      <c r="B320" s="357">
        <v>99</v>
      </c>
      <c r="C320" s="357" t="s">
        <v>1230</v>
      </c>
      <c r="D320" s="2">
        <v>99709</v>
      </c>
      <c r="E320" s="268" t="s">
        <v>19</v>
      </c>
      <c r="F320" s="358" t="s">
        <v>915</v>
      </c>
      <c r="G320" s="49">
        <v>8</v>
      </c>
      <c r="H320" s="49">
        <v>5</v>
      </c>
      <c r="I320" s="49">
        <v>3</v>
      </c>
      <c r="J320" s="49">
        <v>2</v>
      </c>
      <c r="K320" s="49">
        <v>0</v>
      </c>
      <c r="L320" s="49">
        <v>8</v>
      </c>
      <c r="M320" s="49">
        <v>8</v>
      </c>
      <c r="N320" s="49">
        <v>0</v>
      </c>
      <c r="O320" s="49">
        <v>0</v>
      </c>
      <c r="P320" s="49">
        <v>0</v>
      </c>
      <c r="Q320" s="49">
        <v>8</v>
      </c>
      <c r="R320" s="49">
        <v>0</v>
      </c>
      <c r="S320" s="49">
        <v>1087.375</v>
      </c>
      <c r="T320" s="49">
        <v>1087.375</v>
      </c>
      <c r="U320" s="49">
        <v>0</v>
      </c>
      <c r="V320" s="49">
        <v>0</v>
      </c>
      <c r="W320" s="49">
        <v>0</v>
      </c>
      <c r="X320" s="49">
        <v>1087.375</v>
      </c>
      <c r="Y320" s="434">
        <v>8699</v>
      </c>
      <c r="Z320" s="434">
        <v>0</v>
      </c>
      <c r="AA320" s="49">
        <v>0</v>
      </c>
      <c r="AB320" s="49">
        <v>5</v>
      </c>
      <c r="AC320" s="49">
        <v>0</v>
      </c>
      <c r="AD320" s="285">
        <v>0</v>
      </c>
      <c r="AE320" s="285">
        <v>0</v>
      </c>
      <c r="AF320" s="359">
        <v>5</v>
      </c>
      <c r="AG320" s="360">
        <v>0</v>
      </c>
      <c r="AH320" s="360">
        <v>3</v>
      </c>
      <c r="AI320" s="361">
        <v>3</v>
      </c>
      <c r="AJ320" s="360">
        <v>0</v>
      </c>
      <c r="AK320" s="360">
        <v>0</v>
      </c>
      <c r="AL320" s="360">
        <v>4.7607919750386971</v>
      </c>
      <c r="AM320" s="360">
        <v>4.7607919750386971</v>
      </c>
      <c r="AN320" s="360">
        <v>0</v>
      </c>
      <c r="AO320" s="360">
        <v>0</v>
      </c>
      <c r="AP320" s="360">
        <v>2.861863886693929</v>
      </c>
      <c r="AQ320" s="360">
        <v>2.861863886693929</v>
      </c>
      <c r="AR320" s="360">
        <v>0</v>
      </c>
      <c r="AS320" s="360">
        <v>0</v>
      </c>
      <c r="AT320" s="360">
        <v>0</v>
      </c>
      <c r="AU320" s="360">
        <v>4.533028045918571</v>
      </c>
      <c r="AV320" s="360">
        <v>4.6455143465104571</v>
      </c>
      <c r="AW320" s="360">
        <v>4.7607919750386971</v>
      </c>
      <c r="AX320" s="360">
        <v>4.8789301978193418</v>
      </c>
      <c r="AY320" s="360">
        <v>5</v>
      </c>
      <c r="AZ320" s="360">
        <v>2.7300883019876268</v>
      </c>
      <c r="BA320" s="360">
        <v>2.7951996563651655</v>
      </c>
      <c r="BB320" s="360">
        <v>2.861863886693929</v>
      </c>
      <c r="BC320" s="360">
        <v>2.9301180283534292</v>
      </c>
      <c r="BD320" s="360">
        <v>3</v>
      </c>
      <c r="BE320" s="360">
        <v>0</v>
      </c>
      <c r="BF320" s="360">
        <v>0</v>
      </c>
      <c r="BG320" s="360">
        <v>0</v>
      </c>
      <c r="BH320" s="360">
        <v>0</v>
      </c>
      <c r="BI320" s="360">
        <v>0</v>
      </c>
      <c r="BJ320" s="362">
        <v>5.025613145055865</v>
      </c>
      <c r="BK320" s="362">
        <v>5.0513574967516606</v>
      </c>
      <c r="BL320" s="362">
        <v>5.0772337272103263</v>
      </c>
      <c r="BM320" s="363">
        <v>5.0438531430657498</v>
      </c>
      <c r="BN320" s="363">
        <v>5.0106920216163537</v>
      </c>
      <c r="BO320" s="363">
        <v>4.9946912601348483</v>
      </c>
      <c r="BP320" s="363">
        <v>4.9787415942638669</v>
      </c>
      <c r="BQ320" s="363">
        <v>4.9628428608385846</v>
      </c>
      <c r="BR320" s="363">
        <v>4.9469948972152178</v>
      </c>
      <c r="BS320" s="363">
        <v>4.9311975412693556</v>
      </c>
      <c r="BT320" s="363">
        <v>4.9676734508527423</v>
      </c>
      <c r="BU320" s="363">
        <v>5.0044191715659396</v>
      </c>
      <c r="BV320" s="363">
        <v>5.0414366991931976</v>
      </c>
      <c r="BW320" s="363">
        <v>5.0787280442815153</v>
      </c>
      <c r="BX320" s="363">
        <v>5.1162952322498416</v>
      </c>
      <c r="BY320" s="435">
        <v>5.1369180814644624</v>
      </c>
      <c r="BZ320" s="435">
        <v>5.1575409306790831</v>
      </c>
      <c r="CA320" s="435">
        <v>5.178163779893703</v>
      </c>
      <c r="CB320" s="435">
        <v>5.1987866291083238</v>
      </c>
      <c r="CC320" s="363">
        <v>5.2194094783229446</v>
      </c>
      <c r="CD320" s="435">
        <v>5.2363141192555203</v>
      </c>
      <c r="CE320" s="435">
        <v>5.253218760188096</v>
      </c>
      <c r="CF320" s="435">
        <v>5.2701234011206708</v>
      </c>
      <c r="CG320" s="435">
        <v>5.2870280420532465</v>
      </c>
      <c r="CH320" s="363">
        <v>5.3039326829858222</v>
      </c>
      <c r="CI320" s="362">
        <v>3.015367887033519</v>
      </c>
      <c r="CJ320" s="362">
        <v>3.0308144980509963</v>
      </c>
      <c r="CK320" s="362">
        <v>3.0463402363261958</v>
      </c>
      <c r="CL320" s="363">
        <v>3.02631188583945</v>
      </c>
      <c r="CM320" s="363">
        <v>3.0064152129698121</v>
      </c>
      <c r="CN320" s="363">
        <v>2.9968147560809091</v>
      </c>
      <c r="CO320" s="363">
        <v>2.9872449565583201</v>
      </c>
      <c r="CP320" s="363">
        <v>2.9777057165031509</v>
      </c>
      <c r="CQ320" s="363">
        <v>2.9681969383291307</v>
      </c>
      <c r="CR320" s="363">
        <v>2.9587185247616135</v>
      </c>
      <c r="CS320" s="363">
        <v>2.9806040705116454</v>
      </c>
      <c r="CT320" s="363">
        <v>3.002651502939564</v>
      </c>
      <c r="CU320" s="363">
        <v>3.0248620195159184</v>
      </c>
      <c r="CV320" s="363">
        <v>3.0472368265689092</v>
      </c>
      <c r="CW320" s="363">
        <v>3.0697771393499051</v>
      </c>
      <c r="CX320" s="435">
        <v>3.0821508488786775</v>
      </c>
      <c r="CY320" s="435">
        <v>3.0945245584074499</v>
      </c>
      <c r="CZ320" s="435">
        <v>3.1068982679362218</v>
      </c>
      <c r="DA320" s="435">
        <v>3.1192719774649942</v>
      </c>
      <c r="DB320" s="363">
        <v>3.1316456869937666</v>
      </c>
      <c r="DC320" s="435">
        <v>3.141788471553312</v>
      </c>
      <c r="DD320" s="435">
        <v>3.1519312561128574</v>
      </c>
      <c r="DE320" s="435">
        <v>3.1620740406724024</v>
      </c>
      <c r="DF320" s="435">
        <v>3.1722168252319478</v>
      </c>
      <c r="DG320" s="363">
        <v>3.1823596097914932</v>
      </c>
      <c r="DH320" s="362">
        <v>0</v>
      </c>
      <c r="DI320" s="362">
        <v>0</v>
      </c>
      <c r="DJ320" s="362">
        <v>0</v>
      </c>
      <c r="DK320" s="363">
        <v>0</v>
      </c>
      <c r="DL320" s="363">
        <v>0</v>
      </c>
      <c r="DM320" s="363">
        <v>0</v>
      </c>
      <c r="DN320" s="363">
        <v>0</v>
      </c>
      <c r="DO320" s="363">
        <v>0</v>
      </c>
      <c r="DP320" s="363">
        <v>0</v>
      </c>
      <c r="DQ320" s="363">
        <v>0</v>
      </c>
      <c r="DR320" s="363">
        <v>0</v>
      </c>
      <c r="DS320" s="363">
        <v>0</v>
      </c>
      <c r="DT320" s="363">
        <v>0</v>
      </c>
      <c r="DU320" s="363">
        <v>0</v>
      </c>
      <c r="DV320" s="363">
        <v>0</v>
      </c>
      <c r="DW320" s="435">
        <v>0</v>
      </c>
      <c r="DX320" s="435">
        <v>0</v>
      </c>
      <c r="DY320" s="435">
        <v>0</v>
      </c>
      <c r="DZ320" s="435">
        <v>0</v>
      </c>
      <c r="EA320" s="363">
        <v>0</v>
      </c>
      <c r="EB320" s="435">
        <v>0</v>
      </c>
      <c r="EC320" s="435">
        <v>0</v>
      </c>
      <c r="ED320" s="435">
        <v>0</v>
      </c>
      <c r="EE320" s="435">
        <v>0</v>
      </c>
      <c r="EF320" s="363">
        <v>0</v>
      </c>
      <c r="EG320" s="364">
        <v>0</v>
      </c>
      <c r="EH320" s="364">
        <v>0</v>
      </c>
      <c r="EI320" s="364">
        <v>0</v>
      </c>
      <c r="EJ320" s="365">
        <v>0</v>
      </c>
      <c r="EK320" s="365">
        <v>0</v>
      </c>
      <c r="EL320" s="365">
        <v>0</v>
      </c>
      <c r="EM320" s="365">
        <v>0</v>
      </c>
      <c r="EN320" s="365">
        <v>0</v>
      </c>
      <c r="EO320" s="365">
        <v>0</v>
      </c>
      <c r="EP320" s="365">
        <v>0</v>
      </c>
      <c r="EQ320" s="365">
        <v>0</v>
      </c>
      <c r="ER320" s="365">
        <v>0</v>
      </c>
      <c r="ES320" s="365">
        <v>0</v>
      </c>
      <c r="ET320" s="365">
        <v>0</v>
      </c>
      <c r="EU320" s="365">
        <v>0</v>
      </c>
      <c r="EV320" s="436">
        <v>0</v>
      </c>
      <c r="EW320" s="436">
        <v>0</v>
      </c>
      <c r="EX320" s="436">
        <v>0</v>
      </c>
      <c r="EY320" s="436">
        <v>0</v>
      </c>
      <c r="EZ320" s="365">
        <v>0</v>
      </c>
      <c r="FA320" s="436">
        <v>0</v>
      </c>
      <c r="FB320" s="436">
        <v>0</v>
      </c>
      <c r="FC320" s="436">
        <v>0</v>
      </c>
      <c r="FD320" s="436">
        <v>0</v>
      </c>
      <c r="FE320" s="365">
        <v>0</v>
      </c>
      <c r="FF320" s="364">
        <v>0</v>
      </c>
      <c r="FG320" s="364">
        <v>0</v>
      </c>
      <c r="FH320" s="364">
        <v>0</v>
      </c>
      <c r="FI320" s="365">
        <v>0</v>
      </c>
      <c r="FJ320" s="365">
        <v>0</v>
      </c>
      <c r="FK320" s="365">
        <v>0</v>
      </c>
      <c r="FL320" s="365">
        <v>0</v>
      </c>
      <c r="FM320" s="365">
        <v>0</v>
      </c>
      <c r="FN320" s="365">
        <v>0</v>
      </c>
      <c r="FO320" s="365">
        <v>0</v>
      </c>
      <c r="FP320" s="365">
        <v>0</v>
      </c>
      <c r="FQ320" s="365">
        <v>0</v>
      </c>
      <c r="FR320" s="365">
        <v>0</v>
      </c>
      <c r="FS320" s="365">
        <v>0</v>
      </c>
      <c r="FT320" s="365">
        <v>0</v>
      </c>
      <c r="FU320" s="436">
        <v>0</v>
      </c>
      <c r="FV320" s="436">
        <v>0</v>
      </c>
      <c r="FW320" s="436">
        <v>0</v>
      </c>
      <c r="FX320" s="436">
        <v>0</v>
      </c>
      <c r="FY320" s="365">
        <v>0</v>
      </c>
      <c r="FZ320" s="436">
        <v>0</v>
      </c>
      <c r="GA320" s="436">
        <v>0</v>
      </c>
      <c r="GB320" s="436">
        <v>0</v>
      </c>
      <c r="GC320" s="436">
        <v>0</v>
      </c>
      <c r="GD320" s="365">
        <v>0</v>
      </c>
    </row>
    <row r="321" spans="1:186" ht="15" x14ac:dyDescent="0.25">
      <c r="A321" s="357">
        <v>92</v>
      </c>
      <c r="B321" s="357">
        <v>99</v>
      </c>
      <c r="C321" s="357" t="s">
        <v>1231</v>
      </c>
      <c r="D321" s="2">
        <v>99709</v>
      </c>
      <c r="E321" s="268" t="s">
        <v>19</v>
      </c>
      <c r="F321" s="358" t="s">
        <v>915</v>
      </c>
      <c r="G321" s="49">
        <v>5</v>
      </c>
      <c r="H321" s="49">
        <v>3</v>
      </c>
      <c r="I321" s="49">
        <v>3</v>
      </c>
      <c r="J321" s="49">
        <v>0</v>
      </c>
      <c r="K321" s="49">
        <v>0</v>
      </c>
      <c r="L321" s="49">
        <v>2</v>
      </c>
      <c r="M321" s="49">
        <v>2</v>
      </c>
      <c r="N321" s="49">
        <v>0</v>
      </c>
      <c r="O321" s="49">
        <v>0</v>
      </c>
      <c r="P321" s="49">
        <v>0</v>
      </c>
      <c r="Q321" s="49">
        <v>2</v>
      </c>
      <c r="R321" s="49">
        <v>0</v>
      </c>
      <c r="S321" s="49">
        <v>400</v>
      </c>
      <c r="T321" s="49">
        <v>400</v>
      </c>
      <c r="U321" s="49">
        <v>0</v>
      </c>
      <c r="V321" s="49">
        <v>0</v>
      </c>
      <c r="W321" s="49">
        <v>0</v>
      </c>
      <c r="X321" s="49">
        <v>400</v>
      </c>
      <c r="Y321" s="434">
        <v>800</v>
      </c>
      <c r="Z321" s="434">
        <v>0</v>
      </c>
      <c r="AA321" s="49">
        <v>0</v>
      </c>
      <c r="AB321" s="49">
        <v>3</v>
      </c>
      <c r="AC321" s="49">
        <v>0</v>
      </c>
      <c r="AD321" s="285">
        <v>0</v>
      </c>
      <c r="AE321" s="285">
        <v>0</v>
      </c>
      <c r="AF321" s="359">
        <v>3</v>
      </c>
      <c r="AG321" s="360">
        <v>0</v>
      </c>
      <c r="AH321" s="360">
        <v>3</v>
      </c>
      <c r="AI321" s="361">
        <v>3</v>
      </c>
      <c r="AJ321" s="360">
        <v>0</v>
      </c>
      <c r="AK321" s="360">
        <v>0</v>
      </c>
      <c r="AL321" s="360">
        <v>2.8564751850232182</v>
      </c>
      <c r="AM321" s="360">
        <v>2.8564751850232182</v>
      </c>
      <c r="AN321" s="360">
        <v>0</v>
      </c>
      <c r="AO321" s="360">
        <v>0</v>
      </c>
      <c r="AP321" s="360">
        <v>2.861863886693929</v>
      </c>
      <c r="AQ321" s="360">
        <v>2.861863886693929</v>
      </c>
      <c r="AR321" s="360">
        <v>0</v>
      </c>
      <c r="AS321" s="360">
        <v>0</v>
      </c>
      <c r="AT321" s="360">
        <v>0</v>
      </c>
      <c r="AU321" s="360">
        <v>2.7198168275511425</v>
      </c>
      <c r="AV321" s="360">
        <v>2.7873086079062741</v>
      </c>
      <c r="AW321" s="360">
        <v>2.8564751850232182</v>
      </c>
      <c r="AX321" s="360">
        <v>2.9273581186916053</v>
      </c>
      <c r="AY321" s="360">
        <v>3</v>
      </c>
      <c r="AZ321" s="360">
        <v>2.7300883019876268</v>
      </c>
      <c r="BA321" s="360">
        <v>2.7951996563651655</v>
      </c>
      <c r="BB321" s="360">
        <v>2.861863886693929</v>
      </c>
      <c r="BC321" s="360">
        <v>2.9301180283534292</v>
      </c>
      <c r="BD321" s="360">
        <v>3</v>
      </c>
      <c r="BE321" s="360">
        <v>0</v>
      </c>
      <c r="BF321" s="360">
        <v>0</v>
      </c>
      <c r="BG321" s="360">
        <v>0</v>
      </c>
      <c r="BH321" s="360">
        <v>0</v>
      </c>
      <c r="BI321" s="360">
        <v>0</v>
      </c>
      <c r="BJ321" s="362">
        <v>3.015367887033519</v>
      </c>
      <c r="BK321" s="362">
        <v>3.0308144980509963</v>
      </c>
      <c r="BL321" s="362">
        <v>3.0463402363261958</v>
      </c>
      <c r="BM321" s="363">
        <v>3.02631188583945</v>
      </c>
      <c r="BN321" s="363">
        <v>3.0064152129698121</v>
      </c>
      <c r="BO321" s="363">
        <v>2.9968147560809091</v>
      </c>
      <c r="BP321" s="363">
        <v>2.9872449565583201</v>
      </c>
      <c r="BQ321" s="363">
        <v>2.9777057165031509</v>
      </c>
      <c r="BR321" s="363">
        <v>2.9681969383291307</v>
      </c>
      <c r="BS321" s="363">
        <v>2.9587185247616135</v>
      </c>
      <c r="BT321" s="363">
        <v>2.9806040705116454</v>
      </c>
      <c r="BU321" s="363">
        <v>3.002651502939564</v>
      </c>
      <c r="BV321" s="363">
        <v>3.0248620195159184</v>
      </c>
      <c r="BW321" s="363">
        <v>3.0472368265689092</v>
      </c>
      <c r="BX321" s="363">
        <v>3.0697771393499051</v>
      </c>
      <c r="BY321" s="435">
        <v>3.0821508488786775</v>
      </c>
      <c r="BZ321" s="435">
        <v>3.0945245584074499</v>
      </c>
      <c r="CA321" s="435">
        <v>3.1068982679362218</v>
      </c>
      <c r="CB321" s="435">
        <v>3.1192719774649942</v>
      </c>
      <c r="CC321" s="363">
        <v>3.1316456869937666</v>
      </c>
      <c r="CD321" s="435">
        <v>3.141788471553312</v>
      </c>
      <c r="CE321" s="435">
        <v>3.1519312561128574</v>
      </c>
      <c r="CF321" s="435">
        <v>3.1620740406724024</v>
      </c>
      <c r="CG321" s="435">
        <v>3.1722168252319478</v>
      </c>
      <c r="CH321" s="363">
        <v>3.1823596097914932</v>
      </c>
      <c r="CI321" s="362">
        <v>3.015367887033519</v>
      </c>
      <c r="CJ321" s="362">
        <v>3.0308144980509963</v>
      </c>
      <c r="CK321" s="362">
        <v>3.0463402363261958</v>
      </c>
      <c r="CL321" s="363">
        <v>3.02631188583945</v>
      </c>
      <c r="CM321" s="363">
        <v>3.0064152129698121</v>
      </c>
      <c r="CN321" s="363">
        <v>2.9968147560809091</v>
      </c>
      <c r="CO321" s="363">
        <v>2.9872449565583201</v>
      </c>
      <c r="CP321" s="363">
        <v>2.9777057165031509</v>
      </c>
      <c r="CQ321" s="363">
        <v>2.9681969383291307</v>
      </c>
      <c r="CR321" s="363">
        <v>2.9587185247616135</v>
      </c>
      <c r="CS321" s="363">
        <v>2.9806040705116454</v>
      </c>
      <c r="CT321" s="363">
        <v>3.002651502939564</v>
      </c>
      <c r="CU321" s="363">
        <v>3.0248620195159184</v>
      </c>
      <c r="CV321" s="363">
        <v>3.0472368265689092</v>
      </c>
      <c r="CW321" s="363">
        <v>3.0697771393499051</v>
      </c>
      <c r="CX321" s="435">
        <v>3.0821508488786775</v>
      </c>
      <c r="CY321" s="435">
        <v>3.0945245584074499</v>
      </c>
      <c r="CZ321" s="435">
        <v>3.1068982679362218</v>
      </c>
      <c r="DA321" s="435">
        <v>3.1192719774649942</v>
      </c>
      <c r="DB321" s="363">
        <v>3.1316456869937666</v>
      </c>
      <c r="DC321" s="435">
        <v>3.141788471553312</v>
      </c>
      <c r="DD321" s="435">
        <v>3.1519312561128574</v>
      </c>
      <c r="DE321" s="435">
        <v>3.1620740406724024</v>
      </c>
      <c r="DF321" s="435">
        <v>3.1722168252319478</v>
      </c>
      <c r="DG321" s="363">
        <v>3.1823596097914932</v>
      </c>
      <c r="DH321" s="362">
        <v>0</v>
      </c>
      <c r="DI321" s="362">
        <v>0</v>
      </c>
      <c r="DJ321" s="362">
        <v>0</v>
      </c>
      <c r="DK321" s="363">
        <v>0</v>
      </c>
      <c r="DL321" s="363">
        <v>0</v>
      </c>
      <c r="DM321" s="363">
        <v>0</v>
      </c>
      <c r="DN321" s="363">
        <v>0</v>
      </c>
      <c r="DO321" s="363">
        <v>0</v>
      </c>
      <c r="DP321" s="363">
        <v>0</v>
      </c>
      <c r="DQ321" s="363">
        <v>0</v>
      </c>
      <c r="DR321" s="363">
        <v>0</v>
      </c>
      <c r="DS321" s="363">
        <v>0</v>
      </c>
      <c r="DT321" s="363">
        <v>0</v>
      </c>
      <c r="DU321" s="363">
        <v>0</v>
      </c>
      <c r="DV321" s="363">
        <v>0</v>
      </c>
      <c r="DW321" s="435">
        <v>0</v>
      </c>
      <c r="DX321" s="435">
        <v>0</v>
      </c>
      <c r="DY321" s="435">
        <v>0</v>
      </c>
      <c r="DZ321" s="435">
        <v>0</v>
      </c>
      <c r="EA321" s="363">
        <v>0</v>
      </c>
      <c r="EB321" s="435">
        <v>0</v>
      </c>
      <c r="EC321" s="435">
        <v>0</v>
      </c>
      <c r="ED321" s="435">
        <v>0</v>
      </c>
      <c r="EE321" s="435">
        <v>0</v>
      </c>
      <c r="EF321" s="363">
        <v>0</v>
      </c>
      <c r="EG321" s="364">
        <v>0</v>
      </c>
      <c r="EH321" s="364">
        <v>0</v>
      </c>
      <c r="EI321" s="364">
        <v>0</v>
      </c>
      <c r="EJ321" s="365">
        <v>0</v>
      </c>
      <c r="EK321" s="365">
        <v>0</v>
      </c>
      <c r="EL321" s="365">
        <v>0</v>
      </c>
      <c r="EM321" s="365">
        <v>0</v>
      </c>
      <c r="EN321" s="365">
        <v>0</v>
      </c>
      <c r="EO321" s="365">
        <v>0</v>
      </c>
      <c r="EP321" s="365">
        <v>0</v>
      </c>
      <c r="EQ321" s="365">
        <v>0</v>
      </c>
      <c r="ER321" s="365">
        <v>0</v>
      </c>
      <c r="ES321" s="365">
        <v>0</v>
      </c>
      <c r="ET321" s="365">
        <v>0</v>
      </c>
      <c r="EU321" s="365">
        <v>0</v>
      </c>
      <c r="EV321" s="436">
        <v>0</v>
      </c>
      <c r="EW321" s="436">
        <v>0</v>
      </c>
      <c r="EX321" s="436">
        <v>0</v>
      </c>
      <c r="EY321" s="436">
        <v>0</v>
      </c>
      <c r="EZ321" s="365">
        <v>0</v>
      </c>
      <c r="FA321" s="436">
        <v>0</v>
      </c>
      <c r="FB321" s="436">
        <v>0</v>
      </c>
      <c r="FC321" s="436">
        <v>0</v>
      </c>
      <c r="FD321" s="436">
        <v>0</v>
      </c>
      <c r="FE321" s="365">
        <v>0</v>
      </c>
      <c r="FF321" s="364">
        <v>0</v>
      </c>
      <c r="FG321" s="364">
        <v>0</v>
      </c>
      <c r="FH321" s="364">
        <v>0</v>
      </c>
      <c r="FI321" s="365">
        <v>0</v>
      </c>
      <c r="FJ321" s="365">
        <v>0</v>
      </c>
      <c r="FK321" s="365">
        <v>0</v>
      </c>
      <c r="FL321" s="365">
        <v>0</v>
      </c>
      <c r="FM321" s="365">
        <v>0</v>
      </c>
      <c r="FN321" s="365">
        <v>0</v>
      </c>
      <c r="FO321" s="365">
        <v>0</v>
      </c>
      <c r="FP321" s="365">
        <v>0</v>
      </c>
      <c r="FQ321" s="365">
        <v>0</v>
      </c>
      <c r="FR321" s="365">
        <v>0</v>
      </c>
      <c r="FS321" s="365">
        <v>0</v>
      </c>
      <c r="FT321" s="365">
        <v>0</v>
      </c>
      <c r="FU321" s="436">
        <v>0</v>
      </c>
      <c r="FV321" s="436">
        <v>0</v>
      </c>
      <c r="FW321" s="436">
        <v>0</v>
      </c>
      <c r="FX321" s="436">
        <v>0</v>
      </c>
      <c r="FY321" s="365">
        <v>0</v>
      </c>
      <c r="FZ321" s="436">
        <v>0</v>
      </c>
      <c r="GA321" s="436">
        <v>0</v>
      </c>
      <c r="GB321" s="436">
        <v>0</v>
      </c>
      <c r="GC321" s="436">
        <v>0</v>
      </c>
      <c r="GD321" s="365">
        <v>0</v>
      </c>
    </row>
    <row r="322" spans="1:186" ht="15" x14ac:dyDescent="0.25">
      <c r="A322" s="357">
        <v>101</v>
      </c>
      <c r="B322" s="357">
        <v>99</v>
      </c>
      <c r="C322" s="357" t="s">
        <v>1232</v>
      </c>
      <c r="D322" s="2">
        <v>99709</v>
      </c>
      <c r="E322" s="268" t="s">
        <v>1527</v>
      </c>
      <c r="F322" s="358" t="s">
        <v>985</v>
      </c>
      <c r="G322" s="49">
        <v>123</v>
      </c>
      <c r="H322" s="49">
        <v>64</v>
      </c>
      <c r="I322" s="49">
        <v>52</v>
      </c>
      <c r="J322" s="49">
        <v>12</v>
      </c>
      <c r="K322" s="49">
        <v>1</v>
      </c>
      <c r="L322" s="49">
        <v>41</v>
      </c>
      <c r="M322" s="49">
        <v>42</v>
      </c>
      <c r="N322" s="49">
        <v>1</v>
      </c>
      <c r="O322" s="49">
        <v>0</v>
      </c>
      <c r="P322" s="49">
        <v>0</v>
      </c>
      <c r="Q322" s="49">
        <v>43</v>
      </c>
      <c r="R322" s="49">
        <v>3096</v>
      </c>
      <c r="S322" s="49">
        <v>1164.2439024390244</v>
      </c>
      <c r="T322" s="49">
        <v>1210.2380952380952</v>
      </c>
      <c r="U322" s="49">
        <v>960</v>
      </c>
      <c r="V322" s="49">
        <v>0</v>
      </c>
      <c r="W322" s="49">
        <v>0</v>
      </c>
      <c r="X322" s="49">
        <v>1204.4186046511627</v>
      </c>
      <c r="Y322" s="434">
        <v>50830</v>
      </c>
      <c r="Z322" s="434">
        <v>960</v>
      </c>
      <c r="AA322" s="49">
        <v>1.5238095238095237</v>
      </c>
      <c r="AB322" s="49">
        <v>62.476190476190474</v>
      </c>
      <c r="AC322" s="49">
        <v>0</v>
      </c>
      <c r="AD322" s="285">
        <v>1</v>
      </c>
      <c r="AE322" s="285">
        <v>0</v>
      </c>
      <c r="AF322" s="359">
        <v>65</v>
      </c>
      <c r="AG322" s="360">
        <v>1.2380952380952381</v>
      </c>
      <c r="AH322" s="360">
        <v>50.761904761904759</v>
      </c>
      <c r="AI322" s="361">
        <v>52</v>
      </c>
      <c r="AJ322" s="360">
        <v>0</v>
      </c>
      <c r="AK322" s="360">
        <v>1.4509080304879838</v>
      </c>
      <c r="AL322" s="360">
        <v>59.487229250007331</v>
      </c>
      <c r="AM322" s="360">
        <v>60.938137280495312</v>
      </c>
      <c r="AN322" s="360">
        <v>0</v>
      </c>
      <c r="AO322" s="360">
        <v>1.1810866833974945</v>
      </c>
      <c r="AP322" s="360">
        <v>48.424554019297268</v>
      </c>
      <c r="AQ322" s="360">
        <v>49.605640702694764</v>
      </c>
      <c r="AR322" s="360">
        <v>0</v>
      </c>
      <c r="AS322" s="360">
        <v>0.95966573850124082</v>
      </c>
      <c r="AT322" s="360">
        <v>0</v>
      </c>
      <c r="AU322" s="360">
        <v>58.022758987757712</v>
      </c>
      <c r="AV322" s="360">
        <v>59.46258363533385</v>
      </c>
      <c r="AW322" s="360">
        <v>60.938137280495319</v>
      </c>
      <c r="AX322" s="360">
        <v>62.450306532087573</v>
      </c>
      <c r="AY322" s="360">
        <v>64</v>
      </c>
      <c r="AZ322" s="360">
        <v>47.321530567785537</v>
      </c>
      <c r="BA322" s="360">
        <v>48.450127376996207</v>
      </c>
      <c r="BB322" s="360">
        <v>49.605640702694771</v>
      </c>
      <c r="BC322" s="360">
        <v>50.788712491459435</v>
      </c>
      <c r="BD322" s="360">
        <v>52</v>
      </c>
      <c r="BE322" s="360">
        <v>0.92095832965313207</v>
      </c>
      <c r="BF322" s="360">
        <v>0.94011284192667122</v>
      </c>
      <c r="BG322" s="360">
        <v>0.95966573850124082</v>
      </c>
      <c r="BH322" s="360">
        <v>0.97962530515561963</v>
      </c>
      <c r="BI322" s="360">
        <v>1</v>
      </c>
      <c r="BJ322" s="362">
        <v>64.327848256715072</v>
      </c>
      <c r="BK322" s="362">
        <v>64.657375958421255</v>
      </c>
      <c r="BL322" s="362">
        <v>64.988591708292176</v>
      </c>
      <c r="BM322" s="363">
        <v>64.561320231241595</v>
      </c>
      <c r="BN322" s="363">
        <v>64.136857876689319</v>
      </c>
      <c r="BO322" s="363">
        <v>63.932048129726056</v>
      </c>
      <c r="BP322" s="363">
        <v>63.727892406577496</v>
      </c>
      <c r="BQ322" s="363">
        <v>63.524388618733887</v>
      </c>
      <c r="BR322" s="363">
        <v>63.321534684354788</v>
      </c>
      <c r="BS322" s="363">
        <v>63.119328528247756</v>
      </c>
      <c r="BT322" s="363">
        <v>63.586220170915098</v>
      </c>
      <c r="BU322" s="363">
        <v>64.056565396044036</v>
      </c>
      <c r="BV322" s="363">
        <v>64.530389749672921</v>
      </c>
      <c r="BW322" s="363">
        <v>65.007718966803395</v>
      </c>
      <c r="BX322" s="363">
        <v>65.488578972797967</v>
      </c>
      <c r="BY322" s="435">
        <v>65.752551442745116</v>
      </c>
      <c r="BZ322" s="435">
        <v>66.01652391269225</v>
      </c>
      <c r="CA322" s="435">
        <v>66.280496382639399</v>
      </c>
      <c r="CB322" s="435">
        <v>66.544468852586533</v>
      </c>
      <c r="CC322" s="363">
        <v>66.808441322533682</v>
      </c>
      <c r="CD322" s="435">
        <v>67.024820726470651</v>
      </c>
      <c r="CE322" s="435">
        <v>67.24120013040762</v>
      </c>
      <c r="CF322" s="435">
        <v>67.457579534344589</v>
      </c>
      <c r="CG322" s="435">
        <v>67.673958938281558</v>
      </c>
      <c r="CH322" s="363">
        <v>67.890338342218527</v>
      </c>
      <c r="CI322" s="362">
        <v>52.266376708580992</v>
      </c>
      <c r="CJ322" s="362">
        <v>52.534117966217266</v>
      </c>
      <c r="CK322" s="362">
        <v>52.803230762987397</v>
      </c>
      <c r="CL322" s="363">
        <v>52.456072687883804</v>
      </c>
      <c r="CM322" s="363">
        <v>52.111197024810082</v>
      </c>
      <c r="CN322" s="363">
        <v>51.944789105402428</v>
      </c>
      <c r="CO322" s="363">
        <v>51.778912580344219</v>
      </c>
      <c r="CP322" s="363">
        <v>51.613565752721286</v>
      </c>
      <c r="CQ322" s="363">
        <v>51.448746931038272</v>
      </c>
      <c r="CR322" s="363">
        <v>51.284454429201304</v>
      </c>
      <c r="CS322" s="363">
        <v>51.663803888868522</v>
      </c>
      <c r="CT322" s="363">
        <v>52.04595938428578</v>
      </c>
      <c r="CU322" s="363">
        <v>52.430941671609254</v>
      </c>
      <c r="CV322" s="363">
        <v>52.818771660527766</v>
      </c>
      <c r="CW322" s="363">
        <v>53.209470415398357</v>
      </c>
      <c r="CX322" s="435">
        <v>53.423948047230411</v>
      </c>
      <c r="CY322" s="435">
        <v>53.638425679062465</v>
      </c>
      <c r="CZ322" s="435">
        <v>53.852903310894519</v>
      </c>
      <c r="DA322" s="435">
        <v>54.067380942726572</v>
      </c>
      <c r="DB322" s="363">
        <v>54.281858574558626</v>
      </c>
      <c r="DC322" s="435">
        <v>54.45766684025741</v>
      </c>
      <c r="DD322" s="435">
        <v>54.633475105956194</v>
      </c>
      <c r="DE322" s="435">
        <v>54.809283371654985</v>
      </c>
      <c r="DF322" s="435">
        <v>54.985091637353769</v>
      </c>
      <c r="DG322" s="363">
        <v>55.160899903052552</v>
      </c>
      <c r="DH322" s="362">
        <v>1.005122629011173</v>
      </c>
      <c r="DI322" s="362">
        <v>1.0102714993503321</v>
      </c>
      <c r="DJ322" s="362">
        <v>1.0154467454420653</v>
      </c>
      <c r="DK322" s="363">
        <v>1.0087706286131499</v>
      </c>
      <c r="DL322" s="363">
        <v>1.0021384043232706</v>
      </c>
      <c r="DM322" s="363">
        <v>0.99893825202696962</v>
      </c>
      <c r="DN322" s="363">
        <v>0.99574831885277337</v>
      </c>
      <c r="DO322" s="363">
        <v>0.99256857216771699</v>
      </c>
      <c r="DP322" s="363">
        <v>0.98939897944304356</v>
      </c>
      <c r="DQ322" s="363">
        <v>0.98623950825387119</v>
      </c>
      <c r="DR322" s="363">
        <v>0.99353469017054841</v>
      </c>
      <c r="DS322" s="363">
        <v>1.0008838343131881</v>
      </c>
      <c r="DT322" s="363">
        <v>1.0082873398386394</v>
      </c>
      <c r="DU322" s="363">
        <v>1.0157456088563031</v>
      </c>
      <c r="DV322" s="363">
        <v>1.0232590464499682</v>
      </c>
      <c r="DW322" s="435">
        <v>1.0273836162928924</v>
      </c>
      <c r="DX322" s="435">
        <v>1.0315081861358164</v>
      </c>
      <c r="DY322" s="435">
        <v>1.0356327559787406</v>
      </c>
      <c r="DZ322" s="435">
        <v>1.0397573258216646</v>
      </c>
      <c r="EA322" s="363">
        <v>1.0438818956645888</v>
      </c>
      <c r="EB322" s="435">
        <v>1.0472628238511039</v>
      </c>
      <c r="EC322" s="435">
        <v>1.0506437520376191</v>
      </c>
      <c r="ED322" s="435">
        <v>1.0540246802241342</v>
      </c>
      <c r="EE322" s="435">
        <v>1.0574056084106493</v>
      </c>
      <c r="EF322" s="363">
        <v>1.0607865365971645</v>
      </c>
      <c r="EG322" s="364">
        <v>0</v>
      </c>
      <c r="EH322" s="364">
        <v>0</v>
      </c>
      <c r="EI322" s="364">
        <v>0</v>
      </c>
      <c r="EJ322" s="365">
        <v>0</v>
      </c>
      <c r="EK322" s="365">
        <v>0</v>
      </c>
      <c r="EL322" s="365">
        <v>0</v>
      </c>
      <c r="EM322" s="365">
        <v>0</v>
      </c>
      <c r="EN322" s="365">
        <v>0</v>
      </c>
      <c r="EO322" s="365">
        <v>0</v>
      </c>
      <c r="EP322" s="365">
        <v>0</v>
      </c>
      <c r="EQ322" s="365">
        <v>0</v>
      </c>
      <c r="ER322" s="365">
        <v>0</v>
      </c>
      <c r="ES322" s="365">
        <v>0</v>
      </c>
      <c r="ET322" s="365">
        <v>0</v>
      </c>
      <c r="EU322" s="365">
        <v>0</v>
      </c>
      <c r="EV322" s="436">
        <v>0</v>
      </c>
      <c r="EW322" s="436">
        <v>0</v>
      </c>
      <c r="EX322" s="436">
        <v>0</v>
      </c>
      <c r="EY322" s="436">
        <v>0</v>
      </c>
      <c r="EZ322" s="365">
        <v>0</v>
      </c>
      <c r="FA322" s="436">
        <v>0</v>
      </c>
      <c r="FB322" s="436">
        <v>0</v>
      </c>
      <c r="FC322" s="436">
        <v>0</v>
      </c>
      <c r="FD322" s="436">
        <v>0</v>
      </c>
      <c r="FE322" s="365">
        <v>0</v>
      </c>
      <c r="FF322" s="364">
        <v>0</v>
      </c>
      <c r="FG322" s="364">
        <v>0</v>
      </c>
      <c r="FH322" s="364">
        <v>0</v>
      </c>
      <c r="FI322" s="365">
        <v>0</v>
      </c>
      <c r="FJ322" s="365">
        <v>0</v>
      </c>
      <c r="FK322" s="365">
        <v>0</v>
      </c>
      <c r="FL322" s="365">
        <v>0</v>
      </c>
      <c r="FM322" s="365">
        <v>0</v>
      </c>
      <c r="FN322" s="365">
        <v>0</v>
      </c>
      <c r="FO322" s="365">
        <v>0</v>
      </c>
      <c r="FP322" s="365">
        <v>0</v>
      </c>
      <c r="FQ322" s="365">
        <v>0</v>
      </c>
      <c r="FR322" s="365">
        <v>0</v>
      </c>
      <c r="FS322" s="365">
        <v>0</v>
      </c>
      <c r="FT322" s="365">
        <v>0</v>
      </c>
      <c r="FU322" s="436">
        <v>0</v>
      </c>
      <c r="FV322" s="436">
        <v>0</v>
      </c>
      <c r="FW322" s="436">
        <v>0</v>
      </c>
      <c r="FX322" s="436">
        <v>0</v>
      </c>
      <c r="FY322" s="365">
        <v>0</v>
      </c>
      <c r="FZ322" s="436">
        <v>0</v>
      </c>
      <c r="GA322" s="436">
        <v>0</v>
      </c>
      <c r="GB322" s="436">
        <v>0</v>
      </c>
      <c r="GC322" s="436">
        <v>0</v>
      </c>
      <c r="GD322" s="365">
        <v>0</v>
      </c>
    </row>
    <row r="323" spans="1:186" ht="15" x14ac:dyDescent="0.25">
      <c r="A323" s="357">
        <v>102</v>
      </c>
      <c r="B323" s="357">
        <v>99</v>
      </c>
      <c r="C323" s="357" t="s">
        <v>1233</v>
      </c>
      <c r="D323" s="2">
        <v>99709</v>
      </c>
      <c r="E323" s="268" t="s">
        <v>1527</v>
      </c>
      <c r="F323" s="358" t="s">
        <v>985</v>
      </c>
      <c r="G323" s="49">
        <v>87</v>
      </c>
      <c r="H323" s="49">
        <v>59</v>
      </c>
      <c r="I323" s="49">
        <v>46</v>
      </c>
      <c r="J323" s="49">
        <v>13</v>
      </c>
      <c r="K323" s="49">
        <v>1</v>
      </c>
      <c r="L323" s="49">
        <v>6</v>
      </c>
      <c r="M323" s="49">
        <v>7</v>
      </c>
      <c r="N323" s="49">
        <v>0</v>
      </c>
      <c r="O323" s="49">
        <v>0</v>
      </c>
      <c r="P323" s="49">
        <v>0</v>
      </c>
      <c r="Q323" s="49">
        <v>7</v>
      </c>
      <c r="R323" s="49">
        <v>5438</v>
      </c>
      <c r="S323" s="49">
        <v>914.16666666666663</v>
      </c>
      <c r="T323" s="49">
        <v>1560.4285714285713</v>
      </c>
      <c r="U323" s="49">
        <v>0</v>
      </c>
      <c r="V323" s="49">
        <v>0</v>
      </c>
      <c r="W323" s="49">
        <v>0</v>
      </c>
      <c r="X323" s="49">
        <v>1560.4285714285713</v>
      </c>
      <c r="Y323" s="434">
        <v>10923</v>
      </c>
      <c r="Z323" s="434">
        <v>0</v>
      </c>
      <c r="AA323" s="49">
        <v>8.4285714285714288</v>
      </c>
      <c r="AB323" s="49">
        <v>50.571428571428569</v>
      </c>
      <c r="AC323" s="49">
        <v>0</v>
      </c>
      <c r="AD323" s="285">
        <v>0</v>
      </c>
      <c r="AE323" s="285">
        <v>0</v>
      </c>
      <c r="AF323" s="359">
        <v>59</v>
      </c>
      <c r="AG323" s="360">
        <v>6.5714285714285712</v>
      </c>
      <c r="AH323" s="360">
        <v>39.428571428571431</v>
      </c>
      <c r="AI323" s="361">
        <v>46</v>
      </c>
      <c r="AJ323" s="360">
        <v>0</v>
      </c>
      <c r="AK323" s="360">
        <v>8.0253350436366606</v>
      </c>
      <c r="AL323" s="360">
        <v>48.15201026181996</v>
      </c>
      <c r="AM323" s="360">
        <v>56.177345305456619</v>
      </c>
      <c r="AN323" s="360">
        <v>0</v>
      </c>
      <c r="AO323" s="360">
        <v>6.2688447041867015</v>
      </c>
      <c r="AP323" s="360">
        <v>37.613068225120209</v>
      </c>
      <c r="AQ323" s="360">
        <v>43.881912929306907</v>
      </c>
      <c r="AR323" s="360">
        <v>0</v>
      </c>
      <c r="AS323" s="360">
        <v>0</v>
      </c>
      <c r="AT323" s="360">
        <v>0</v>
      </c>
      <c r="AU323" s="360">
        <v>53.489730941839134</v>
      </c>
      <c r="AV323" s="360">
        <v>54.81706928882339</v>
      </c>
      <c r="AW323" s="360">
        <v>56.177345305456619</v>
      </c>
      <c r="AX323" s="360">
        <v>57.571376334268237</v>
      </c>
      <c r="AY323" s="360">
        <v>59</v>
      </c>
      <c r="AZ323" s="360">
        <v>41.861353963810281</v>
      </c>
      <c r="BA323" s="360">
        <v>42.859728064265873</v>
      </c>
      <c r="BB323" s="360">
        <v>43.881912929306914</v>
      </c>
      <c r="BC323" s="360">
        <v>44.928476434752575</v>
      </c>
      <c r="BD323" s="360">
        <v>46</v>
      </c>
      <c r="BE323" s="360">
        <v>0</v>
      </c>
      <c r="BF323" s="360">
        <v>0</v>
      </c>
      <c r="BG323" s="360">
        <v>0</v>
      </c>
      <c r="BH323" s="360">
        <v>0</v>
      </c>
      <c r="BI323" s="360">
        <v>0</v>
      </c>
      <c r="BJ323" s="362">
        <v>59.302235111659208</v>
      </c>
      <c r="BK323" s="362">
        <v>59.606018461669592</v>
      </c>
      <c r="BL323" s="362">
        <v>59.911357981081849</v>
      </c>
      <c r="BM323" s="363">
        <v>59.517467088175849</v>
      </c>
      <c r="BN323" s="363">
        <v>59.126165855072969</v>
      </c>
      <c r="BO323" s="363">
        <v>58.937356869591206</v>
      </c>
      <c r="BP323" s="363">
        <v>58.749150812313623</v>
      </c>
      <c r="BQ323" s="363">
        <v>58.561545757895296</v>
      </c>
      <c r="BR323" s="363">
        <v>58.374539787139568</v>
      </c>
      <c r="BS323" s="363">
        <v>58.1881309869784</v>
      </c>
      <c r="BT323" s="363">
        <v>58.618546720062355</v>
      </c>
      <c r="BU323" s="363">
        <v>59.052146224478086</v>
      </c>
      <c r="BV323" s="363">
        <v>59.488953050479729</v>
      </c>
      <c r="BW323" s="363">
        <v>59.928990922521884</v>
      </c>
      <c r="BX323" s="363">
        <v>60.372283740548127</v>
      </c>
      <c r="BY323" s="435">
        <v>60.615633361280651</v>
      </c>
      <c r="BZ323" s="435">
        <v>60.858982982013174</v>
      </c>
      <c r="CA323" s="435">
        <v>61.10233260274569</v>
      </c>
      <c r="CB323" s="435">
        <v>61.345682223478214</v>
      </c>
      <c r="CC323" s="363">
        <v>61.589031844210737</v>
      </c>
      <c r="CD323" s="435">
        <v>61.788506607215133</v>
      </c>
      <c r="CE323" s="435">
        <v>61.987981370219522</v>
      </c>
      <c r="CF323" s="435">
        <v>62.187456133223918</v>
      </c>
      <c r="CG323" s="435">
        <v>62.386930896228307</v>
      </c>
      <c r="CH323" s="363">
        <v>62.586405659232703</v>
      </c>
      <c r="CI323" s="362">
        <v>46.23564093451396</v>
      </c>
      <c r="CJ323" s="362">
        <v>46.472488970115279</v>
      </c>
      <c r="CK323" s="362">
        <v>46.710550290335</v>
      </c>
      <c r="CL323" s="363">
        <v>46.403448916204901</v>
      </c>
      <c r="CM323" s="363">
        <v>46.098366598870449</v>
      </c>
      <c r="CN323" s="363">
        <v>45.951159593240604</v>
      </c>
      <c r="CO323" s="363">
        <v>45.80442266722757</v>
      </c>
      <c r="CP323" s="363">
        <v>45.658154319714974</v>
      </c>
      <c r="CQ323" s="363">
        <v>45.51235305438</v>
      </c>
      <c r="CR323" s="363">
        <v>45.367017379678074</v>
      </c>
      <c r="CS323" s="363">
        <v>45.702595747845223</v>
      </c>
      <c r="CT323" s="363">
        <v>46.040656378406645</v>
      </c>
      <c r="CU323" s="363">
        <v>46.38121763257741</v>
      </c>
      <c r="CV323" s="363">
        <v>46.72429800738994</v>
      </c>
      <c r="CW323" s="363">
        <v>47.069916136698538</v>
      </c>
      <c r="CX323" s="435">
        <v>47.259646349473044</v>
      </c>
      <c r="CY323" s="435">
        <v>47.449376562247558</v>
      </c>
      <c r="CZ323" s="435">
        <v>47.639106775022064</v>
      </c>
      <c r="DA323" s="435">
        <v>47.828836987796578</v>
      </c>
      <c r="DB323" s="363">
        <v>48.018567200571084</v>
      </c>
      <c r="DC323" s="435">
        <v>48.174089897150779</v>
      </c>
      <c r="DD323" s="435">
        <v>48.329612593730474</v>
      </c>
      <c r="DE323" s="435">
        <v>48.485135290310176</v>
      </c>
      <c r="DF323" s="435">
        <v>48.64065798688987</v>
      </c>
      <c r="DG323" s="363">
        <v>48.796180683469565</v>
      </c>
      <c r="DH323" s="362">
        <v>0</v>
      </c>
      <c r="DI323" s="362">
        <v>0</v>
      </c>
      <c r="DJ323" s="362">
        <v>0</v>
      </c>
      <c r="DK323" s="363">
        <v>0</v>
      </c>
      <c r="DL323" s="363">
        <v>0</v>
      </c>
      <c r="DM323" s="363">
        <v>0</v>
      </c>
      <c r="DN323" s="363">
        <v>0</v>
      </c>
      <c r="DO323" s="363">
        <v>0</v>
      </c>
      <c r="DP323" s="363">
        <v>0</v>
      </c>
      <c r="DQ323" s="363">
        <v>0</v>
      </c>
      <c r="DR323" s="363">
        <v>0</v>
      </c>
      <c r="DS323" s="363">
        <v>0</v>
      </c>
      <c r="DT323" s="363">
        <v>0</v>
      </c>
      <c r="DU323" s="363">
        <v>0</v>
      </c>
      <c r="DV323" s="363">
        <v>0</v>
      </c>
      <c r="DW323" s="435">
        <v>0</v>
      </c>
      <c r="DX323" s="435">
        <v>0</v>
      </c>
      <c r="DY323" s="435">
        <v>0</v>
      </c>
      <c r="DZ323" s="435">
        <v>0</v>
      </c>
      <c r="EA323" s="363">
        <v>0</v>
      </c>
      <c r="EB323" s="435">
        <v>0</v>
      </c>
      <c r="EC323" s="435">
        <v>0</v>
      </c>
      <c r="ED323" s="435">
        <v>0</v>
      </c>
      <c r="EE323" s="435">
        <v>0</v>
      </c>
      <c r="EF323" s="363">
        <v>0</v>
      </c>
      <c r="EG323" s="364">
        <v>0</v>
      </c>
      <c r="EH323" s="364">
        <v>0</v>
      </c>
      <c r="EI323" s="364">
        <v>0</v>
      </c>
      <c r="EJ323" s="365">
        <v>0</v>
      </c>
      <c r="EK323" s="365">
        <v>0</v>
      </c>
      <c r="EL323" s="365">
        <v>0</v>
      </c>
      <c r="EM323" s="365">
        <v>0</v>
      </c>
      <c r="EN323" s="365">
        <v>0</v>
      </c>
      <c r="EO323" s="365">
        <v>0</v>
      </c>
      <c r="EP323" s="365">
        <v>0</v>
      </c>
      <c r="EQ323" s="365">
        <v>0</v>
      </c>
      <c r="ER323" s="365">
        <v>0</v>
      </c>
      <c r="ES323" s="365">
        <v>0</v>
      </c>
      <c r="ET323" s="365">
        <v>0</v>
      </c>
      <c r="EU323" s="365">
        <v>0</v>
      </c>
      <c r="EV323" s="436">
        <v>0</v>
      </c>
      <c r="EW323" s="436">
        <v>0</v>
      </c>
      <c r="EX323" s="436">
        <v>0</v>
      </c>
      <c r="EY323" s="436">
        <v>0</v>
      </c>
      <c r="EZ323" s="365">
        <v>0</v>
      </c>
      <c r="FA323" s="436">
        <v>0</v>
      </c>
      <c r="FB323" s="436">
        <v>0</v>
      </c>
      <c r="FC323" s="436">
        <v>0</v>
      </c>
      <c r="FD323" s="436">
        <v>0</v>
      </c>
      <c r="FE323" s="365">
        <v>0</v>
      </c>
      <c r="FF323" s="364">
        <v>0</v>
      </c>
      <c r="FG323" s="364">
        <v>0</v>
      </c>
      <c r="FH323" s="364">
        <v>0</v>
      </c>
      <c r="FI323" s="365">
        <v>0</v>
      </c>
      <c r="FJ323" s="365">
        <v>0</v>
      </c>
      <c r="FK323" s="365">
        <v>0</v>
      </c>
      <c r="FL323" s="365">
        <v>0</v>
      </c>
      <c r="FM323" s="365">
        <v>0</v>
      </c>
      <c r="FN323" s="365">
        <v>0</v>
      </c>
      <c r="FO323" s="365">
        <v>0</v>
      </c>
      <c r="FP323" s="365">
        <v>0</v>
      </c>
      <c r="FQ323" s="365">
        <v>0</v>
      </c>
      <c r="FR323" s="365">
        <v>0</v>
      </c>
      <c r="FS323" s="365">
        <v>0</v>
      </c>
      <c r="FT323" s="365">
        <v>0</v>
      </c>
      <c r="FU323" s="436">
        <v>0</v>
      </c>
      <c r="FV323" s="436">
        <v>0</v>
      </c>
      <c r="FW323" s="436">
        <v>0</v>
      </c>
      <c r="FX323" s="436">
        <v>0</v>
      </c>
      <c r="FY323" s="365">
        <v>0</v>
      </c>
      <c r="FZ323" s="436">
        <v>0</v>
      </c>
      <c r="GA323" s="436">
        <v>0</v>
      </c>
      <c r="GB323" s="436">
        <v>0</v>
      </c>
      <c r="GC323" s="436">
        <v>0</v>
      </c>
      <c r="GD323" s="365">
        <v>0</v>
      </c>
    </row>
    <row r="324" spans="1:186" ht="15" x14ac:dyDescent="0.25">
      <c r="A324" s="357">
        <v>103</v>
      </c>
      <c r="B324" s="357">
        <v>99</v>
      </c>
      <c r="C324" s="357" t="s">
        <v>1234</v>
      </c>
      <c r="D324" s="2">
        <v>99709</v>
      </c>
      <c r="E324" s="268" t="s">
        <v>1527</v>
      </c>
      <c r="F324" s="358" t="s">
        <v>985</v>
      </c>
      <c r="G324" s="49">
        <v>66</v>
      </c>
      <c r="H324" s="49">
        <v>36</v>
      </c>
      <c r="I324" s="49">
        <v>25</v>
      </c>
      <c r="J324" s="49">
        <v>11</v>
      </c>
      <c r="K324" s="49">
        <v>0</v>
      </c>
      <c r="L324" s="49">
        <v>38</v>
      </c>
      <c r="M324" s="49">
        <v>38</v>
      </c>
      <c r="N324" s="49">
        <v>1</v>
      </c>
      <c r="O324" s="49">
        <v>0</v>
      </c>
      <c r="P324" s="49">
        <v>0</v>
      </c>
      <c r="Q324" s="49">
        <v>39</v>
      </c>
      <c r="R324" s="49">
        <v>0</v>
      </c>
      <c r="S324" s="49">
        <v>1025.4736842105262</v>
      </c>
      <c r="T324" s="49">
        <v>1025.4736842105262</v>
      </c>
      <c r="U324" s="49">
        <v>640</v>
      </c>
      <c r="V324" s="49">
        <v>0</v>
      </c>
      <c r="W324" s="49">
        <v>0</v>
      </c>
      <c r="X324" s="49">
        <v>1015.5897435897435</v>
      </c>
      <c r="Y324" s="434">
        <v>38968</v>
      </c>
      <c r="Z324" s="434">
        <v>640</v>
      </c>
      <c r="AA324" s="49">
        <v>0</v>
      </c>
      <c r="AB324" s="49">
        <v>36</v>
      </c>
      <c r="AC324" s="49">
        <v>0</v>
      </c>
      <c r="AD324" s="285">
        <v>1</v>
      </c>
      <c r="AE324" s="285">
        <v>0</v>
      </c>
      <c r="AF324" s="359">
        <v>37</v>
      </c>
      <c r="AG324" s="360">
        <v>0</v>
      </c>
      <c r="AH324" s="360">
        <v>25</v>
      </c>
      <c r="AI324" s="361">
        <v>25</v>
      </c>
      <c r="AJ324" s="360">
        <v>0</v>
      </c>
      <c r="AK324" s="360">
        <v>0</v>
      </c>
      <c r="AL324" s="360">
        <v>34.27770222027862</v>
      </c>
      <c r="AM324" s="360">
        <v>34.27770222027862</v>
      </c>
      <c r="AN324" s="360">
        <v>0</v>
      </c>
      <c r="AO324" s="360">
        <v>0</v>
      </c>
      <c r="AP324" s="360">
        <v>23.848865722449407</v>
      </c>
      <c r="AQ324" s="360">
        <v>23.848865722449407</v>
      </c>
      <c r="AR324" s="360">
        <v>0</v>
      </c>
      <c r="AS324" s="360">
        <v>0.95966573850124082</v>
      </c>
      <c r="AT324" s="360">
        <v>0</v>
      </c>
      <c r="AU324" s="360">
        <v>32.637801930613712</v>
      </c>
      <c r="AV324" s="360">
        <v>33.447703294875289</v>
      </c>
      <c r="AW324" s="360">
        <v>34.27770222027862</v>
      </c>
      <c r="AX324" s="360">
        <v>35.128297424299262</v>
      </c>
      <c r="AY324" s="360">
        <v>36</v>
      </c>
      <c r="AZ324" s="360">
        <v>22.750735849896891</v>
      </c>
      <c r="BA324" s="360">
        <v>23.293330469709716</v>
      </c>
      <c r="BB324" s="360">
        <v>23.848865722449407</v>
      </c>
      <c r="BC324" s="360">
        <v>24.417650236278575</v>
      </c>
      <c r="BD324" s="360">
        <v>25</v>
      </c>
      <c r="BE324" s="360">
        <v>0.92095832965313207</v>
      </c>
      <c r="BF324" s="360">
        <v>0.94011284192667122</v>
      </c>
      <c r="BG324" s="360">
        <v>0.95966573850124082</v>
      </c>
      <c r="BH324" s="360">
        <v>0.97962530515561963</v>
      </c>
      <c r="BI324" s="360">
        <v>1</v>
      </c>
      <c r="BJ324" s="362">
        <v>36.184414644402224</v>
      </c>
      <c r="BK324" s="362">
        <v>36.369773976611953</v>
      </c>
      <c r="BL324" s="362">
        <v>36.556082835914353</v>
      </c>
      <c r="BM324" s="363">
        <v>36.315742630073402</v>
      </c>
      <c r="BN324" s="363">
        <v>36.076982555637748</v>
      </c>
      <c r="BO324" s="363">
        <v>35.961777072970911</v>
      </c>
      <c r="BP324" s="363">
        <v>35.846939478699845</v>
      </c>
      <c r="BQ324" s="363">
        <v>35.732468598037812</v>
      </c>
      <c r="BR324" s="363">
        <v>35.618363259949575</v>
      </c>
      <c r="BS324" s="363">
        <v>35.504622297139363</v>
      </c>
      <c r="BT324" s="363">
        <v>35.767248846139744</v>
      </c>
      <c r="BU324" s="363">
        <v>36.031818035274767</v>
      </c>
      <c r="BV324" s="363">
        <v>36.298344234191021</v>
      </c>
      <c r="BW324" s="363">
        <v>36.566841918826917</v>
      </c>
      <c r="BX324" s="363">
        <v>36.837325672198865</v>
      </c>
      <c r="BY324" s="435">
        <v>36.985810186544136</v>
      </c>
      <c r="BZ324" s="435">
        <v>37.134294700889399</v>
      </c>
      <c r="CA324" s="435">
        <v>37.282779215234669</v>
      </c>
      <c r="CB324" s="435">
        <v>37.431263729579932</v>
      </c>
      <c r="CC324" s="363">
        <v>37.579748243925202</v>
      </c>
      <c r="CD324" s="435">
        <v>37.701461658639744</v>
      </c>
      <c r="CE324" s="435">
        <v>37.823175073354292</v>
      </c>
      <c r="CF324" s="435">
        <v>37.944888488068834</v>
      </c>
      <c r="CG324" s="435">
        <v>38.066601902783383</v>
      </c>
      <c r="CH324" s="363">
        <v>38.188315317497924</v>
      </c>
      <c r="CI324" s="362">
        <v>25.128065725279324</v>
      </c>
      <c r="CJ324" s="362">
        <v>25.256787483758302</v>
      </c>
      <c r="CK324" s="362">
        <v>25.386168636051632</v>
      </c>
      <c r="CL324" s="363">
        <v>25.219265715328749</v>
      </c>
      <c r="CM324" s="363">
        <v>25.053460108081769</v>
      </c>
      <c r="CN324" s="363">
        <v>24.973456300674243</v>
      </c>
      <c r="CO324" s="363">
        <v>24.893707971319333</v>
      </c>
      <c r="CP324" s="363">
        <v>24.814214304192923</v>
      </c>
      <c r="CQ324" s="363">
        <v>24.734974486076091</v>
      </c>
      <c r="CR324" s="363">
        <v>24.655987706346782</v>
      </c>
      <c r="CS324" s="363">
        <v>24.838367254263712</v>
      </c>
      <c r="CT324" s="363">
        <v>25.022095857829701</v>
      </c>
      <c r="CU324" s="363">
        <v>25.207183495965985</v>
      </c>
      <c r="CV324" s="363">
        <v>25.39364022140758</v>
      </c>
      <c r="CW324" s="363">
        <v>25.58147616124921</v>
      </c>
      <c r="CX324" s="435">
        <v>25.684590407322311</v>
      </c>
      <c r="CY324" s="435">
        <v>25.787704653395416</v>
      </c>
      <c r="CZ324" s="435">
        <v>25.890818899468517</v>
      </c>
      <c r="DA324" s="435">
        <v>25.993933145541622</v>
      </c>
      <c r="DB324" s="363">
        <v>26.097047391614723</v>
      </c>
      <c r="DC324" s="435">
        <v>26.181570596277602</v>
      </c>
      <c r="DD324" s="435">
        <v>26.266093800940478</v>
      </c>
      <c r="DE324" s="435">
        <v>26.350617005603358</v>
      </c>
      <c r="DF324" s="435">
        <v>26.435140210266233</v>
      </c>
      <c r="DG324" s="363">
        <v>26.519663414929113</v>
      </c>
      <c r="DH324" s="362">
        <v>1.005122629011173</v>
      </c>
      <c r="DI324" s="362">
        <v>1.0102714993503321</v>
      </c>
      <c r="DJ324" s="362">
        <v>1.0154467454420653</v>
      </c>
      <c r="DK324" s="363">
        <v>1.0087706286131499</v>
      </c>
      <c r="DL324" s="363">
        <v>1.0021384043232706</v>
      </c>
      <c r="DM324" s="363">
        <v>0.99893825202696962</v>
      </c>
      <c r="DN324" s="363">
        <v>0.99574831885277337</v>
      </c>
      <c r="DO324" s="363">
        <v>0.99256857216771699</v>
      </c>
      <c r="DP324" s="363">
        <v>0.98939897944304356</v>
      </c>
      <c r="DQ324" s="363">
        <v>0.98623950825387119</v>
      </c>
      <c r="DR324" s="363">
        <v>0.99353469017054841</v>
      </c>
      <c r="DS324" s="363">
        <v>1.0008838343131881</v>
      </c>
      <c r="DT324" s="363">
        <v>1.0082873398386394</v>
      </c>
      <c r="DU324" s="363">
        <v>1.0157456088563031</v>
      </c>
      <c r="DV324" s="363">
        <v>1.0232590464499682</v>
      </c>
      <c r="DW324" s="435">
        <v>1.0273836162928924</v>
      </c>
      <c r="DX324" s="435">
        <v>1.0315081861358164</v>
      </c>
      <c r="DY324" s="435">
        <v>1.0356327559787406</v>
      </c>
      <c r="DZ324" s="435">
        <v>1.0397573258216646</v>
      </c>
      <c r="EA324" s="363">
        <v>1.0438818956645888</v>
      </c>
      <c r="EB324" s="435">
        <v>1.0472628238511039</v>
      </c>
      <c r="EC324" s="435">
        <v>1.0506437520376191</v>
      </c>
      <c r="ED324" s="435">
        <v>1.0540246802241342</v>
      </c>
      <c r="EE324" s="435">
        <v>1.0574056084106493</v>
      </c>
      <c r="EF324" s="363">
        <v>1.0607865365971645</v>
      </c>
      <c r="EG324" s="364">
        <v>0</v>
      </c>
      <c r="EH324" s="364">
        <v>0</v>
      </c>
      <c r="EI324" s="364">
        <v>0</v>
      </c>
      <c r="EJ324" s="365">
        <v>0</v>
      </c>
      <c r="EK324" s="365">
        <v>0</v>
      </c>
      <c r="EL324" s="365">
        <v>0</v>
      </c>
      <c r="EM324" s="365">
        <v>0</v>
      </c>
      <c r="EN324" s="365">
        <v>0</v>
      </c>
      <c r="EO324" s="365">
        <v>0</v>
      </c>
      <c r="EP324" s="365">
        <v>0</v>
      </c>
      <c r="EQ324" s="365">
        <v>0</v>
      </c>
      <c r="ER324" s="365">
        <v>0</v>
      </c>
      <c r="ES324" s="365">
        <v>0</v>
      </c>
      <c r="ET324" s="365">
        <v>0</v>
      </c>
      <c r="EU324" s="365">
        <v>0</v>
      </c>
      <c r="EV324" s="436">
        <v>0</v>
      </c>
      <c r="EW324" s="436">
        <v>0</v>
      </c>
      <c r="EX324" s="436">
        <v>0</v>
      </c>
      <c r="EY324" s="436">
        <v>0</v>
      </c>
      <c r="EZ324" s="365">
        <v>0</v>
      </c>
      <c r="FA324" s="436">
        <v>0</v>
      </c>
      <c r="FB324" s="436">
        <v>0</v>
      </c>
      <c r="FC324" s="436">
        <v>0</v>
      </c>
      <c r="FD324" s="436">
        <v>0</v>
      </c>
      <c r="FE324" s="365">
        <v>0</v>
      </c>
      <c r="FF324" s="364">
        <v>0</v>
      </c>
      <c r="FG324" s="364">
        <v>0</v>
      </c>
      <c r="FH324" s="364">
        <v>0</v>
      </c>
      <c r="FI324" s="365">
        <v>0</v>
      </c>
      <c r="FJ324" s="365">
        <v>0</v>
      </c>
      <c r="FK324" s="365">
        <v>0</v>
      </c>
      <c r="FL324" s="365">
        <v>0</v>
      </c>
      <c r="FM324" s="365">
        <v>0</v>
      </c>
      <c r="FN324" s="365">
        <v>0</v>
      </c>
      <c r="FO324" s="365">
        <v>0</v>
      </c>
      <c r="FP324" s="365">
        <v>0</v>
      </c>
      <c r="FQ324" s="365">
        <v>0</v>
      </c>
      <c r="FR324" s="365">
        <v>0</v>
      </c>
      <c r="FS324" s="365">
        <v>0</v>
      </c>
      <c r="FT324" s="365">
        <v>0</v>
      </c>
      <c r="FU324" s="436">
        <v>0</v>
      </c>
      <c r="FV324" s="436">
        <v>0</v>
      </c>
      <c r="FW324" s="436">
        <v>0</v>
      </c>
      <c r="FX324" s="436">
        <v>0</v>
      </c>
      <c r="FY324" s="365">
        <v>0</v>
      </c>
      <c r="FZ324" s="436">
        <v>0</v>
      </c>
      <c r="GA324" s="436">
        <v>0</v>
      </c>
      <c r="GB324" s="436">
        <v>0</v>
      </c>
      <c r="GC324" s="436">
        <v>0</v>
      </c>
      <c r="GD324" s="365">
        <v>0</v>
      </c>
    </row>
    <row r="325" spans="1:186" ht="15" x14ac:dyDescent="0.25">
      <c r="A325" s="357">
        <v>104</v>
      </c>
      <c r="B325" s="357">
        <v>99</v>
      </c>
      <c r="C325" s="357" t="s">
        <v>1235</v>
      </c>
      <c r="D325" s="2">
        <v>99709</v>
      </c>
      <c r="E325" s="268" t="s">
        <v>1527</v>
      </c>
      <c r="F325" s="358" t="s">
        <v>985</v>
      </c>
      <c r="G325" s="49">
        <v>191</v>
      </c>
      <c r="H325" s="49">
        <v>109</v>
      </c>
      <c r="I325" s="49">
        <v>103</v>
      </c>
      <c r="J325" s="49">
        <v>6</v>
      </c>
      <c r="K325" s="49">
        <v>0</v>
      </c>
      <c r="L325" s="49">
        <v>30</v>
      </c>
      <c r="M325" s="49">
        <v>30</v>
      </c>
      <c r="N325" s="49">
        <v>0</v>
      </c>
      <c r="O325" s="49">
        <v>0</v>
      </c>
      <c r="P325" s="49">
        <v>0</v>
      </c>
      <c r="Q325" s="49">
        <v>30</v>
      </c>
      <c r="R325" s="49">
        <v>0</v>
      </c>
      <c r="S325" s="49">
        <v>1000.6</v>
      </c>
      <c r="T325" s="49">
        <v>1000.6</v>
      </c>
      <c r="U325" s="49">
        <v>0</v>
      </c>
      <c r="V325" s="49">
        <v>0</v>
      </c>
      <c r="W325" s="49">
        <v>0</v>
      </c>
      <c r="X325" s="49">
        <v>1000.6</v>
      </c>
      <c r="Y325" s="434">
        <v>30018</v>
      </c>
      <c r="Z325" s="434">
        <v>0</v>
      </c>
      <c r="AA325" s="49">
        <v>0</v>
      </c>
      <c r="AB325" s="49">
        <v>109</v>
      </c>
      <c r="AC325" s="49">
        <v>0</v>
      </c>
      <c r="AD325" s="285">
        <v>0</v>
      </c>
      <c r="AE325" s="285">
        <v>0</v>
      </c>
      <c r="AF325" s="359">
        <v>109</v>
      </c>
      <c r="AG325" s="360">
        <v>0</v>
      </c>
      <c r="AH325" s="360">
        <v>103</v>
      </c>
      <c r="AI325" s="361">
        <v>103</v>
      </c>
      <c r="AJ325" s="360">
        <v>0</v>
      </c>
      <c r="AK325" s="360">
        <v>0</v>
      </c>
      <c r="AL325" s="360">
        <v>103.7852650558436</v>
      </c>
      <c r="AM325" s="360">
        <v>103.7852650558436</v>
      </c>
      <c r="AN325" s="360">
        <v>0</v>
      </c>
      <c r="AO325" s="360">
        <v>0</v>
      </c>
      <c r="AP325" s="360">
        <v>98.257326776491567</v>
      </c>
      <c r="AQ325" s="360">
        <v>98.257326776491567</v>
      </c>
      <c r="AR325" s="360">
        <v>0</v>
      </c>
      <c r="AS325" s="360">
        <v>0</v>
      </c>
      <c r="AT325" s="360">
        <v>0</v>
      </c>
      <c r="AU325" s="360">
        <v>98.820011401024843</v>
      </c>
      <c r="AV325" s="360">
        <v>101.27221275392796</v>
      </c>
      <c r="AW325" s="360">
        <v>103.7852650558436</v>
      </c>
      <c r="AX325" s="360">
        <v>106.36067831246166</v>
      </c>
      <c r="AY325" s="360">
        <v>109</v>
      </c>
      <c r="AZ325" s="360">
        <v>93.733031701575186</v>
      </c>
      <c r="BA325" s="360">
        <v>95.968521535204019</v>
      </c>
      <c r="BB325" s="360">
        <v>98.257326776491567</v>
      </c>
      <c r="BC325" s="360">
        <v>100.60071897346774</v>
      </c>
      <c r="BD325" s="360">
        <v>103</v>
      </c>
      <c r="BE325" s="360">
        <v>0</v>
      </c>
      <c r="BF325" s="360">
        <v>0</v>
      </c>
      <c r="BG325" s="360">
        <v>0</v>
      </c>
      <c r="BH325" s="360">
        <v>0</v>
      </c>
      <c r="BI325" s="360">
        <v>0</v>
      </c>
      <c r="BJ325" s="362">
        <v>109.55836656221786</v>
      </c>
      <c r="BK325" s="362">
        <v>110.1195934291862</v>
      </c>
      <c r="BL325" s="362">
        <v>110.68369525318511</v>
      </c>
      <c r="BM325" s="363">
        <v>109.95599851883334</v>
      </c>
      <c r="BN325" s="363">
        <v>109.2330860712365</v>
      </c>
      <c r="BO325" s="363">
        <v>108.88426947093969</v>
      </c>
      <c r="BP325" s="363">
        <v>108.53656675495229</v>
      </c>
      <c r="BQ325" s="363">
        <v>108.18997436628113</v>
      </c>
      <c r="BR325" s="363">
        <v>107.84448875929175</v>
      </c>
      <c r="BS325" s="363">
        <v>107.50010639967195</v>
      </c>
      <c r="BT325" s="363">
        <v>108.29528122858977</v>
      </c>
      <c r="BU325" s="363">
        <v>109.09633794013749</v>
      </c>
      <c r="BV325" s="363">
        <v>109.90332004241169</v>
      </c>
      <c r="BW325" s="363">
        <v>110.71627136533704</v>
      </c>
      <c r="BX325" s="363">
        <v>111.53523606304654</v>
      </c>
      <c r="BY325" s="435">
        <v>111.98481417592527</v>
      </c>
      <c r="BZ325" s="435">
        <v>112.43439228880399</v>
      </c>
      <c r="CA325" s="435">
        <v>112.88397040168273</v>
      </c>
      <c r="CB325" s="435">
        <v>113.33354851456146</v>
      </c>
      <c r="CC325" s="363">
        <v>113.78312662744018</v>
      </c>
      <c r="CD325" s="435">
        <v>114.15164779977033</v>
      </c>
      <c r="CE325" s="435">
        <v>114.52016897210048</v>
      </c>
      <c r="CF325" s="435">
        <v>114.88869014443063</v>
      </c>
      <c r="CG325" s="435">
        <v>115.25721131676077</v>
      </c>
      <c r="CH325" s="363">
        <v>115.62573248909092</v>
      </c>
      <c r="CI325" s="362">
        <v>103.52763078815082</v>
      </c>
      <c r="CJ325" s="362">
        <v>104.05796443308421</v>
      </c>
      <c r="CK325" s="362">
        <v>104.59101478053272</v>
      </c>
      <c r="CL325" s="363">
        <v>103.90337474715444</v>
      </c>
      <c r="CM325" s="363">
        <v>103.22025564529687</v>
      </c>
      <c r="CN325" s="363">
        <v>102.89063995877787</v>
      </c>
      <c r="CO325" s="363">
        <v>102.56207684183565</v>
      </c>
      <c r="CP325" s="363">
        <v>102.23456293327484</v>
      </c>
      <c r="CQ325" s="363">
        <v>101.90809488263348</v>
      </c>
      <c r="CR325" s="363">
        <v>101.58266935014873</v>
      </c>
      <c r="CS325" s="363">
        <v>102.33407308756648</v>
      </c>
      <c r="CT325" s="363">
        <v>103.09103493425836</v>
      </c>
      <c r="CU325" s="363">
        <v>103.85359600337986</v>
      </c>
      <c r="CV325" s="363">
        <v>104.62179771219921</v>
      </c>
      <c r="CW325" s="363">
        <v>105.39568178434673</v>
      </c>
      <c r="CX325" s="435">
        <v>105.82051247816791</v>
      </c>
      <c r="CY325" s="435">
        <v>106.24534317198909</v>
      </c>
      <c r="CZ325" s="435">
        <v>106.67017386581028</v>
      </c>
      <c r="DA325" s="435">
        <v>107.09500455963146</v>
      </c>
      <c r="DB325" s="363">
        <v>107.51983525345264</v>
      </c>
      <c r="DC325" s="435">
        <v>107.86807085666369</v>
      </c>
      <c r="DD325" s="435">
        <v>108.21630645987476</v>
      </c>
      <c r="DE325" s="435">
        <v>108.56454206308581</v>
      </c>
      <c r="DF325" s="435">
        <v>108.91277766629688</v>
      </c>
      <c r="DG325" s="363">
        <v>109.26101326950793</v>
      </c>
      <c r="DH325" s="362">
        <v>0</v>
      </c>
      <c r="DI325" s="362">
        <v>0</v>
      </c>
      <c r="DJ325" s="362">
        <v>0</v>
      </c>
      <c r="DK325" s="363">
        <v>0</v>
      </c>
      <c r="DL325" s="363">
        <v>0</v>
      </c>
      <c r="DM325" s="363">
        <v>0</v>
      </c>
      <c r="DN325" s="363">
        <v>0</v>
      </c>
      <c r="DO325" s="363">
        <v>0</v>
      </c>
      <c r="DP325" s="363">
        <v>0</v>
      </c>
      <c r="DQ325" s="363">
        <v>0</v>
      </c>
      <c r="DR325" s="363">
        <v>0</v>
      </c>
      <c r="DS325" s="363">
        <v>0</v>
      </c>
      <c r="DT325" s="363">
        <v>0</v>
      </c>
      <c r="DU325" s="363">
        <v>0</v>
      </c>
      <c r="DV325" s="363">
        <v>0</v>
      </c>
      <c r="DW325" s="435">
        <v>0</v>
      </c>
      <c r="DX325" s="435">
        <v>0</v>
      </c>
      <c r="DY325" s="435">
        <v>0</v>
      </c>
      <c r="DZ325" s="435">
        <v>0</v>
      </c>
      <c r="EA325" s="363">
        <v>0</v>
      </c>
      <c r="EB325" s="435">
        <v>0</v>
      </c>
      <c r="EC325" s="435">
        <v>0</v>
      </c>
      <c r="ED325" s="435">
        <v>0</v>
      </c>
      <c r="EE325" s="435">
        <v>0</v>
      </c>
      <c r="EF325" s="363">
        <v>0</v>
      </c>
      <c r="EG325" s="364">
        <v>0</v>
      </c>
      <c r="EH325" s="364">
        <v>0</v>
      </c>
      <c r="EI325" s="364">
        <v>0</v>
      </c>
      <c r="EJ325" s="365">
        <v>0</v>
      </c>
      <c r="EK325" s="365">
        <v>0</v>
      </c>
      <c r="EL325" s="365">
        <v>0</v>
      </c>
      <c r="EM325" s="365">
        <v>0</v>
      </c>
      <c r="EN325" s="365">
        <v>0</v>
      </c>
      <c r="EO325" s="365">
        <v>0</v>
      </c>
      <c r="EP325" s="365">
        <v>0</v>
      </c>
      <c r="EQ325" s="365">
        <v>0</v>
      </c>
      <c r="ER325" s="365">
        <v>0</v>
      </c>
      <c r="ES325" s="365">
        <v>0</v>
      </c>
      <c r="ET325" s="365">
        <v>0</v>
      </c>
      <c r="EU325" s="365">
        <v>0</v>
      </c>
      <c r="EV325" s="436">
        <v>0</v>
      </c>
      <c r="EW325" s="436">
        <v>0</v>
      </c>
      <c r="EX325" s="436">
        <v>0</v>
      </c>
      <c r="EY325" s="436">
        <v>0</v>
      </c>
      <c r="EZ325" s="365">
        <v>0</v>
      </c>
      <c r="FA325" s="436">
        <v>0</v>
      </c>
      <c r="FB325" s="436">
        <v>0</v>
      </c>
      <c r="FC325" s="436">
        <v>0</v>
      </c>
      <c r="FD325" s="436">
        <v>0</v>
      </c>
      <c r="FE325" s="365">
        <v>0</v>
      </c>
      <c r="FF325" s="364">
        <v>0</v>
      </c>
      <c r="FG325" s="364">
        <v>0</v>
      </c>
      <c r="FH325" s="364">
        <v>0</v>
      </c>
      <c r="FI325" s="365">
        <v>0</v>
      </c>
      <c r="FJ325" s="365">
        <v>0</v>
      </c>
      <c r="FK325" s="365">
        <v>0</v>
      </c>
      <c r="FL325" s="365">
        <v>0</v>
      </c>
      <c r="FM325" s="365">
        <v>0</v>
      </c>
      <c r="FN325" s="365">
        <v>0</v>
      </c>
      <c r="FO325" s="365">
        <v>0</v>
      </c>
      <c r="FP325" s="365">
        <v>0</v>
      </c>
      <c r="FQ325" s="365">
        <v>0</v>
      </c>
      <c r="FR325" s="365">
        <v>0</v>
      </c>
      <c r="FS325" s="365">
        <v>0</v>
      </c>
      <c r="FT325" s="365">
        <v>0</v>
      </c>
      <c r="FU325" s="436">
        <v>0</v>
      </c>
      <c r="FV325" s="436">
        <v>0</v>
      </c>
      <c r="FW325" s="436">
        <v>0</v>
      </c>
      <c r="FX325" s="436">
        <v>0</v>
      </c>
      <c r="FY325" s="365">
        <v>0</v>
      </c>
      <c r="FZ325" s="436">
        <v>0</v>
      </c>
      <c r="GA325" s="436">
        <v>0</v>
      </c>
      <c r="GB325" s="436">
        <v>0</v>
      </c>
      <c r="GC325" s="436">
        <v>0</v>
      </c>
      <c r="GD325" s="365">
        <v>0</v>
      </c>
    </row>
    <row r="326" spans="1:186" ht="15" x14ac:dyDescent="0.25">
      <c r="A326" s="357">
        <v>105</v>
      </c>
      <c r="B326" s="357">
        <v>99</v>
      </c>
      <c r="C326" s="357" t="s">
        <v>1236</v>
      </c>
      <c r="D326" s="2">
        <v>99709</v>
      </c>
      <c r="E326" s="268" t="s">
        <v>1527</v>
      </c>
      <c r="F326" s="358" t="s">
        <v>985</v>
      </c>
      <c r="G326" s="49">
        <v>6</v>
      </c>
      <c r="H326" s="49">
        <v>4</v>
      </c>
      <c r="I326" s="49">
        <v>4</v>
      </c>
      <c r="J326" s="49">
        <v>0</v>
      </c>
      <c r="K326" s="49">
        <v>0</v>
      </c>
      <c r="L326" s="49">
        <v>32</v>
      </c>
      <c r="M326" s="49">
        <v>32</v>
      </c>
      <c r="N326" s="49">
        <v>0</v>
      </c>
      <c r="O326" s="49">
        <v>0</v>
      </c>
      <c r="P326" s="49">
        <v>0</v>
      </c>
      <c r="Q326" s="49">
        <v>32</v>
      </c>
      <c r="R326" s="49">
        <v>0</v>
      </c>
      <c r="S326" s="49">
        <v>2286.09375</v>
      </c>
      <c r="T326" s="49">
        <v>2286.09375</v>
      </c>
      <c r="U326" s="49">
        <v>0</v>
      </c>
      <c r="V326" s="49">
        <v>0</v>
      </c>
      <c r="W326" s="49">
        <v>0</v>
      </c>
      <c r="X326" s="49">
        <v>2286.09375</v>
      </c>
      <c r="Y326" s="434">
        <v>73155</v>
      </c>
      <c r="Z326" s="434">
        <v>0</v>
      </c>
      <c r="AA326" s="49">
        <v>0</v>
      </c>
      <c r="AB326" s="49">
        <v>4</v>
      </c>
      <c r="AC326" s="49">
        <v>0</v>
      </c>
      <c r="AD326" s="285">
        <v>0</v>
      </c>
      <c r="AE326" s="285">
        <v>0</v>
      </c>
      <c r="AF326" s="359">
        <v>4</v>
      </c>
      <c r="AG326" s="360">
        <v>0</v>
      </c>
      <c r="AH326" s="360">
        <v>4</v>
      </c>
      <c r="AI326" s="361">
        <v>4</v>
      </c>
      <c r="AJ326" s="360">
        <v>0</v>
      </c>
      <c r="AK326" s="360">
        <v>0</v>
      </c>
      <c r="AL326" s="360">
        <v>3.8086335800309574</v>
      </c>
      <c r="AM326" s="360">
        <v>3.8086335800309574</v>
      </c>
      <c r="AN326" s="360">
        <v>0</v>
      </c>
      <c r="AO326" s="360">
        <v>0</v>
      </c>
      <c r="AP326" s="360">
        <v>3.8158185155919053</v>
      </c>
      <c r="AQ326" s="360">
        <v>3.8158185155919053</v>
      </c>
      <c r="AR326" s="360">
        <v>0</v>
      </c>
      <c r="AS326" s="360">
        <v>0</v>
      </c>
      <c r="AT326" s="360">
        <v>0</v>
      </c>
      <c r="AU326" s="360">
        <v>3.626422436734857</v>
      </c>
      <c r="AV326" s="360">
        <v>3.7164114772083656</v>
      </c>
      <c r="AW326" s="360">
        <v>3.8086335800309574</v>
      </c>
      <c r="AX326" s="360">
        <v>3.9031441582554733</v>
      </c>
      <c r="AY326" s="360">
        <v>4</v>
      </c>
      <c r="AZ326" s="360">
        <v>3.6401177359835026</v>
      </c>
      <c r="BA326" s="360">
        <v>3.7269328751535542</v>
      </c>
      <c r="BB326" s="360">
        <v>3.8158185155919053</v>
      </c>
      <c r="BC326" s="360">
        <v>3.9068240378045722</v>
      </c>
      <c r="BD326" s="360">
        <v>4</v>
      </c>
      <c r="BE326" s="360">
        <v>0</v>
      </c>
      <c r="BF326" s="360">
        <v>0</v>
      </c>
      <c r="BG326" s="360">
        <v>0</v>
      </c>
      <c r="BH326" s="360">
        <v>0</v>
      </c>
      <c r="BI326" s="360">
        <v>0</v>
      </c>
      <c r="BJ326" s="362">
        <v>4.0869392935883955</v>
      </c>
      <c r="BK326" s="362">
        <v>4.1757681973692033</v>
      </c>
      <c r="BL326" s="362">
        <v>4.2665277816862446</v>
      </c>
      <c r="BM326" s="363">
        <v>4.2384772334401619</v>
      </c>
      <c r="BN326" s="363">
        <v>4.210611105241755</v>
      </c>
      <c r="BO326" s="363">
        <v>4.1971652610957362</v>
      </c>
      <c r="BP326" s="363">
        <v>4.1837623538822157</v>
      </c>
      <c r="BQ326" s="363">
        <v>4.1704022464896697</v>
      </c>
      <c r="BR326" s="363">
        <v>4.1570848022444151</v>
      </c>
      <c r="BS326" s="363">
        <v>4.1438098849092153</v>
      </c>
      <c r="BT326" s="363">
        <v>4.1744615133276097</v>
      </c>
      <c r="BU326" s="363">
        <v>4.205339870855398</v>
      </c>
      <c r="BV326" s="363">
        <v>4.2364466346005072</v>
      </c>
      <c r="BW326" s="363">
        <v>4.2677834940763812</v>
      </c>
      <c r="BX326" s="363">
        <v>4.2993521512937356</v>
      </c>
      <c r="BY326" s="435">
        <v>4.3166820525429435</v>
      </c>
      <c r="BZ326" s="435">
        <v>4.3340119537921522</v>
      </c>
      <c r="CA326" s="435">
        <v>4.3513418550413601</v>
      </c>
      <c r="CB326" s="435">
        <v>4.3686717562905688</v>
      </c>
      <c r="CC326" s="363">
        <v>4.3860016575397767</v>
      </c>
      <c r="CD326" s="435">
        <v>4.4002070544258274</v>
      </c>
      <c r="CE326" s="435">
        <v>4.4144124513118781</v>
      </c>
      <c r="CF326" s="435">
        <v>4.4286178481979279</v>
      </c>
      <c r="CG326" s="435">
        <v>4.4428232450839786</v>
      </c>
      <c r="CH326" s="363">
        <v>4.4570286419700293</v>
      </c>
      <c r="CI326" s="362">
        <v>4.0869392935883955</v>
      </c>
      <c r="CJ326" s="362">
        <v>4.1757681973692033</v>
      </c>
      <c r="CK326" s="362">
        <v>4.2665277816862446</v>
      </c>
      <c r="CL326" s="363">
        <v>4.2384772334401619</v>
      </c>
      <c r="CM326" s="363">
        <v>4.210611105241755</v>
      </c>
      <c r="CN326" s="363">
        <v>4.1971652610957362</v>
      </c>
      <c r="CO326" s="363">
        <v>4.1837623538822157</v>
      </c>
      <c r="CP326" s="363">
        <v>4.1704022464896697</v>
      </c>
      <c r="CQ326" s="363">
        <v>4.1570848022444151</v>
      </c>
      <c r="CR326" s="363">
        <v>4.1438098849092153</v>
      </c>
      <c r="CS326" s="363">
        <v>4.1744615133276097</v>
      </c>
      <c r="CT326" s="363">
        <v>4.205339870855398</v>
      </c>
      <c r="CU326" s="363">
        <v>4.2364466346005072</v>
      </c>
      <c r="CV326" s="363">
        <v>4.2677834940763812</v>
      </c>
      <c r="CW326" s="363">
        <v>4.2993521512937356</v>
      </c>
      <c r="CX326" s="435">
        <v>4.3166820525429435</v>
      </c>
      <c r="CY326" s="435">
        <v>4.3340119537921522</v>
      </c>
      <c r="CZ326" s="435">
        <v>4.3513418550413601</v>
      </c>
      <c r="DA326" s="435">
        <v>4.3686717562905688</v>
      </c>
      <c r="DB326" s="363">
        <v>4.3860016575397767</v>
      </c>
      <c r="DC326" s="435">
        <v>4.4002070544258274</v>
      </c>
      <c r="DD326" s="435">
        <v>4.4144124513118781</v>
      </c>
      <c r="DE326" s="435">
        <v>4.4286178481979279</v>
      </c>
      <c r="DF326" s="435">
        <v>4.4428232450839786</v>
      </c>
      <c r="DG326" s="363">
        <v>4.4570286419700293</v>
      </c>
      <c r="DH326" s="362">
        <v>0</v>
      </c>
      <c r="DI326" s="362">
        <v>0</v>
      </c>
      <c r="DJ326" s="362">
        <v>0</v>
      </c>
      <c r="DK326" s="363">
        <v>0</v>
      </c>
      <c r="DL326" s="363">
        <v>0</v>
      </c>
      <c r="DM326" s="363">
        <v>0</v>
      </c>
      <c r="DN326" s="363">
        <v>0</v>
      </c>
      <c r="DO326" s="363">
        <v>0</v>
      </c>
      <c r="DP326" s="363">
        <v>0</v>
      </c>
      <c r="DQ326" s="363">
        <v>0</v>
      </c>
      <c r="DR326" s="363">
        <v>0</v>
      </c>
      <c r="DS326" s="363">
        <v>0</v>
      </c>
      <c r="DT326" s="363">
        <v>0</v>
      </c>
      <c r="DU326" s="363">
        <v>0</v>
      </c>
      <c r="DV326" s="363">
        <v>0</v>
      </c>
      <c r="DW326" s="435">
        <v>0</v>
      </c>
      <c r="DX326" s="435">
        <v>0</v>
      </c>
      <c r="DY326" s="435">
        <v>0</v>
      </c>
      <c r="DZ326" s="435">
        <v>0</v>
      </c>
      <c r="EA326" s="363">
        <v>0</v>
      </c>
      <c r="EB326" s="435">
        <v>0</v>
      </c>
      <c r="EC326" s="435">
        <v>0</v>
      </c>
      <c r="ED326" s="435">
        <v>0</v>
      </c>
      <c r="EE326" s="435">
        <v>0</v>
      </c>
      <c r="EF326" s="363">
        <v>0</v>
      </c>
      <c r="EG326" s="364">
        <v>0</v>
      </c>
      <c r="EH326" s="364">
        <v>0</v>
      </c>
      <c r="EI326" s="364">
        <v>0</v>
      </c>
      <c r="EJ326" s="365">
        <v>0</v>
      </c>
      <c r="EK326" s="365">
        <v>0</v>
      </c>
      <c r="EL326" s="365">
        <v>0</v>
      </c>
      <c r="EM326" s="365">
        <v>0</v>
      </c>
      <c r="EN326" s="365">
        <v>0</v>
      </c>
      <c r="EO326" s="365">
        <v>0</v>
      </c>
      <c r="EP326" s="365">
        <v>0</v>
      </c>
      <c r="EQ326" s="365">
        <v>0</v>
      </c>
      <c r="ER326" s="365">
        <v>0</v>
      </c>
      <c r="ES326" s="365">
        <v>0</v>
      </c>
      <c r="ET326" s="365">
        <v>0</v>
      </c>
      <c r="EU326" s="365">
        <v>0</v>
      </c>
      <c r="EV326" s="436">
        <v>0</v>
      </c>
      <c r="EW326" s="436">
        <v>0</v>
      </c>
      <c r="EX326" s="436">
        <v>0</v>
      </c>
      <c r="EY326" s="436">
        <v>0</v>
      </c>
      <c r="EZ326" s="365">
        <v>0</v>
      </c>
      <c r="FA326" s="436">
        <v>0</v>
      </c>
      <c r="FB326" s="436">
        <v>0</v>
      </c>
      <c r="FC326" s="436">
        <v>0</v>
      </c>
      <c r="FD326" s="436">
        <v>0</v>
      </c>
      <c r="FE326" s="365">
        <v>0</v>
      </c>
      <c r="FF326" s="364">
        <v>0</v>
      </c>
      <c r="FG326" s="364">
        <v>0</v>
      </c>
      <c r="FH326" s="364">
        <v>0</v>
      </c>
      <c r="FI326" s="365">
        <v>0</v>
      </c>
      <c r="FJ326" s="365">
        <v>0</v>
      </c>
      <c r="FK326" s="365">
        <v>0</v>
      </c>
      <c r="FL326" s="365">
        <v>0</v>
      </c>
      <c r="FM326" s="365">
        <v>0</v>
      </c>
      <c r="FN326" s="365">
        <v>0</v>
      </c>
      <c r="FO326" s="365">
        <v>0</v>
      </c>
      <c r="FP326" s="365">
        <v>0</v>
      </c>
      <c r="FQ326" s="365">
        <v>0</v>
      </c>
      <c r="FR326" s="365">
        <v>0</v>
      </c>
      <c r="FS326" s="365">
        <v>0</v>
      </c>
      <c r="FT326" s="365">
        <v>0</v>
      </c>
      <c r="FU326" s="436">
        <v>0</v>
      </c>
      <c r="FV326" s="436">
        <v>0</v>
      </c>
      <c r="FW326" s="436">
        <v>0</v>
      </c>
      <c r="FX326" s="436">
        <v>0</v>
      </c>
      <c r="FY326" s="365">
        <v>0</v>
      </c>
      <c r="FZ326" s="436">
        <v>0</v>
      </c>
      <c r="GA326" s="436">
        <v>0</v>
      </c>
      <c r="GB326" s="436">
        <v>0</v>
      </c>
      <c r="GC326" s="436">
        <v>0</v>
      </c>
      <c r="GD326" s="365">
        <v>0</v>
      </c>
    </row>
    <row r="327" spans="1:186" ht="15" x14ac:dyDescent="0.25">
      <c r="A327" s="357">
        <v>106</v>
      </c>
      <c r="B327" s="357">
        <v>99</v>
      </c>
      <c r="C327" s="357" t="s">
        <v>1237</v>
      </c>
      <c r="D327" s="2">
        <v>99709</v>
      </c>
      <c r="E327" s="268" t="s">
        <v>1527</v>
      </c>
      <c r="F327" s="358" t="s">
        <v>985</v>
      </c>
      <c r="G327" s="49">
        <v>31</v>
      </c>
      <c r="H327" s="49">
        <v>15</v>
      </c>
      <c r="I327" s="49">
        <v>15</v>
      </c>
      <c r="J327" s="49">
        <v>0</v>
      </c>
      <c r="K327" s="49">
        <v>1</v>
      </c>
      <c r="L327" s="49">
        <v>74</v>
      </c>
      <c r="M327" s="49">
        <v>75</v>
      </c>
      <c r="N327" s="49">
        <v>0</v>
      </c>
      <c r="O327" s="49">
        <v>0</v>
      </c>
      <c r="P327" s="49">
        <v>0</v>
      </c>
      <c r="Q327" s="49">
        <v>75</v>
      </c>
      <c r="R327" s="49">
        <v>3378</v>
      </c>
      <c r="S327" s="49">
        <v>2221.8783783783783</v>
      </c>
      <c r="T327" s="49">
        <v>2237.2933333333335</v>
      </c>
      <c r="U327" s="49">
        <v>0</v>
      </c>
      <c r="V327" s="49">
        <v>0</v>
      </c>
      <c r="W327" s="49">
        <v>0</v>
      </c>
      <c r="X327" s="49">
        <v>2237.2933333333335</v>
      </c>
      <c r="Y327" s="434">
        <v>167797</v>
      </c>
      <c r="Z327" s="434">
        <v>0</v>
      </c>
      <c r="AA327" s="49">
        <v>0.2</v>
      </c>
      <c r="AB327" s="49">
        <v>14.8</v>
      </c>
      <c r="AC327" s="49">
        <v>0</v>
      </c>
      <c r="AD327" s="285">
        <v>0</v>
      </c>
      <c r="AE327" s="285">
        <v>0</v>
      </c>
      <c r="AF327" s="359">
        <v>15</v>
      </c>
      <c r="AG327" s="360">
        <v>0.2</v>
      </c>
      <c r="AH327" s="360">
        <v>14.8</v>
      </c>
      <c r="AI327" s="361">
        <v>15</v>
      </c>
      <c r="AJ327" s="360">
        <v>0</v>
      </c>
      <c r="AK327" s="360">
        <v>0.19043167900154789</v>
      </c>
      <c r="AL327" s="360">
        <v>14.091944246114544</v>
      </c>
      <c r="AM327" s="360">
        <v>14.282375925116092</v>
      </c>
      <c r="AN327" s="360">
        <v>0</v>
      </c>
      <c r="AO327" s="360">
        <v>0.19079092577959528</v>
      </c>
      <c r="AP327" s="360">
        <v>14.11852850769005</v>
      </c>
      <c r="AQ327" s="360">
        <v>14.309319433469645</v>
      </c>
      <c r="AR327" s="360">
        <v>0</v>
      </c>
      <c r="AS327" s="360">
        <v>0</v>
      </c>
      <c r="AT327" s="360">
        <v>0</v>
      </c>
      <c r="AU327" s="360">
        <v>13.599084137755712</v>
      </c>
      <c r="AV327" s="360">
        <v>13.936543039531371</v>
      </c>
      <c r="AW327" s="360">
        <v>14.28237592511609</v>
      </c>
      <c r="AX327" s="360">
        <v>14.636790593458025</v>
      </c>
      <c r="AY327" s="360">
        <v>15</v>
      </c>
      <c r="AZ327" s="360">
        <v>13.650441509938135</v>
      </c>
      <c r="BA327" s="360">
        <v>13.975998281825829</v>
      </c>
      <c r="BB327" s="360">
        <v>14.309319433469645</v>
      </c>
      <c r="BC327" s="360">
        <v>14.650590141767145</v>
      </c>
      <c r="BD327" s="360">
        <v>15</v>
      </c>
      <c r="BE327" s="360">
        <v>0</v>
      </c>
      <c r="BF327" s="360">
        <v>0</v>
      </c>
      <c r="BG327" s="360">
        <v>0</v>
      </c>
      <c r="BH327" s="360">
        <v>0</v>
      </c>
      <c r="BI327" s="360">
        <v>0</v>
      </c>
      <c r="BJ327" s="362">
        <v>15.158475978811119</v>
      </c>
      <c r="BK327" s="362">
        <v>15.318626266679576</v>
      </c>
      <c r="BL327" s="362">
        <v>15.480468552789828</v>
      </c>
      <c r="BM327" s="363">
        <v>15.378691264036215</v>
      </c>
      <c r="BN327" s="363">
        <v>15.27758311630186</v>
      </c>
      <c r="BO327" s="363">
        <v>15.228796848376545</v>
      </c>
      <c r="BP327" s="363">
        <v>15.180166370795813</v>
      </c>
      <c r="BQ327" s="363">
        <v>15.131691186070666</v>
      </c>
      <c r="BR327" s="363">
        <v>15.083370798300754</v>
      </c>
      <c r="BS327" s="363">
        <v>15.035204713169291</v>
      </c>
      <c r="BT327" s="363">
        <v>15.146419638772148</v>
      </c>
      <c r="BU327" s="363">
        <v>15.258457217602068</v>
      </c>
      <c r="BV327" s="363">
        <v>15.37132353479851</v>
      </c>
      <c r="BW327" s="363">
        <v>15.485024720512513</v>
      </c>
      <c r="BX327" s="363">
        <v>15.599566950239636</v>
      </c>
      <c r="BY327" s="435">
        <v>15.662445948113005</v>
      </c>
      <c r="BZ327" s="435">
        <v>15.725324945986374</v>
      </c>
      <c r="CA327" s="435">
        <v>15.788203943859745</v>
      </c>
      <c r="CB327" s="435">
        <v>15.851082941733114</v>
      </c>
      <c r="CC327" s="363">
        <v>15.913961939606484</v>
      </c>
      <c r="CD327" s="435">
        <v>15.965504132937166</v>
      </c>
      <c r="CE327" s="435">
        <v>16.017046326267849</v>
      </c>
      <c r="CF327" s="435">
        <v>16.068588519598535</v>
      </c>
      <c r="CG327" s="435">
        <v>16.120130712929218</v>
      </c>
      <c r="CH327" s="363">
        <v>16.1716729062599</v>
      </c>
      <c r="CI327" s="362">
        <v>15.158475978811119</v>
      </c>
      <c r="CJ327" s="362">
        <v>15.318626266679576</v>
      </c>
      <c r="CK327" s="362">
        <v>15.480468552789828</v>
      </c>
      <c r="CL327" s="363">
        <v>15.378691264036215</v>
      </c>
      <c r="CM327" s="363">
        <v>15.27758311630186</v>
      </c>
      <c r="CN327" s="363">
        <v>15.228796848376545</v>
      </c>
      <c r="CO327" s="363">
        <v>15.180166370795813</v>
      </c>
      <c r="CP327" s="363">
        <v>15.131691186070666</v>
      </c>
      <c r="CQ327" s="363">
        <v>15.083370798300754</v>
      </c>
      <c r="CR327" s="363">
        <v>15.035204713169291</v>
      </c>
      <c r="CS327" s="363">
        <v>15.146419638772148</v>
      </c>
      <c r="CT327" s="363">
        <v>15.258457217602068</v>
      </c>
      <c r="CU327" s="363">
        <v>15.37132353479851</v>
      </c>
      <c r="CV327" s="363">
        <v>15.485024720512513</v>
      </c>
      <c r="CW327" s="363">
        <v>15.599566950239636</v>
      </c>
      <c r="CX327" s="435">
        <v>15.662445948113005</v>
      </c>
      <c r="CY327" s="435">
        <v>15.725324945986374</v>
      </c>
      <c r="CZ327" s="435">
        <v>15.788203943859745</v>
      </c>
      <c r="DA327" s="435">
        <v>15.851082941733114</v>
      </c>
      <c r="DB327" s="363">
        <v>15.913961939606484</v>
      </c>
      <c r="DC327" s="435">
        <v>15.965504132937166</v>
      </c>
      <c r="DD327" s="435">
        <v>16.017046326267849</v>
      </c>
      <c r="DE327" s="435">
        <v>16.068588519598535</v>
      </c>
      <c r="DF327" s="435">
        <v>16.120130712929218</v>
      </c>
      <c r="DG327" s="363">
        <v>16.1716729062599</v>
      </c>
      <c r="DH327" s="362">
        <v>0</v>
      </c>
      <c r="DI327" s="362">
        <v>0</v>
      </c>
      <c r="DJ327" s="362">
        <v>0</v>
      </c>
      <c r="DK327" s="363">
        <v>0</v>
      </c>
      <c r="DL327" s="363">
        <v>0</v>
      </c>
      <c r="DM327" s="363">
        <v>0</v>
      </c>
      <c r="DN327" s="363">
        <v>0</v>
      </c>
      <c r="DO327" s="363">
        <v>0</v>
      </c>
      <c r="DP327" s="363">
        <v>0</v>
      </c>
      <c r="DQ327" s="363">
        <v>0</v>
      </c>
      <c r="DR327" s="363">
        <v>0</v>
      </c>
      <c r="DS327" s="363">
        <v>0</v>
      </c>
      <c r="DT327" s="363">
        <v>0</v>
      </c>
      <c r="DU327" s="363">
        <v>0</v>
      </c>
      <c r="DV327" s="363">
        <v>0</v>
      </c>
      <c r="DW327" s="435">
        <v>0</v>
      </c>
      <c r="DX327" s="435">
        <v>0</v>
      </c>
      <c r="DY327" s="435">
        <v>0</v>
      </c>
      <c r="DZ327" s="435">
        <v>0</v>
      </c>
      <c r="EA327" s="363">
        <v>0</v>
      </c>
      <c r="EB327" s="435">
        <v>0</v>
      </c>
      <c r="EC327" s="435">
        <v>0</v>
      </c>
      <c r="ED327" s="435">
        <v>0</v>
      </c>
      <c r="EE327" s="435">
        <v>0</v>
      </c>
      <c r="EF327" s="363">
        <v>0</v>
      </c>
      <c r="EG327" s="364">
        <v>0</v>
      </c>
      <c r="EH327" s="364">
        <v>0</v>
      </c>
      <c r="EI327" s="364">
        <v>0</v>
      </c>
      <c r="EJ327" s="365">
        <v>0</v>
      </c>
      <c r="EK327" s="365">
        <v>0</v>
      </c>
      <c r="EL327" s="365">
        <v>0</v>
      </c>
      <c r="EM327" s="365">
        <v>0</v>
      </c>
      <c r="EN327" s="365">
        <v>0</v>
      </c>
      <c r="EO327" s="365">
        <v>0</v>
      </c>
      <c r="EP327" s="365">
        <v>0</v>
      </c>
      <c r="EQ327" s="365">
        <v>0</v>
      </c>
      <c r="ER327" s="365">
        <v>0</v>
      </c>
      <c r="ES327" s="365">
        <v>0</v>
      </c>
      <c r="ET327" s="365">
        <v>0</v>
      </c>
      <c r="EU327" s="365">
        <v>0</v>
      </c>
      <c r="EV327" s="436">
        <v>0</v>
      </c>
      <c r="EW327" s="436">
        <v>0</v>
      </c>
      <c r="EX327" s="436">
        <v>0</v>
      </c>
      <c r="EY327" s="436">
        <v>0</v>
      </c>
      <c r="EZ327" s="365">
        <v>0</v>
      </c>
      <c r="FA327" s="436">
        <v>0</v>
      </c>
      <c r="FB327" s="436">
        <v>0</v>
      </c>
      <c r="FC327" s="436">
        <v>0</v>
      </c>
      <c r="FD327" s="436">
        <v>0</v>
      </c>
      <c r="FE327" s="365">
        <v>0</v>
      </c>
      <c r="FF327" s="364">
        <v>0</v>
      </c>
      <c r="FG327" s="364">
        <v>0</v>
      </c>
      <c r="FH327" s="364">
        <v>0</v>
      </c>
      <c r="FI327" s="365">
        <v>0</v>
      </c>
      <c r="FJ327" s="365">
        <v>0</v>
      </c>
      <c r="FK327" s="365">
        <v>0</v>
      </c>
      <c r="FL327" s="365">
        <v>0</v>
      </c>
      <c r="FM327" s="365">
        <v>0</v>
      </c>
      <c r="FN327" s="365">
        <v>0</v>
      </c>
      <c r="FO327" s="365">
        <v>0</v>
      </c>
      <c r="FP327" s="365">
        <v>0</v>
      </c>
      <c r="FQ327" s="365">
        <v>0</v>
      </c>
      <c r="FR327" s="365">
        <v>0</v>
      </c>
      <c r="FS327" s="365">
        <v>0</v>
      </c>
      <c r="FT327" s="365">
        <v>0</v>
      </c>
      <c r="FU327" s="436">
        <v>0</v>
      </c>
      <c r="FV327" s="436">
        <v>0</v>
      </c>
      <c r="FW327" s="436">
        <v>0</v>
      </c>
      <c r="FX327" s="436">
        <v>0</v>
      </c>
      <c r="FY327" s="365">
        <v>0</v>
      </c>
      <c r="FZ327" s="436">
        <v>0</v>
      </c>
      <c r="GA327" s="436">
        <v>0</v>
      </c>
      <c r="GB327" s="436">
        <v>0</v>
      </c>
      <c r="GC327" s="436">
        <v>0</v>
      </c>
      <c r="GD327" s="365">
        <v>0</v>
      </c>
    </row>
    <row r="328" spans="1:186" ht="15" x14ac:dyDescent="0.25">
      <c r="A328" s="357">
        <v>107</v>
      </c>
      <c r="B328" s="357">
        <v>99</v>
      </c>
      <c r="C328" s="357" t="s">
        <v>1238</v>
      </c>
      <c r="D328" s="2">
        <v>99709</v>
      </c>
      <c r="E328" s="268" t="s">
        <v>1527</v>
      </c>
      <c r="F328" s="358" t="s">
        <v>985</v>
      </c>
      <c r="G328" s="49">
        <v>1144</v>
      </c>
      <c r="H328" s="49">
        <v>473</v>
      </c>
      <c r="I328" s="49">
        <v>445</v>
      </c>
      <c r="J328" s="49">
        <v>28</v>
      </c>
      <c r="K328" s="49">
        <v>0</v>
      </c>
      <c r="L328" s="49">
        <v>57</v>
      </c>
      <c r="M328" s="49">
        <v>57</v>
      </c>
      <c r="N328" s="49">
        <v>0</v>
      </c>
      <c r="O328" s="49">
        <v>0</v>
      </c>
      <c r="P328" s="49">
        <v>0</v>
      </c>
      <c r="Q328" s="49">
        <v>57</v>
      </c>
      <c r="R328" s="49">
        <v>0</v>
      </c>
      <c r="S328" s="49">
        <v>2519.5438596491226</v>
      </c>
      <c r="T328" s="49">
        <v>2519.5438596491226</v>
      </c>
      <c r="U328" s="49">
        <v>0</v>
      </c>
      <c r="V328" s="49">
        <v>0</v>
      </c>
      <c r="W328" s="49">
        <v>0</v>
      </c>
      <c r="X328" s="49">
        <v>2519.5438596491226</v>
      </c>
      <c r="Y328" s="434">
        <v>143614</v>
      </c>
      <c r="Z328" s="434">
        <v>0</v>
      </c>
      <c r="AA328" s="49">
        <v>0</v>
      </c>
      <c r="AB328" s="49">
        <v>473</v>
      </c>
      <c r="AC328" s="49">
        <v>0</v>
      </c>
      <c r="AD328" s="285">
        <v>0</v>
      </c>
      <c r="AE328" s="285">
        <v>0</v>
      </c>
      <c r="AF328" s="359">
        <v>473</v>
      </c>
      <c r="AG328" s="360">
        <v>0</v>
      </c>
      <c r="AH328" s="360">
        <v>445</v>
      </c>
      <c r="AI328" s="361">
        <v>445</v>
      </c>
      <c r="AJ328" s="360">
        <v>0</v>
      </c>
      <c r="AK328" s="360">
        <v>0</v>
      </c>
      <c r="AL328" s="360">
        <v>450.37092083866071</v>
      </c>
      <c r="AM328" s="360">
        <v>450.37092083866071</v>
      </c>
      <c r="AN328" s="360">
        <v>0</v>
      </c>
      <c r="AO328" s="360">
        <v>0</v>
      </c>
      <c r="AP328" s="360">
        <v>424.50980985959944</v>
      </c>
      <c r="AQ328" s="360">
        <v>424.50980985959944</v>
      </c>
      <c r="AR328" s="360">
        <v>0</v>
      </c>
      <c r="AS328" s="360">
        <v>0</v>
      </c>
      <c r="AT328" s="360">
        <v>0</v>
      </c>
      <c r="AU328" s="360">
        <v>428.82445314389679</v>
      </c>
      <c r="AV328" s="360">
        <v>439.46565717988921</v>
      </c>
      <c r="AW328" s="360">
        <v>450.37092083866071</v>
      </c>
      <c r="AX328" s="360">
        <v>461.54679671370974</v>
      </c>
      <c r="AY328" s="360">
        <v>473</v>
      </c>
      <c r="AZ328" s="360">
        <v>404.96309812816469</v>
      </c>
      <c r="BA328" s="360">
        <v>414.62128236083288</v>
      </c>
      <c r="BB328" s="360">
        <v>424.50980985959944</v>
      </c>
      <c r="BC328" s="360">
        <v>434.63417420575865</v>
      </c>
      <c r="BD328" s="360">
        <v>445</v>
      </c>
      <c r="BE328" s="360">
        <v>0</v>
      </c>
      <c r="BF328" s="360">
        <v>0</v>
      </c>
      <c r="BG328" s="360">
        <v>0</v>
      </c>
      <c r="BH328" s="360">
        <v>0</v>
      </c>
      <c r="BI328" s="360">
        <v>0</v>
      </c>
      <c r="BJ328" s="362">
        <v>477.99727586517724</v>
      </c>
      <c r="BK328" s="362">
        <v>483.04734827596263</v>
      </c>
      <c r="BL328" s="362">
        <v>488.1507750313059</v>
      </c>
      <c r="BM328" s="363">
        <v>484.9413978592753</v>
      </c>
      <c r="BN328" s="363">
        <v>481.75312093405199</v>
      </c>
      <c r="BO328" s="363">
        <v>480.21472728547371</v>
      </c>
      <c r="BP328" s="363">
        <v>478.6812462257613</v>
      </c>
      <c r="BQ328" s="363">
        <v>477.15266206742837</v>
      </c>
      <c r="BR328" s="363">
        <v>475.62895917308373</v>
      </c>
      <c r="BS328" s="363">
        <v>474.11012195527161</v>
      </c>
      <c r="BT328" s="363">
        <v>477.61709927594842</v>
      </c>
      <c r="BU328" s="363">
        <v>481.15001759505185</v>
      </c>
      <c r="BV328" s="363">
        <v>484.70906879731297</v>
      </c>
      <c r="BW328" s="363">
        <v>488.29444618682788</v>
      </c>
      <c r="BX328" s="363">
        <v>491.90634449755646</v>
      </c>
      <c r="BY328" s="435">
        <v>493.8891288971634</v>
      </c>
      <c r="BZ328" s="435">
        <v>495.87191329677034</v>
      </c>
      <c r="CA328" s="435">
        <v>497.85469769637723</v>
      </c>
      <c r="CB328" s="435">
        <v>499.83748209598417</v>
      </c>
      <c r="CC328" s="363">
        <v>501.82026649559111</v>
      </c>
      <c r="CD328" s="435">
        <v>503.44556365861865</v>
      </c>
      <c r="CE328" s="435">
        <v>505.07086082164619</v>
      </c>
      <c r="CF328" s="435">
        <v>506.69615798467373</v>
      </c>
      <c r="CG328" s="435">
        <v>508.32145514770127</v>
      </c>
      <c r="CH328" s="363">
        <v>509.94675231072881</v>
      </c>
      <c r="CI328" s="362">
        <v>449.70145403806316</v>
      </c>
      <c r="CJ328" s="362">
        <v>454.45257924482746</v>
      </c>
      <c r="CK328" s="362">
        <v>459.25390039943159</v>
      </c>
      <c r="CL328" s="363">
        <v>456.23450749974108</v>
      </c>
      <c r="CM328" s="363">
        <v>453.23496578362187</v>
      </c>
      <c r="CN328" s="363">
        <v>451.78763983517086</v>
      </c>
      <c r="CO328" s="363">
        <v>450.34493566694249</v>
      </c>
      <c r="CP328" s="363">
        <v>448.90683852009647</v>
      </c>
      <c r="CQ328" s="363">
        <v>447.47333368292237</v>
      </c>
      <c r="CR328" s="363">
        <v>446.04440649068897</v>
      </c>
      <c r="CS328" s="363">
        <v>449.34378261690711</v>
      </c>
      <c r="CT328" s="363">
        <v>452.66756412219473</v>
      </c>
      <c r="CU328" s="363">
        <v>456.01593153235581</v>
      </c>
      <c r="CV328" s="363">
        <v>459.38906670853788</v>
      </c>
      <c r="CW328" s="363">
        <v>462.78715285710916</v>
      </c>
      <c r="CX328" s="435">
        <v>464.65256312735249</v>
      </c>
      <c r="CY328" s="435">
        <v>466.51797339759577</v>
      </c>
      <c r="CZ328" s="435">
        <v>468.3833836678391</v>
      </c>
      <c r="DA328" s="435">
        <v>470.24879393808237</v>
      </c>
      <c r="DB328" s="363">
        <v>472.1142042083257</v>
      </c>
      <c r="DC328" s="435">
        <v>473.64328927713598</v>
      </c>
      <c r="DD328" s="435">
        <v>475.17237434594625</v>
      </c>
      <c r="DE328" s="435">
        <v>476.70145941475653</v>
      </c>
      <c r="DF328" s="435">
        <v>478.2305444835668</v>
      </c>
      <c r="DG328" s="363">
        <v>479.75962955237708</v>
      </c>
      <c r="DH328" s="362">
        <v>0</v>
      </c>
      <c r="DI328" s="362">
        <v>0</v>
      </c>
      <c r="DJ328" s="362">
        <v>0</v>
      </c>
      <c r="DK328" s="363">
        <v>0</v>
      </c>
      <c r="DL328" s="363">
        <v>0</v>
      </c>
      <c r="DM328" s="363">
        <v>0</v>
      </c>
      <c r="DN328" s="363">
        <v>0</v>
      </c>
      <c r="DO328" s="363">
        <v>0</v>
      </c>
      <c r="DP328" s="363">
        <v>0</v>
      </c>
      <c r="DQ328" s="363">
        <v>0</v>
      </c>
      <c r="DR328" s="363">
        <v>0</v>
      </c>
      <c r="DS328" s="363">
        <v>0</v>
      </c>
      <c r="DT328" s="363">
        <v>0</v>
      </c>
      <c r="DU328" s="363">
        <v>0</v>
      </c>
      <c r="DV328" s="363">
        <v>0</v>
      </c>
      <c r="DW328" s="435">
        <v>0</v>
      </c>
      <c r="DX328" s="435">
        <v>0</v>
      </c>
      <c r="DY328" s="435">
        <v>0</v>
      </c>
      <c r="DZ328" s="435">
        <v>0</v>
      </c>
      <c r="EA328" s="363">
        <v>0</v>
      </c>
      <c r="EB328" s="435">
        <v>0</v>
      </c>
      <c r="EC328" s="435">
        <v>0</v>
      </c>
      <c r="ED328" s="435">
        <v>0</v>
      </c>
      <c r="EE328" s="435">
        <v>0</v>
      </c>
      <c r="EF328" s="363">
        <v>0</v>
      </c>
      <c r="EG328" s="364">
        <v>0</v>
      </c>
      <c r="EH328" s="364">
        <v>0</v>
      </c>
      <c r="EI328" s="364">
        <v>0</v>
      </c>
      <c r="EJ328" s="365">
        <v>0</v>
      </c>
      <c r="EK328" s="365">
        <v>0</v>
      </c>
      <c r="EL328" s="365">
        <v>0</v>
      </c>
      <c r="EM328" s="365">
        <v>0</v>
      </c>
      <c r="EN328" s="365">
        <v>0</v>
      </c>
      <c r="EO328" s="365">
        <v>0</v>
      </c>
      <c r="EP328" s="365">
        <v>0</v>
      </c>
      <c r="EQ328" s="365">
        <v>0</v>
      </c>
      <c r="ER328" s="365">
        <v>0</v>
      </c>
      <c r="ES328" s="365">
        <v>0</v>
      </c>
      <c r="ET328" s="365">
        <v>0</v>
      </c>
      <c r="EU328" s="365">
        <v>0</v>
      </c>
      <c r="EV328" s="436">
        <v>0</v>
      </c>
      <c r="EW328" s="436">
        <v>0</v>
      </c>
      <c r="EX328" s="436">
        <v>0</v>
      </c>
      <c r="EY328" s="436">
        <v>0</v>
      </c>
      <c r="EZ328" s="365">
        <v>0</v>
      </c>
      <c r="FA328" s="436">
        <v>0</v>
      </c>
      <c r="FB328" s="436">
        <v>0</v>
      </c>
      <c r="FC328" s="436">
        <v>0</v>
      </c>
      <c r="FD328" s="436">
        <v>0</v>
      </c>
      <c r="FE328" s="365">
        <v>0</v>
      </c>
      <c r="FF328" s="364">
        <v>0</v>
      </c>
      <c r="FG328" s="364">
        <v>0</v>
      </c>
      <c r="FH328" s="364">
        <v>0</v>
      </c>
      <c r="FI328" s="365">
        <v>0</v>
      </c>
      <c r="FJ328" s="365">
        <v>0</v>
      </c>
      <c r="FK328" s="365">
        <v>0</v>
      </c>
      <c r="FL328" s="365">
        <v>0</v>
      </c>
      <c r="FM328" s="365">
        <v>0</v>
      </c>
      <c r="FN328" s="365">
        <v>0</v>
      </c>
      <c r="FO328" s="365">
        <v>0</v>
      </c>
      <c r="FP328" s="365">
        <v>0</v>
      </c>
      <c r="FQ328" s="365">
        <v>0</v>
      </c>
      <c r="FR328" s="365">
        <v>0</v>
      </c>
      <c r="FS328" s="365">
        <v>0</v>
      </c>
      <c r="FT328" s="365">
        <v>0</v>
      </c>
      <c r="FU328" s="436">
        <v>0</v>
      </c>
      <c r="FV328" s="436">
        <v>0</v>
      </c>
      <c r="FW328" s="436">
        <v>0</v>
      </c>
      <c r="FX328" s="436">
        <v>0</v>
      </c>
      <c r="FY328" s="365">
        <v>0</v>
      </c>
      <c r="FZ328" s="436">
        <v>0</v>
      </c>
      <c r="GA328" s="436">
        <v>0</v>
      </c>
      <c r="GB328" s="436">
        <v>0</v>
      </c>
      <c r="GC328" s="436">
        <v>0</v>
      </c>
      <c r="GD328" s="365">
        <v>0</v>
      </c>
    </row>
    <row r="329" spans="1:186" ht="15" x14ac:dyDescent="0.25">
      <c r="A329" s="357">
        <v>108</v>
      </c>
      <c r="B329" s="357">
        <v>99</v>
      </c>
      <c r="C329" s="357" t="s">
        <v>1239</v>
      </c>
      <c r="D329" s="2">
        <v>99709</v>
      </c>
      <c r="E329" s="268" t="s">
        <v>1527</v>
      </c>
      <c r="F329" s="358" t="s">
        <v>985</v>
      </c>
      <c r="G329" s="49">
        <v>262</v>
      </c>
      <c r="H329" s="49">
        <v>130</v>
      </c>
      <c r="I329" s="49">
        <v>121</v>
      </c>
      <c r="J329" s="49">
        <v>9</v>
      </c>
      <c r="K329" s="49">
        <v>0</v>
      </c>
      <c r="L329" s="49">
        <v>121</v>
      </c>
      <c r="M329" s="49">
        <v>121</v>
      </c>
      <c r="N329" s="49">
        <v>0</v>
      </c>
      <c r="O329" s="49">
        <v>0</v>
      </c>
      <c r="P329" s="49">
        <v>0</v>
      </c>
      <c r="Q329" s="49">
        <v>121</v>
      </c>
      <c r="R329" s="49">
        <v>0</v>
      </c>
      <c r="S329" s="49">
        <v>1808.7603305785124</v>
      </c>
      <c r="T329" s="49">
        <v>1808.7603305785124</v>
      </c>
      <c r="U329" s="49">
        <v>0</v>
      </c>
      <c r="V329" s="49">
        <v>0</v>
      </c>
      <c r="W329" s="49">
        <v>0</v>
      </c>
      <c r="X329" s="49">
        <v>1808.7603305785124</v>
      </c>
      <c r="Y329" s="434">
        <v>218860</v>
      </c>
      <c r="Z329" s="434">
        <v>0</v>
      </c>
      <c r="AA329" s="49">
        <v>0</v>
      </c>
      <c r="AB329" s="49">
        <v>130</v>
      </c>
      <c r="AC329" s="49">
        <v>0</v>
      </c>
      <c r="AD329" s="285">
        <v>0</v>
      </c>
      <c r="AE329" s="285">
        <v>0</v>
      </c>
      <c r="AF329" s="359">
        <v>130</v>
      </c>
      <c r="AG329" s="360">
        <v>0</v>
      </c>
      <c r="AH329" s="360">
        <v>121</v>
      </c>
      <c r="AI329" s="361">
        <v>121</v>
      </c>
      <c r="AJ329" s="360">
        <v>0</v>
      </c>
      <c r="AK329" s="360">
        <v>0</v>
      </c>
      <c r="AL329" s="360">
        <v>123.78059135100611</v>
      </c>
      <c r="AM329" s="360">
        <v>123.78059135100611</v>
      </c>
      <c r="AN329" s="360">
        <v>0</v>
      </c>
      <c r="AO329" s="360">
        <v>0</v>
      </c>
      <c r="AP329" s="360">
        <v>115.42851009665513</v>
      </c>
      <c r="AQ329" s="360">
        <v>115.42851009665513</v>
      </c>
      <c r="AR329" s="360">
        <v>0</v>
      </c>
      <c r="AS329" s="360">
        <v>0</v>
      </c>
      <c r="AT329" s="360">
        <v>0</v>
      </c>
      <c r="AU329" s="360">
        <v>117.85872919388285</v>
      </c>
      <c r="AV329" s="360">
        <v>120.78337300927187</v>
      </c>
      <c r="AW329" s="360">
        <v>123.78059135100611</v>
      </c>
      <c r="AX329" s="360">
        <v>126.85218514330289</v>
      </c>
      <c r="AY329" s="360">
        <v>130</v>
      </c>
      <c r="AZ329" s="360">
        <v>110.11356151350095</v>
      </c>
      <c r="BA329" s="360">
        <v>112.73971947339501</v>
      </c>
      <c r="BB329" s="360">
        <v>115.42851009665513</v>
      </c>
      <c r="BC329" s="360">
        <v>118.18142714358831</v>
      </c>
      <c r="BD329" s="360">
        <v>121</v>
      </c>
      <c r="BE329" s="360">
        <v>0</v>
      </c>
      <c r="BF329" s="360">
        <v>0</v>
      </c>
      <c r="BG329" s="360">
        <v>0</v>
      </c>
      <c r="BH329" s="360">
        <v>0</v>
      </c>
      <c r="BI329" s="360">
        <v>0</v>
      </c>
      <c r="BJ329" s="362">
        <v>131.37345848302968</v>
      </c>
      <c r="BK329" s="362">
        <v>132.76142764455633</v>
      </c>
      <c r="BL329" s="362">
        <v>134.16406079084518</v>
      </c>
      <c r="BM329" s="363">
        <v>133.28199095498053</v>
      </c>
      <c r="BN329" s="363">
        <v>132.4057203412828</v>
      </c>
      <c r="BO329" s="363">
        <v>131.9829060192634</v>
      </c>
      <c r="BP329" s="363">
        <v>131.5614418802304</v>
      </c>
      <c r="BQ329" s="363">
        <v>131.14132361261247</v>
      </c>
      <c r="BR329" s="363">
        <v>130.72254691860653</v>
      </c>
      <c r="BS329" s="363">
        <v>130.30510751413385</v>
      </c>
      <c r="BT329" s="363">
        <v>131.26897020269197</v>
      </c>
      <c r="BU329" s="363">
        <v>132.23996255255128</v>
      </c>
      <c r="BV329" s="363">
        <v>133.21813730158709</v>
      </c>
      <c r="BW329" s="363">
        <v>134.20354757777511</v>
      </c>
      <c r="BX329" s="363">
        <v>135.19624690207684</v>
      </c>
      <c r="BY329" s="435">
        <v>135.74119821697937</v>
      </c>
      <c r="BZ329" s="435">
        <v>136.2861495318819</v>
      </c>
      <c r="CA329" s="435">
        <v>136.83110084678447</v>
      </c>
      <c r="CB329" s="435">
        <v>137.376052161687</v>
      </c>
      <c r="CC329" s="363">
        <v>137.92100347658953</v>
      </c>
      <c r="CD329" s="435">
        <v>138.36770248545545</v>
      </c>
      <c r="CE329" s="435">
        <v>138.81440149432137</v>
      </c>
      <c r="CF329" s="435">
        <v>139.26110050318729</v>
      </c>
      <c r="CG329" s="435">
        <v>139.70779951205321</v>
      </c>
      <c r="CH329" s="363">
        <v>140.15449852091913</v>
      </c>
      <c r="CI329" s="362">
        <v>122.27837289574302</v>
      </c>
      <c r="CJ329" s="362">
        <v>123.57025188454858</v>
      </c>
      <c r="CK329" s="362">
        <v>124.87577965917127</v>
      </c>
      <c r="CL329" s="363">
        <v>124.05477619655879</v>
      </c>
      <c r="CM329" s="363">
        <v>123.23917047150167</v>
      </c>
      <c r="CN329" s="363">
        <v>122.84562791023745</v>
      </c>
      <c r="CO329" s="363">
        <v>122.45334205775289</v>
      </c>
      <c r="CP329" s="363">
        <v>122.06230890097004</v>
      </c>
      <c r="CQ329" s="363">
        <v>121.67252443962607</v>
      </c>
      <c r="CR329" s="363">
        <v>121.28398468623227</v>
      </c>
      <c r="CS329" s="363">
        <v>122.18111841942866</v>
      </c>
      <c r="CT329" s="363">
        <v>123.08488822199001</v>
      </c>
      <c r="CU329" s="363">
        <v>123.99534318070796</v>
      </c>
      <c r="CV329" s="363">
        <v>124.9125327454676</v>
      </c>
      <c r="CW329" s="363">
        <v>125.83650673193304</v>
      </c>
      <c r="CX329" s="435">
        <v>126.34373064811156</v>
      </c>
      <c r="CY329" s="435">
        <v>126.85095456429008</v>
      </c>
      <c r="CZ329" s="435">
        <v>127.35817848046858</v>
      </c>
      <c r="DA329" s="435">
        <v>127.8654023966471</v>
      </c>
      <c r="DB329" s="363">
        <v>128.37262631282562</v>
      </c>
      <c r="DC329" s="435">
        <v>128.78840000569312</v>
      </c>
      <c r="DD329" s="435">
        <v>129.20417369856065</v>
      </c>
      <c r="DE329" s="435">
        <v>129.61994739142816</v>
      </c>
      <c r="DF329" s="435">
        <v>130.03572108429569</v>
      </c>
      <c r="DG329" s="363">
        <v>130.45149477716319</v>
      </c>
      <c r="DH329" s="362">
        <v>0</v>
      </c>
      <c r="DI329" s="362">
        <v>0</v>
      </c>
      <c r="DJ329" s="362">
        <v>0</v>
      </c>
      <c r="DK329" s="363">
        <v>0</v>
      </c>
      <c r="DL329" s="363">
        <v>0</v>
      </c>
      <c r="DM329" s="363">
        <v>0</v>
      </c>
      <c r="DN329" s="363">
        <v>0</v>
      </c>
      <c r="DO329" s="363">
        <v>0</v>
      </c>
      <c r="DP329" s="363">
        <v>0</v>
      </c>
      <c r="DQ329" s="363">
        <v>0</v>
      </c>
      <c r="DR329" s="363">
        <v>0</v>
      </c>
      <c r="DS329" s="363">
        <v>0</v>
      </c>
      <c r="DT329" s="363">
        <v>0</v>
      </c>
      <c r="DU329" s="363">
        <v>0</v>
      </c>
      <c r="DV329" s="363">
        <v>0</v>
      </c>
      <c r="DW329" s="435">
        <v>0</v>
      </c>
      <c r="DX329" s="435">
        <v>0</v>
      </c>
      <c r="DY329" s="435">
        <v>0</v>
      </c>
      <c r="DZ329" s="435">
        <v>0</v>
      </c>
      <c r="EA329" s="363">
        <v>0</v>
      </c>
      <c r="EB329" s="435">
        <v>0</v>
      </c>
      <c r="EC329" s="435">
        <v>0</v>
      </c>
      <c r="ED329" s="435">
        <v>0</v>
      </c>
      <c r="EE329" s="435">
        <v>0</v>
      </c>
      <c r="EF329" s="363">
        <v>0</v>
      </c>
      <c r="EG329" s="364">
        <v>0</v>
      </c>
      <c r="EH329" s="364">
        <v>0</v>
      </c>
      <c r="EI329" s="364">
        <v>0</v>
      </c>
      <c r="EJ329" s="365">
        <v>0</v>
      </c>
      <c r="EK329" s="365">
        <v>0</v>
      </c>
      <c r="EL329" s="365">
        <v>0</v>
      </c>
      <c r="EM329" s="365">
        <v>0</v>
      </c>
      <c r="EN329" s="365">
        <v>0</v>
      </c>
      <c r="EO329" s="365">
        <v>0</v>
      </c>
      <c r="EP329" s="365">
        <v>0</v>
      </c>
      <c r="EQ329" s="365">
        <v>0</v>
      </c>
      <c r="ER329" s="365">
        <v>0</v>
      </c>
      <c r="ES329" s="365">
        <v>0</v>
      </c>
      <c r="ET329" s="365">
        <v>0</v>
      </c>
      <c r="EU329" s="365">
        <v>0</v>
      </c>
      <c r="EV329" s="436">
        <v>0</v>
      </c>
      <c r="EW329" s="436">
        <v>0</v>
      </c>
      <c r="EX329" s="436">
        <v>0</v>
      </c>
      <c r="EY329" s="436">
        <v>0</v>
      </c>
      <c r="EZ329" s="365">
        <v>0</v>
      </c>
      <c r="FA329" s="436">
        <v>0</v>
      </c>
      <c r="FB329" s="436">
        <v>0</v>
      </c>
      <c r="FC329" s="436">
        <v>0</v>
      </c>
      <c r="FD329" s="436">
        <v>0</v>
      </c>
      <c r="FE329" s="365">
        <v>0</v>
      </c>
      <c r="FF329" s="364">
        <v>0</v>
      </c>
      <c r="FG329" s="364">
        <v>0</v>
      </c>
      <c r="FH329" s="364">
        <v>0</v>
      </c>
      <c r="FI329" s="365">
        <v>0</v>
      </c>
      <c r="FJ329" s="365">
        <v>0</v>
      </c>
      <c r="FK329" s="365">
        <v>0</v>
      </c>
      <c r="FL329" s="365">
        <v>0</v>
      </c>
      <c r="FM329" s="365">
        <v>0</v>
      </c>
      <c r="FN329" s="365">
        <v>0</v>
      </c>
      <c r="FO329" s="365">
        <v>0</v>
      </c>
      <c r="FP329" s="365">
        <v>0</v>
      </c>
      <c r="FQ329" s="365">
        <v>0</v>
      </c>
      <c r="FR329" s="365">
        <v>0</v>
      </c>
      <c r="FS329" s="365">
        <v>0</v>
      </c>
      <c r="FT329" s="365">
        <v>0</v>
      </c>
      <c r="FU329" s="436">
        <v>0</v>
      </c>
      <c r="FV329" s="436">
        <v>0</v>
      </c>
      <c r="FW329" s="436">
        <v>0</v>
      </c>
      <c r="FX329" s="436">
        <v>0</v>
      </c>
      <c r="FY329" s="365">
        <v>0</v>
      </c>
      <c r="FZ329" s="436">
        <v>0</v>
      </c>
      <c r="GA329" s="436">
        <v>0</v>
      </c>
      <c r="GB329" s="436">
        <v>0</v>
      </c>
      <c r="GC329" s="436">
        <v>0</v>
      </c>
      <c r="GD329" s="365">
        <v>0</v>
      </c>
    </row>
    <row r="330" spans="1:186" ht="15" x14ac:dyDescent="0.25">
      <c r="A330" s="357">
        <v>109</v>
      </c>
      <c r="B330" s="357">
        <v>99</v>
      </c>
      <c r="C330" s="357" t="s">
        <v>1240</v>
      </c>
      <c r="D330" s="2">
        <v>99712</v>
      </c>
      <c r="E330" s="268" t="s">
        <v>1527</v>
      </c>
      <c r="F330" s="358" t="s">
        <v>985</v>
      </c>
      <c r="G330" s="49">
        <v>178</v>
      </c>
      <c r="H330" s="49">
        <v>89</v>
      </c>
      <c r="I330" s="49">
        <v>77</v>
      </c>
      <c r="J330" s="49">
        <v>12</v>
      </c>
      <c r="K330" s="49">
        <v>0</v>
      </c>
      <c r="L330" s="49">
        <v>134</v>
      </c>
      <c r="M330" s="49">
        <v>134</v>
      </c>
      <c r="N330" s="49">
        <v>3</v>
      </c>
      <c r="O330" s="49">
        <v>0</v>
      </c>
      <c r="P330" s="49">
        <v>0</v>
      </c>
      <c r="Q330" s="49">
        <v>137</v>
      </c>
      <c r="R330" s="49">
        <v>0</v>
      </c>
      <c r="S330" s="49">
        <v>2028.2388059701493</v>
      </c>
      <c r="T330" s="49">
        <v>2028.2388059701493</v>
      </c>
      <c r="U330" s="49">
        <v>4921.666666666667</v>
      </c>
      <c r="V330" s="49">
        <v>0</v>
      </c>
      <c r="W330" s="49">
        <v>0</v>
      </c>
      <c r="X330" s="49">
        <v>2091.5985401459852</v>
      </c>
      <c r="Y330" s="434">
        <v>271784</v>
      </c>
      <c r="Z330" s="434">
        <v>14765</v>
      </c>
      <c r="AA330" s="49">
        <v>0</v>
      </c>
      <c r="AB330" s="49">
        <v>89</v>
      </c>
      <c r="AC330" s="49">
        <v>0</v>
      </c>
      <c r="AD330" s="285">
        <v>3</v>
      </c>
      <c r="AE330" s="285">
        <v>0</v>
      </c>
      <c r="AF330" s="359">
        <v>92</v>
      </c>
      <c r="AG330" s="360">
        <v>0</v>
      </c>
      <c r="AH330" s="360">
        <v>77</v>
      </c>
      <c r="AI330" s="361">
        <v>77</v>
      </c>
      <c r="AJ330" s="360">
        <v>0</v>
      </c>
      <c r="AK330" s="360">
        <v>0</v>
      </c>
      <c r="AL330" s="360">
        <v>80.911167817970707</v>
      </c>
      <c r="AM330" s="360">
        <v>80.911167817970707</v>
      </c>
      <c r="AN330" s="360">
        <v>0</v>
      </c>
      <c r="AO330" s="360">
        <v>0</v>
      </c>
      <c r="AP330" s="360">
        <v>70.258966499869018</v>
      </c>
      <c r="AQ330" s="360">
        <v>70.258966499869018</v>
      </c>
      <c r="AR330" s="360">
        <v>0</v>
      </c>
      <c r="AS330" s="360">
        <v>2.7895240524415161</v>
      </c>
      <c r="AT330" s="360">
        <v>0</v>
      </c>
      <c r="AU330" s="360">
        <v>73.557495254694587</v>
      </c>
      <c r="AV330" s="360">
        <v>77.146761713128171</v>
      </c>
      <c r="AW330" s="360">
        <v>80.911167817970707</v>
      </c>
      <c r="AX330" s="360">
        <v>84.859259576073327</v>
      </c>
      <c r="AY330" s="360">
        <v>89</v>
      </c>
      <c r="AZ330" s="360">
        <v>64.108082774411898</v>
      </c>
      <c r="BA330" s="360">
        <v>67.113095890580368</v>
      </c>
      <c r="BB330" s="360">
        <v>70.258966499869018</v>
      </c>
      <c r="BC330" s="360">
        <v>73.552297180237105</v>
      </c>
      <c r="BD330" s="360">
        <v>77</v>
      </c>
      <c r="BE330" s="360">
        <v>2.5938148130499128</v>
      </c>
      <c r="BF330" s="360">
        <v>2.6898901108747597</v>
      </c>
      <c r="BG330" s="360">
        <v>2.7895240524415161</v>
      </c>
      <c r="BH330" s="360">
        <v>2.8928484504592613</v>
      </c>
      <c r="BI330" s="360">
        <v>3</v>
      </c>
      <c r="BJ330" s="362">
        <v>91.182071322655347</v>
      </c>
      <c r="BK330" s="362">
        <v>93.417641917863008</v>
      </c>
      <c r="BL330" s="362">
        <v>95.708023462346759</v>
      </c>
      <c r="BM330" s="363">
        <v>95.07878519951592</v>
      </c>
      <c r="BN330" s="363">
        <v>94.453683902187947</v>
      </c>
      <c r="BO330" s="363">
        <v>94.152062716801083</v>
      </c>
      <c r="BP330" s="363">
        <v>93.851404705487653</v>
      </c>
      <c r="BQ330" s="363">
        <v>93.551706792521074</v>
      </c>
      <c r="BR330" s="363">
        <v>93.252965911996554</v>
      </c>
      <c r="BS330" s="363">
        <v>92.955179007799742</v>
      </c>
      <c r="BT330" s="363">
        <v>93.642765476688837</v>
      </c>
      <c r="BU330" s="363">
        <v>94.335438000569653</v>
      </c>
      <c r="BV330" s="363">
        <v>95.033234200827351</v>
      </c>
      <c r="BW330" s="363">
        <v>95.736191977131313</v>
      </c>
      <c r="BX330" s="363">
        <v>96.444349509493421</v>
      </c>
      <c r="BY330" s="435">
        <v>96.833099022031192</v>
      </c>
      <c r="BZ330" s="435">
        <v>97.221848534568963</v>
      </c>
      <c r="CA330" s="435">
        <v>97.610598047106734</v>
      </c>
      <c r="CB330" s="435">
        <v>97.999347559644505</v>
      </c>
      <c r="CC330" s="363">
        <v>98.388097072182276</v>
      </c>
      <c r="CD330" s="435">
        <v>98.706756771129491</v>
      </c>
      <c r="CE330" s="435">
        <v>99.025416470076706</v>
      </c>
      <c r="CF330" s="435">
        <v>99.344076169023921</v>
      </c>
      <c r="CG330" s="435">
        <v>99.662735867971136</v>
      </c>
      <c r="CH330" s="363">
        <v>99.981395566918351</v>
      </c>
      <c r="CI330" s="362">
        <v>78.887859458926542</v>
      </c>
      <c r="CJ330" s="362">
        <v>80.822004805342146</v>
      </c>
      <c r="CK330" s="362">
        <v>82.803570860682029</v>
      </c>
      <c r="CL330" s="363">
        <v>82.259173711940747</v>
      </c>
      <c r="CM330" s="363">
        <v>81.718355735600809</v>
      </c>
      <c r="CN330" s="363">
        <v>81.457402575209926</v>
      </c>
      <c r="CO330" s="363">
        <v>81.197282722725276</v>
      </c>
      <c r="CP330" s="363">
        <v>80.93799351712498</v>
      </c>
      <c r="CQ330" s="363">
        <v>80.679532305884663</v>
      </c>
      <c r="CR330" s="363">
        <v>80.421896444950335</v>
      </c>
      <c r="CS330" s="363">
        <v>81.01677462589933</v>
      </c>
      <c r="CT330" s="363">
        <v>81.616053101616444</v>
      </c>
      <c r="CU330" s="363">
        <v>82.219764420940521</v>
      </c>
      <c r="CV330" s="363">
        <v>82.827941373473166</v>
      </c>
      <c r="CW330" s="363">
        <v>83.440616991359477</v>
      </c>
      <c r="CX330" s="435">
        <v>83.776950839285419</v>
      </c>
      <c r="CY330" s="435">
        <v>84.113284687211348</v>
      </c>
      <c r="CZ330" s="435">
        <v>84.44961853513729</v>
      </c>
      <c r="DA330" s="435">
        <v>84.785952383063218</v>
      </c>
      <c r="DB330" s="363">
        <v>85.122286230989161</v>
      </c>
      <c r="DC330" s="435">
        <v>85.397980577269337</v>
      </c>
      <c r="DD330" s="435">
        <v>85.673674923549513</v>
      </c>
      <c r="DE330" s="435">
        <v>85.949369269829688</v>
      </c>
      <c r="DF330" s="435">
        <v>86.225063616109864</v>
      </c>
      <c r="DG330" s="363">
        <v>86.50075796239004</v>
      </c>
      <c r="DH330" s="362">
        <v>3.073552965932203</v>
      </c>
      <c r="DI330" s="362">
        <v>3.1489092781302137</v>
      </c>
      <c r="DJ330" s="362">
        <v>3.2261131504161833</v>
      </c>
      <c r="DK330" s="363">
        <v>3.2049028718937955</v>
      </c>
      <c r="DL330" s="363">
        <v>3.1838320416467849</v>
      </c>
      <c r="DM330" s="363">
        <v>3.1736650353977898</v>
      </c>
      <c r="DN330" s="363">
        <v>3.1635304956905954</v>
      </c>
      <c r="DO330" s="363">
        <v>3.1534283188490253</v>
      </c>
      <c r="DP330" s="363">
        <v>3.1433584015279741</v>
      </c>
      <c r="DQ330" s="363">
        <v>3.1333206407123515</v>
      </c>
      <c r="DR330" s="363">
        <v>3.156497712697377</v>
      </c>
      <c r="DS330" s="363">
        <v>3.179846224738303</v>
      </c>
      <c r="DT330" s="363">
        <v>3.2033674449717089</v>
      </c>
      <c r="DU330" s="363">
        <v>3.2270626509145393</v>
      </c>
      <c r="DV330" s="363">
        <v>3.2509331295334865</v>
      </c>
      <c r="DW330" s="435">
        <v>3.2640370456864449</v>
      </c>
      <c r="DX330" s="435">
        <v>3.2771409618394034</v>
      </c>
      <c r="DY330" s="435">
        <v>3.2902448779923623</v>
      </c>
      <c r="DZ330" s="435">
        <v>3.3033487941453208</v>
      </c>
      <c r="EA330" s="363">
        <v>3.3164527102982793</v>
      </c>
      <c r="EB330" s="435">
        <v>3.3271940484650395</v>
      </c>
      <c r="EC330" s="435">
        <v>3.3379353866317993</v>
      </c>
      <c r="ED330" s="435">
        <v>3.3486767247985596</v>
      </c>
      <c r="EE330" s="435">
        <v>3.3594180629653194</v>
      </c>
      <c r="EF330" s="363">
        <v>3.3701594011320797</v>
      </c>
      <c r="EG330" s="364">
        <v>0</v>
      </c>
      <c r="EH330" s="364">
        <v>0</v>
      </c>
      <c r="EI330" s="364">
        <v>0</v>
      </c>
      <c r="EJ330" s="365">
        <v>0</v>
      </c>
      <c r="EK330" s="365">
        <v>0</v>
      </c>
      <c r="EL330" s="365">
        <v>0</v>
      </c>
      <c r="EM330" s="365">
        <v>0</v>
      </c>
      <c r="EN330" s="365">
        <v>0</v>
      </c>
      <c r="EO330" s="365">
        <v>0</v>
      </c>
      <c r="EP330" s="365">
        <v>0</v>
      </c>
      <c r="EQ330" s="365">
        <v>0</v>
      </c>
      <c r="ER330" s="365">
        <v>0</v>
      </c>
      <c r="ES330" s="365">
        <v>0</v>
      </c>
      <c r="ET330" s="365">
        <v>0</v>
      </c>
      <c r="EU330" s="365">
        <v>0</v>
      </c>
      <c r="EV330" s="436">
        <v>0</v>
      </c>
      <c r="EW330" s="436">
        <v>0</v>
      </c>
      <c r="EX330" s="436">
        <v>0</v>
      </c>
      <c r="EY330" s="436">
        <v>0</v>
      </c>
      <c r="EZ330" s="365">
        <v>0</v>
      </c>
      <c r="FA330" s="436">
        <v>0</v>
      </c>
      <c r="FB330" s="436">
        <v>0</v>
      </c>
      <c r="FC330" s="436">
        <v>0</v>
      </c>
      <c r="FD330" s="436">
        <v>0</v>
      </c>
      <c r="FE330" s="365">
        <v>0</v>
      </c>
      <c r="FF330" s="364">
        <v>0</v>
      </c>
      <c r="FG330" s="364">
        <v>0</v>
      </c>
      <c r="FH330" s="364">
        <v>0</v>
      </c>
      <c r="FI330" s="365">
        <v>0</v>
      </c>
      <c r="FJ330" s="365">
        <v>0</v>
      </c>
      <c r="FK330" s="365">
        <v>0</v>
      </c>
      <c r="FL330" s="365">
        <v>0</v>
      </c>
      <c r="FM330" s="365">
        <v>0</v>
      </c>
      <c r="FN330" s="365">
        <v>0</v>
      </c>
      <c r="FO330" s="365">
        <v>0</v>
      </c>
      <c r="FP330" s="365">
        <v>0</v>
      </c>
      <c r="FQ330" s="365">
        <v>0</v>
      </c>
      <c r="FR330" s="365">
        <v>0</v>
      </c>
      <c r="FS330" s="365">
        <v>0</v>
      </c>
      <c r="FT330" s="365">
        <v>0</v>
      </c>
      <c r="FU330" s="436">
        <v>0</v>
      </c>
      <c r="FV330" s="436">
        <v>0</v>
      </c>
      <c r="FW330" s="436">
        <v>0</v>
      </c>
      <c r="FX330" s="436">
        <v>0</v>
      </c>
      <c r="FY330" s="365">
        <v>0</v>
      </c>
      <c r="FZ330" s="436">
        <v>0</v>
      </c>
      <c r="GA330" s="436">
        <v>0</v>
      </c>
      <c r="GB330" s="436">
        <v>0</v>
      </c>
      <c r="GC330" s="436">
        <v>0</v>
      </c>
      <c r="GD330" s="365">
        <v>0</v>
      </c>
    </row>
    <row r="331" spans="1:186" ht="15" x14ac:dyDescent="0.25">
      <c r="A331" s="357">
        <v>110</v>
      </c>
      <c r="B331" s="357">
        <v>99</v>
      </c>
      <c r="C331" s="357" t="s">
        <v>1241</v>
      </c>
      <c r="D331" s="2">
        <v>99712</v>
      </c>
      <c r="E331" s="268" t="s">
        <v>1527</v>
      </c>
      <c r="F331" s="358" t="s">
        <v>985</v>
      </c>
      <c r="G331" s="49">
        <v>394</v>
      </c>
      <c r="H331" s="49">
        <v>168</v>
      </c>
      <c r="I331" s="49">
        <v>160</v>
      </c>
      <c r="J331" s="49">
        <v>8</v>
      </c>
      <c r="K331" s="49">
        <v>0</v>
      </c>
      <c r="L331" s="49">
        <v>62</v>
      </c>
      <c r="M331" s="49">
        <v>62</v>
      </c>
      <c r="N331" s="49">
        <v>0</v>
      </c>
      <c r="O331" s="49">
        <v>0</v>
      </c>
      <c r="P331" s="49">
        <v>0</v>
      </c>
      <c r="Q331" s="49">
        <v>62</v>
      </c>
      <c r="R331" s="49">
        <v>0</v>
      </c>
      <c r="S331" s="49">
        <v>2454.983870967742</v>
      </c>
      <c r="T331" s="49">
        <v>2454.983870967742</v>
      </c>
      <c r="U331" s="49">
        <v>0</v>
      </c>
      <c r="V331" s="49">
        <v>0</v>
      </c>
      <c r="W331" s="49">
        <v>0</v>
      </c>
      <c r="X331" s="49">
        <v>2454.983870967742</v>
      </c>
      <c r="Y331" s="434">
        <v>152209</v>
      </c>
      <c r="Z331" s="434">
        <v>0</v>
      </c>
      <c r="AA331" s="49">
        <v>0</v>
      </c>
      <c r="AB331" s="49">
        <v>168</v>
      </c>
      <c r="AC331" s="49">
        <v>0</v>
      </c>
      <c r="AD331" s="285">
        <v>0</v>
      </c>
      <c r="AE331" s="285">
        <v>0</v>
      </c>
      <c r="AF331" s="359">
        <v>168</v>
      </c>
      <c r="AG331" s="360">
        <v>0</v>
      </c>
      <c r="AH331" s="360">
        <v>160</v>
      </c>
      <c r="AI331" s="361">
        <v>160</v>
      </c>
      <c r="AJ331" s="360">
        <v>0</v>
      </c>
      <c r="AK331" s="360">
        <v>0</v>
      </c>
      <c r="AL331" s="360">
        <v>152.73119318448403</v>
      </c>
      <c r="AM331" s="360">
        <v>152.73119318448403</v>
      </c>
      <c r="AN331" s="360">
        <v>0</v>
      </c>
      <c r="AO331" s="360">
        <v>0</v>
      </c>
      <c r="AP331" s="360">
        <v>145.99265766206548</v>
      </c>
      <c r="AQ331" s="360">
        <v>145.99265766206548</v>
      </c>
      <c r="AR331" s="360">
        <v>0</v>
      </c>
      <c r="AS331" s="360">
        <v>0</v>
      </c>
      <c r="AT331" s="360">
        <v>0</v>
      </c>
      <c r="AU331" s="360">
        <v>138.85010340212011</v>
      </c>
      <c r="AV331" s="360">
        <v>145.62534795287115</v>
      </c>
      <c r="AW331" s="360">
        <v>152.73119318448403</v>
      </c>
      <c r="AX331" s="360">
        <v>160.18377088517212</v>
      </c>
      <c r="AY331" s="360">
        <v>168</v>
      </c>
      <c r="AZ331" s="360">
        <v>133.21160057020654</v>
      </c>
      <c r="BA331" s="360">
        <v>139.45578366873843</v>
      </c>
      <c r="BB331" s="360">
        <v>145.99265766206548</v>
      </c>
      <c r="BC331" s="360">
        <v>152.83594219270046</v>
      </c>
      <c r="BD331" s="360">
        <v>160</v>
      </c>
      <c r="BE331" s="360">
        <v>0</v>
      </c>
      <c r="BF331" s="360">
        <v>0</v>
      </c>
      <c r="BG331" s="360">
        <v>0</v>
      </c>
      <c r="BH331" s="360">
        <v>0</v>
      </c>
      <c r="BI331" s="360">
        <v>0</v>
      </c>
      <c r="BJ331" s="362">
        <v>172.11896609220335</v>
      </c>
      <c r="BK331" s="362">
        <v>176.33891957529198</v>
      </c>
      <c r="BL331" s="362">
        <v>180.66233642330624</v>
      </c>
      <c r="BM331" s="363">
        <v>179.47456082605254</v>
      </c>
      <c r="BN331" s="363">
        <v>178.29459433221993</v>
      </c>
      <c r="BO331" s="363">
        <v>177.7252419822762</v>
      </c>
      <c r="BP331" s="363">
        <v>177.15770775867333</v>
      </c>
      <c r="BQ331" s="363">
        <v>176.5919858555454</v>
      </c>
      <c r="BR331" s="363">
        <v>176.02807048556653</v>
      </c>
      <c r="BS331" s="363">
        <v>175.46595587989165</v>
      </c>
      <c r="BT331" s="363">
        <v>176.76387191105309</v>
      </c>
      <c r="BU331" s="363">
        <v>178.07138858534495</v>
      </c>
      <c r="BV331" s="363">
        <v>179.38857691841568</v>
      </c>
      <c r="BW331" s="363">
        <v>180.71550845121416</v>
      </c>
      <c r="BX331" s="363">
        <v>182.05225525387522</v>
      </c>
      <c r="BY331" s="435">
        <v>182.7860745584409</v>
      </c>
      <c r="BZ331" s="435">
        <v>183.51989386300659</v>
      </c>
      <c r="CA331" s="435">
        <v>184.25371316757224</v>
      </c>
      <c r="CB331" s="435">
        <v>184.98753247213793</v>
      </c>
      <c r="CC331" s="363">
        <v>185.72135177670361</v>
      </c>
      <c r="CD331" s="435">
        <v>186.32286671404219</v>
      </c>
      <c r="CE331" s="435">
        <v>186.92438165138074</v>
      </c>
      <c r="CF331" s="435">
        <v>187.52589658871932</v>
      </c>
      <c r="CG331" s="435">
        <v>188.12741152605787</v>
      </c>
      <c r="CH331" s="363">
        <v>188.72892646339645</v>
      </c>
      <c r="CI331" s="362">
        <v>163.92282484971747</v>
      </c>
      <c r="CJ331" s="362">
        <v>167.94182816694473</v>
      </c>
      <c r="CK331" s="362">
        <v>172.05936802219642</v>
      </c>
      <c r="CL331" s="363">
        <v>170.92815316766908</v>
      </c>
      <c r="CM331" s="363">
        <v>169.80437555449518</v>
      </c>
      <c r="CN331" s="363">
        <v>169.26213522121543</v>
      </c>
      <c r="CO331" s="363">
        <v>168.72162643683174</v>
      </c>
      <c r="CP331" s="363">
        <v>168.18284367194801</v>
      </c>
      <c r="CQ331" s="363">
        <v>167.64578141482528</v>
      </c>
      <c r="CR331" s="363">
        <v>167.11043417132538</v>
      </c>
      <c r="CS331" s="363">
        <v>168.34654467719341</v>
      </c>
      <c r="CT331" s="363">
        <v>169.59179865270949</v>
      </c>
      <c r="CU331" s="363">
        <v>170.84626373182445</v>
      </c>
      <c r="CV331" s="363">
        <v>172.1100080487754</v>
      </c>
      <c r="CW331" s="363">
        <v>173.38310024178594</v>
      </c>
      <c r="CX331" s="435">
        <v>174.08197576994374</v>
      </c>
      <c r="CY331" s="435">
        <v>174.78085129810151</v>
      </c>
      <c r="CZ331" s="435">
        <v>175.47972682625931</v>
      </c>
      <c r="DA331" s="435">
        <v>176.17860235441708</v>
      </c>
      <c r="DB331" s="363">
        <v>176.87747788257488</v>
      </c>
      <c r="DC331" s="435">
        <v>177.45034925146874</v>
      </c>
      <c r="DD331" s="435">
        <v>178.02322062036262</v>
      </c>
      <c r="DE331" s="435">
        <v>178.59609198925648</v>
      </c>
      <c r="DF331" s="435">
        <v>179.16896335815036</v>
      </c>
      <c r="DG331" s="363">
        <v>179.74183472704422</v>
      </c>
      <c r="DH331" s="362">
        <v>0</v>
      </c>
      <c r="DI331" s="362">
        <v>0</v>
      </c>
      <c r="DJ331" s="362">
        <v>0</v>
      </c>
      <c r="DK331" s="363">
        <v>0</v>
      </c>
      <c r="DL331" s="363">
        <v>0</v>
      </c>
      <c r="DM331" s="363">
        <v>0</v>
      </c>
      <c r="DN331" s="363">
        <v>0</v>
      </c>
      <c r="DO331" s="363">
        <v>0</v>
      </c>
      <c r="DP331" s="363">
        <v>0</v>
      </c>
      <c r="DQ331" s="363">
        <v>0</v>
      </c>
      <c r="DR331" s="363">
        <v>0</v>
      </c>
      <c r="DS331" s="363">
        <v>0</v>
      </c>
      <c r="DT331" s="363">
        <v>0</v>
      </c>
      <c r="DU331" s="363">
        <v>0</v>
      </c>
      <c r="DV331" s="363">
        <v>0</v>
      </c>
      <c r="DW331" s="435">
        <v>0</v>
      </c>
      <c r="DX331" s="435">
        <v>0</v>
      </c>
      <c r="DY331" s="435">
        <v>0</v>
      </c>
      <c r="DZ331" s="435">
        <v>0</v>
      </c>
      <c r="EA331" s="363">
        <v>0</v>
      </c>
      <c r="EB331" s="435">
        <v>0</v>
      </c>
      <c r="EC331" s="435">
        <v>0</v>
      </c>
      <c r="ED331" s="435">
        <v>0</v>
      </c>
      <c r="EE331" s="435">
        <v>0</v>
      </c>
      <c r="EF331" s="363">
        <v>0</v>
      </c>
      <c r="EG331" s="364">
        <v>0</v>
      </c>
      <c r="EH331" s="364">
        <v>0</v>
      </c>
      <c r="EI331" s="364">
        <v>0</v>
      </c>
      <c r="EJ331" s="365">
        <v>0</v>
      </c>
      <c r="EK331" s="365">
        <v>0</v>
      </c>
      <c r="EL331" s="365">
        <v>0</v>
      </c>
      <c r="EM331" s="365">
        <v>0</v>
      </c>
      <c r="EN331" s="365">
        <v>0</v>
      </c>
      <c r="EO331" s="365">
        <v>0</v>
      </c>
      <c r="EP331" s="365">
        <v>0</v>
      </c>
      <c r="EQ331" s="365">
        <v>0</v>
      </c>
      <c r="ER331" s="365">
        <v>0</v>
      </c>
      <c r="ES331" s="365">
        <v>0</v>
      </c>
      <c r="ET331" s="365">
        <v>0</v>
      </c>
      <c r="EU331" s="365">
        <v>0</v>
      </c>
      <c r="EV331" s="436">
        <v>0</v>
      </c>
      <c r="EW331" s="436">
        <v>0</v>
      </c>
      <c r="EX331" s="436">
        <v>0</v>
      </c>
      <c r="EY331" s="436">
        <v>0</v>
      </c>
      <c r="EZ331" s="365">
        <v>0</v>
      </c>
      <c r="FA331" s="436">
        <v>0</v>
      </c>
      <c r="FB331" s="436">
        <v>0</v>
      </c>
      <c r="FC331" s="436">
        <v>0</v>
      </c>
      <c r="FD331" s="436">
        <v>0</v>
      </c>
      <c r="FE331" s="365">
        <v>0</v>
      </c>
      <c r="FF331" s="364">
        <v>0</v>
      </c>
      <c r="FG331" s="364">
        <v>0</v>
      </c>
      <c r="FH331" s="364">
        <v>0</v>
      </c>
      <c r="FI331" s="365">
        <v>0</v>
      </c>
      <c r="FJ331" s="365">
        <v>0</v>
      </c>
      <c r="FK331" s="365">
        <v>0</v>
      </c>
      <c r="FL331" s="365">
        <v>0</v>
      </c>
      <c r="FM331" s="365">
        <v>0</v>
      </c>
      <c r="FN331" s="365">
        <v>0</v>
      </c>
      <c r="FO331" s="365">
        <v>0</v>
      </c>
      <c r="FP331" s="365">
        <v>0</v>
      </c>
      <c r="FQ331" s="365">
        <v>0</v>
      </c>
      <c r="FR331" s="365">
        <v>0</v>
      </c>
      <c r="FS331" s="365">
        <v>0</v>
      </c>
      <c r="FT331" s="365">
        <v>0</v>
      </c>
      <c r="FU331" s="436">
        <v>0</v>
      </c>
      <c r="FV331" s="436">
        <v>0</v>
      </c>
      <c r="FW331" s="436">
        <v>0</v>
      </c>
      <c r="FX331" s="436">
        <v>0</v>
      </c>
      <c r="FY331" s="365">
        <v>0</v>
      </c>
      <c r="FZ331" s="436">
        <v>0</v>
      </c>
      <c r="GA331" s="436">
        <v>0</v>
      </c>
      <c r="GB331" s="436">
        <v>0</v>
      </c>
      <c r="GC331" s="436">
        <v>0</v>
      </c>
      <c r="GD331" s="365">
        <v>0</v>
      </c>
    </row>
    <row r="332" spans="1:186" ht="15" x14ac:dyDescent="0.25">
      <c r="A332" s="357">
        <v>111</v>
      </c>
      <c r="B332" s="357">
        <v>99</v>
      </c>
      <c r="C332" s="357" t="s">
        <v>1242</v>
      </c>
      <c r="D332" s="2">
        <v>99712</v>
      </c>
      <c r="E332" s="268" t="s">
        <v>1527</v>
      </c>
      <c r="F332" s="358" t="s">
        <v>985</v>
      </c>
      <c r="G332" s="49">
        <v>757</v>
      </c>
      <c r="H332" s="49">
        <v>291</v>
      </c>
      <c r="I332" s="49">
        <v>270</v>
      </c>
      <c r="J332" s="49">
        <v>21</v>
      </c>
      <c r="K332" s="49">
        <v>0</v>
      </c>
      <c r="L332" s="49">
        <v>264</v>
      </c>
      <c r="M332" s="49">
        <v>264</v>
      </c>
      <c r="N332" s="49">
        <v>0</v>
      </c>
      <c r="O332" s="49">
        <v>0</v>
      </c>
      <c r="P332" s="49">
        <v>0</v>
      </c>
      <c r="Q332" s="49">
        <v>264</v>
      </c>
      <c r="R332" s="49">
        <v>0</v>
      </c>
      <c r="S332" s="49">
        <v>2424.9507575757575</v>
      </c>
      <c r="T332" s="49">
        <v>2424.9507575757575</v>
      </c>
      <c r="U332" s="49">
        <v>0</v>
      </c>
      <c r="V332" s="49">
        <v>0</v>
      </c>
      <c r="W332" s="49">
        <v>0</v>
      </c>
      <c r="X332" s="49">
        <v>2424.9507575757575</v>
      </c>
      <c r="Y332" s="434">
        <v>640187</v>
      </c>
      <c r="Z332" s="434">
        <v>0</v>
      </c>
      <c r="AA332" s="49">
        <v>0</v>
      </c>
      <c r="AB332" s="49">
        <v>291</v>
      </c>
      <c r="AC332" s="49">
        <v>0</v>
      </c>
      <c r="AD332" s="285">
        <v>0</v>
      </c>
      <c r="AE332" s="285">
        <v>0</v>
      </c>
      <c r="AF332" s="359">
        <v>291</v>
      </c>
      <c r="AG332" s="360">
        <v>0</v>
      </c>
      <c r="AH332" s="360">
        <v>270</v>
      </c>
      <c r="AI332" s="361">
        <v>270</v>
      </c>
      <c r="AJ332" s="360">
        <v>0</v>
      </c>
      <c r="AK332" s="360">
        <v>0</v>
      </c>
      <c r="AL332" s="360">
        <v>264.55224533740983</v>
      </c>
      <c r="AM332" s="360">
        <v>264.55224533740983</v>
      </c>
      <c r="AN332" s="360">
        <v>0</v>
      </c>
      <c r="AO332" s="360">
        <v>0</v>
      </c>
      <c r="AP332" s="360">
        <v>246.36260980473548</v>
      </c>
      <c r="AQ332" s="360">
        <v>246.36260980473548</v>
      </c>
      <c r="AR332" s="360">
        <v>0</v>
      </c>
      <c r="AS332" s="360">
        <v>0</v>
      </c>
      <c r="AT332" s="360">
        <v>0</v>
      </c>
      <c r="AU332" s="360">
        <v>240.50821482152949</v>
      </c>
      <c r="AV332" s="360">
        <v>252.24390627550895</v>
      </c>
      <c r="AW332" s="360">
        <v>264.55224533740983</v>
      </c>
      <c r="AX332" s="360">
        <v>277.46117456895888</v>
      </c>
      <c r="AY332" s="360">
        <v>291</v>
      </c>
      <c r="AZ332" s="360">
        <v>224.79457596222352</v>
      </c>
      <c r="BA332" s="360">
        <v>235.33163494099608</v>
      </c>
      <c r="BB332" s="360">
        <v>246.36260980473548</v>
      </c>
      <c r="BC332" s="360">
        <v>257.91065245018206</v>
      </c>
      <c r="BD332" s="360">
        <v>270</v>
      </c>
      <c r="BE332" s="360">
        <v>0</v>
      </c>
      <c r="BF332" s="360">
        <v>0</v>
      </c>
      <c r="BG332" s="360">
        <v>0</v>
      </c>
      <c r="BH332" s="360">
        <v>0</v>
      </c>
      <c r="BI332" s="360">
        <v>0</v>
      </c>
      <c r="BJ332" s="362">
        <v>294.97744456158489</v>
      </c>
      <c r="BK332" s="362">
        <v>299.00925360853222</v>
      </c>
      <c r="BL332" s="362">
        <v>303.09617020519477</v>
      </c>
      <c r="BM332" s="363">
        <v>301.10344586807975</v>
      </c>
      <c r="BN332" s="363">
        <v>299.12382281918298</v>
      </c>
      <c r="BO332" s="363">
        <v>298.16862363277966</v>
      </c>
      <c r="BP332" s="363">
        <v>297.21647470655654</v>
      </c>
      <c r="BQ332" s="363">
        <v>296.26736630004558</v>
      </c>
      <c r="BR332" s="363">
        <v>295.32128870388317</v>
      </c>
      <c r="BS332" s="363">
        <v>294.37823223971094</v>
      </c>
      <c r="BT332" s="363">
        <v>296.55573855387269</v>
      </c>
      <c r="BU332" s="363">
        <v>298.74935181219303</v>
      </c>
      <c r="BV332" s="363">
        <v>300.95919115721989</v>
      </c>
      <c r="BW332" s="363">
        <v>303.1853766127947</v>
      </c>
      <c r="BX332" s="363">
        <v>305.42802909057116</v>
      </c>
      <c r="BY332" s="435">
        <v>306.65915354760989</v>
      </c>
      <c r="BZ332" s="435">
        <v>307.89027800464868</v>
      </c>
      <c r="CA332" s="435">
        <v>309.12140246168741</v>
      </c>
      <c r="CB332" s="435">
        <v>310.3525269187262</v>
      </c>
      <c r="CC332" s="363">
        <v>311.58365137576493</v>
      </c>
      <c r="CD332" s="435">
        <v>312.59280955138684</v>
      </c>
      <c r="CE332" s="435">
        <v>313.60196772700874</v>
      </c>
      <c r="CF332" s="435">
        <v>314.6111259026307</v>
      </c>
      <c r="CG332" s="435">
        <v>315.62028407825261</v>
      </c>
      <c r="CH332" s="363">
        <v>316.62944225387452</v>
      </c>
      <c r="CI332" s="362">
        <v>273.69041247982102</v>
      </c>
      <c r="CJ332" s="362">
        <v>277.43126623472057</v>
      </c>
      <c r="CK332" s="362">
        <v>281.22325070585083</v>
      </c>
      <c r="CL332" s="363">
        <v>279.37433121780595</v>
      </c>
      <c r="CM332" s="363">
        <v>277.5375675641904</v>
      </c>
      <c r="CN332" s="363">
        <v>276.65130027783681</v>
      </c>
      <c r="CO332" s="363">
        <v>275.7678631297947</v>
      </c>
      <c r="CP332" s="363">
        <v>274.88724708251652</v>
      </c>
      <c r="CQ332" s="363">
        <v>274.00944312731434</v>
      </c>
      <c r="CR332" s="363">
        <v>273.13444228426789</v>
      </c>
      <c r="CS332" s="363">
        <v>275.15480896751075</v>
      </c>
      <c r="CT332" s="363">
        <v>277.19012023811729</v>
      </c>
      <c r="CU332" s="363">
        <v>279.2404866407195</v>
      </c>
      <c r="CV332" s="363">
        <v>281.3060195376446</v>
      </c>
      <c r="CW332" s="363">
        <v>283.38683111496294</v>
      </c>
      <c r="CX332" s="435">
        <v>284.52911153901954</v>
      </c>
      <c r="CY332" s="435">
        <v>285.67139196307613</v>
      </c>
      <c r="CZ332" s="435">
        <v>286.81367238713267</v>
      </c>
      <c r="DA332" s="435">
        <v>287.95595281118926</v>
      </c>
      <c r="DB332" s="363">
        <v>289.09823323524586</v>
      </c>
      <c r="DC332" s="435">
        <v>290.03456556314245</v>
      </c>
      <c r="DD332" s="435">
        <v>290.9708978910391</v>
      </c>
      <c r="DE332" s="435">
        <v>291.90723021893569</v>
      </c>
      <c r="DF332" s="435">
        <v>292.84356254683235</v>
      </c>
      <c r="DG332" s="363">
        <v>293.77989487472894</v>
      </c>
      <c r="DH332" s="362">
        <v>0</v>
      </c>
      <c r="DI332" s="362">
        <v>0</v>
      </c>
      <c r="DJ332" s="362">
        <v>0</v>
      </c>
      <c r="DK332" s="363">
        <v>0</v>
      </c>
      <c r="DL332" s="363">
        <v>0</v>
      </c>
      <c r="DM332" s="363">
        <v>0</v>
      </c>
      <c r="DN332" s="363">
        <v>0</v>
      </c>
      <c r="DO332" s="363">
        <v>0</v>
      </c>
      <c r="DP332" s="363">
        <v>0</v>
      </c>
      <c r="DQ332" s="363">
        <v>0</v>
      </c>
      <c r="DR332" s="363">
        <v>0</v>
      </c>
      <c r="DS332" s="363">
        <v>0</v>
      </c>
      <c r="DT332" s="363">
        <v>0</v>
      </c>
      <c r="DU332" s="363">
        <v>0</v>
      </c>
      <c r="DV332" s="363">
        <v>0</v>
      </c>
      <c r="DW332" s="435">
        <v>0</v>
      </c>
      <c r="DX332" s="435">
        <v>0</v>
      </c>
      <c r="DY332" s="435">
        <v>0</v>
      </c>
      <c r="DZ332" s="435">
        <v>0</v>
      </c>
      <c r="EA332" s="363">
        <v>0</v>
      </c>
      <c r="EB332" s="435">
        <v>0</v>
      </c>
      <c r="EC332" s="435">
        <v>0</v>
      </c>
      <c r="ED332" s="435">
        <v>0</v>
      </c>
      <c r="EE332" s="435">
        <v>0</v>
      </c>
      <c r="EF332" s="363">
        <v>0</v>
      </c>
      <c r="EG332" s="364">
        <v>0</v>
      </c>
      <c r="EH332" s="364">
        <v>0</v>
      </c>
      <c r="EI332" s="364">
        <v>0</v>
      </c>
      <c r="EJ332" s="365">
        <v>0</v>
      </c>
      <c r="EK332" s="365">
        <v>0</v>
      </c>
      <c r="EL332" s="365">
        <v>0</v>
      </c>
      <c r="EM332" s="365">
        <v>0</v>
      </c>
      <c r="EN332" s="365">
        <v>0</v>
      </c>
      <c r="EO332" s="365">
        <v>0</v>
      </c>
      <c r="EP332" s="365">
        <v>0</v>
      </c>
      <c r="EQ332" s="365">
        <v>0</v>
      </c>
      <c r="ER332" s="365">
        <v>0</v>
      </c>
      <c r="ES332" s="365">
        <v>0</v>
      </c>
      <c r="ET332" s="365">
        <v>0</v>
      </c>
      <c r="EU332" s="365">
        <v>0</v>
      </c>
      <c r="EV332" s="436">
        <v>0</v>
      </c>
      <c r="EW332" s="436">
        <v>0</v>
      </c>
      <c r="EX332" s="436">
        <v>0</v>
      </c>
      <c r="EY332" s="436">
        <v>0</v>
      </c>
      <c r="EZ332" s="365">
        <v>0</v>
      </c>
      <c r="FA332" s="436">
        <v>0</v>
      </c>
      <c r="FB332" s="436">
        <v>0</v>
      </c>
      <c r="FC332" s="436">
        <v>0</v>
      </c>
      <c r="FD332" s="436">
        <v>0</v>
      </c>
      <c r="FE332" s="365">
        <v>0</v>
      </c>
      <c r="FF332" s="364">
        <v>0</v>
      </c>
      <c r="FG332" s="364">
        <v>0</v>
      </c>
      <c r="FH332" s="364">
        <v>0</v>
      </c>
      <c r="FI332" s="365">
        <v>0</v>
      </c>
      <c r="FJ332" s="365">
        <v>0</v>
      </c>
      <c r="FK332" s="365">
        <v>0</v>
      </c>
      <c r="FL332" s="365">
        <v>0</v>
      </c>
      <c r="FM332" s="365">
        <v>0</v>
      </c>
      <c r="FN332" s="365">
        <v>0</v>
      </c>
      <c r="FO332" s="365">
        <v>0</v>
      </c>
      <c r="FP332" s="365">
        <v>0</v>
      </c>
      <c r="FQ332" s="365">
        <v>0</v>
      </c>
      <c r="FR332" s="365">
        <v>0</v>
      </c>
      <c r="FS332" s="365">
        <v>0</v>
      </c>
      <c r="FT332" s="365">
        <v>0</v>
      </c>
      <c r="FU332" s="436">
        <v>0</v>
      </c>
      <c r="FV332" s="436">
        <v>0</v>
      </c>
      <c r="FW332" s="436">
        <v>0</v>
      </c>
      <c r="FX332" s="436">
        <v>0</v>
      </c>
      <c r="FY332" s="365">
        <v>0</v>
      </c>
      <c r="FZ332" s="436">
        <v>0</v>
      </c>
      <c r="GA332" s="436">
        <v>0</v>
      </c>
      <c r="GB332" s="436">
        <v>0</v>
      </c>
      <c r="GC332" s="436">
        <v>0</v>
      </c>
      <c r="GD332" s="365">
        <v>0</v>
      </c>
    </row>
    <row r="333" spans="1:186" ht="15" x14ac:dyDescent="0.25">
      <c r="A333" s="357">
        <v>112</v>
      </c>
      <c r="B333" s="357">
        <v>99</v>
      </c>
      <c r="C333" s="357" t="s">
        <v>1243</v>
      </c>
      <c r="D333" s="2">
        <v>99712</v>
      </c>
      <c r="E333" s="268" t="s">
        <v>1527</v>
      </c>
      <c r="F333" s="358" t="s">
        <v>985</v>
      </c>
      <c r="G333" s="49">
        <v>265</v>
      </c>
      <c r="H333" s="49">
        <v>97</v>
      </c>
      <c r="I333" s="49">
        <v>91</v>
      </c>
      <c r="J333" s="49">
        <v>6</v>
      </c>
      <c r="K333" s="49">
        <v>0</v>
      </c>
      <c r="L333" s="49">
        <v>69</v>
      </c>
      <c r="M333" s="49">
        <v>69</v>
      </c>
      <c r="N333" s="49">
        <v>1</v>
      </c>
      <c r="O333" s="49">
        <v>0</v>
      </c>
      <c r="P333" s="49">
        <v>0</v>
      </c>
      <c r="Q333" s="49">
        <v>70</v>
      </c>
      <c r="R333" s="49">
        <v>0</v>
      </c>
      <c r="S333" s="49">
        <v>2654.942028985507</v>
      </c>
      <c r="T333" s="49">
        <v>2654.942028985507</v>
      </c>
      <c r="U333" s="49">
        <v>3150</v>
      </c>
      <c r="V333" s="49">
        <v>0</v>
      </c>
      <c r="W333" s="49">
        <v>0</v>
      </c>
      <c r="X333" s="49">
        <v>2662.0142857142855</v>
      </c>
      <c r="Y333" s="434">
        <v>183190.99999999997</v>
      </c>
      <c r="Z333" s="434">
        <v>3150</v>
      </c>
      <c r="AA333" s="49">
        <v>0</v>
      </c>
      <c r="AB333" s="49">
        <v>97</v>
      </c>
      <c r="AC333" s="49">
        <v>0</v>
      </c>
      <c r="AD333" s="285">
        <v>1</v>
      </c>
      <c r="AE333" s="285">
        <v>0</v>
      </c>
      <c r="AF333" s="359">
        <v>98</v>
      </c>
      <c r="AG333" s="360">
        <v>0</v>
      </c>
      <c r="AH333" s="360">
        <v>91</v>
      </c>
      <c r="AI333" s="361">
        <v>91</v>
      </c>
      <c r="AJ333" s="360">
        <v>0</v>
      </c>
      <c r="AK333" s="360">
        <v>0</v>
      </c>
      <c r="AL333" s="360">
        <v>88.184081779136605</v>
      </c>
      <c r="AM333" s="360">
        <v>88.184081779136605</v>
      </c>
      <c r="AN333" s="360">
        <v>0</v>
      </c>
      <c r="AO333" s="360">
        <v>0</v>
      </c>
      <c r="AP333" s="360">
        <v>83.033324045299736</v>
      </c>
      <c r="AQ333" s="360">
        <v>83.033324045299736</v>
      </c>
      <c r="AR333" s="360">
        <v>0</v>
      </c>
      <c r="AS333" s="360">
        <v>0.92984135081383867</v>
      </c>
      <c r="AT333" s="360">
        <v>0</v>
      </c>
      <c r="AU333" s="360">
        <v>80.169404940509821</v>
      </c>
      <c r="AV333" s="360">
        <v>84.081302091836321</v>
      </c>
      <c r="AW333" s="360">
        <v>88.184081779136605</v>
      </c>
      <c r="AX333" s="360">
        <v>92.487058189652956</v>
      </c>
      <c r="AY333" s="360">
        <v>97</v>
      </c>
      <c r="AZ333" s="360">
        <v>75.764097824304969</v>
      </c>
      <c r="BA333" s="360">
        <v>79.315476961594982</v>
      </c>
      <c r="BB333" s="360">
        <v>83.033324045299736</v>
      </c>
      <c r="BC333" s="360">
        <v>86.925442122098389</v>
      </c>
      <c r="BD333" s="360">
        <v>91</v>
      </c>
      <c r="BE333" s="360">
        <v>0.86460493768330426</v>
      </c>
      <c r="BF333" s="360">
        <v>0.89663003695825327</v>
      </c>
      <c r="BG333" s="360">
        <v>0.92984135081383867</v>
      </c>
      <c r="BH333" s="360">
        <v>0.96428281681975381</v>
      </c>
      <c r="BI333" s="360">
        <v>1</v>
      </c>
      <c r="BJ333" s="362">
        <v>98.938558382861785</v>
      </c>
      <c r="BK333" s="362">
        <v>100.9158591224634</v>
      </c>
      <c r="BL333" s="362">
        <v>102.93267649014949</v>
      </c>
      <c r="BM333" s="363">
        <v>102.25593930344256</v>
      </c>
      <c r="BN333" s="363">
        <v>101.58365136682303</v>
      </c>
      <c r="BO333" s="363">
        <v>101.25926188749986</v>
      </c>
      <c r="BP333" s="363">
        <v>100.93590828878227</v>
      </c>
      <c r="BQ333" s="363">
        <v>100.61358726276821</v>
      </c>
      <c r="BR333" s="363">
        <v>100.29229551211878</v>
      </c>
      <c r="BS333" s="363">
        <v>99.972029750024632</v>
      </c>
      <c r="BT333" s="363">
        <v>100.71151963813219</v>
      </c>
      <c r="BU333" s="363">
        <v>101.45647950915375</v>
      </c>
      <c r="BV333" s="363">
        <v>102.20694982437701</v>
      </c>
      <c r="BW333" s="363">
        <v>102.96297134438046</v>
      </c>
      <c r="BX333" s="363">
        <v>103.72458513124724</v>
      </c>
      <c r="BY333" s="435">
        <v>104.14267994046139</v>
      </c>
      <c r="BZ333" s="435">
        <v>104.56077474967555</v>
      </c>
      <c r="CA333" s="435">
        <v>104.9788695588897</v>
      </c>
      <c r="CB333" s="435">
        <v>105.39696436810385</v>
      </c>
      <c r="CC333" s="363">
        <v>105.81505917731801</v>
      </c>
      <c r="CD333" s="435">
        <v>106.15777334605315</v>
      </c>
      <c r="CE333" s="435">
        <v>106.5004875147883</v>
      </c>
      <c r="CF333" s="435">
        <v>106.84320168352345</v>
      </c>
      <c r="CG333" s="435">
        <v>107.1859158522586</v>
      </c>
      <c r="CH333" s="363">
        <v>107.52863002099375</v>
      </c>
      <c r="CI333" s="362">
        <v>92.818647555055904</v>
      </c>
      <c r="CJ333" s="362">
        <v>94.673641032414125</v>
      </c>
      <c r="CK333" s="362">
        <v>96.565706810346427</v>
      </c>
      <c r="CL333" s="363">
        <v>95.930829655806932</v>
      </c>
      <c r="CM333" s="363">
        <v>95.300126540009231</v>
      </c>
      <c r="CN333" s="363">
        <v>94.995802389303989</v>
      </c>
      <c r="CO333" s="363">
        <v>94.692450044115333</v>
      </c>
      <c r="CP333" s="363">
        <v>94.390066401153675</v>
      </c>
      <c r="CQ333" s="363">
        <v>94.088648367039269</v>
      </c>
      <c r="CR333" s="363">
        <v>93.788192858270534</v>
      </c>
      <c r="CS333" s="363">
        <v>94.481941103814734</v>
      </c>
      <c r="CT333" s="363">
        <v>95.180820982814339</v>
      </c>
      <c r="CU333" s="363">
        <v>95.884870453796978</v>
      </c>
      <c r="CV333" s="363">
        <v>96.594127756068275</v>
      </c>
      <c r="CW333" s="363">
        <v>97.308631411788639</v>
      </c>
      <c r="CX333" s="435">
        <v>97.700864686412231</v>
      </c>
      <c r="CY333" s="435">
        <v>98.093097961035809</v>
      </c>
      <c r="CZ333" s="435">
        <v>98.485331235659402</v>
      </c>
      <c r="DA333" s="435">
        <v>98.87756451028298</v>
      </c>
      <c r="DB333" s="363">
        <v>99.269797784906572</v>
      </c>
      <c r="DC333" s="435">
        <v>99.591313139080782</v>
      </c>
      <c r="DD333" s="435">
        <v>99.912828493254992</v>
      </c>
      <c r="DE333" s="435">
        <v>100.23434384742922</v>
      </c>
      <c r="DF333" s="435">
        <v>100.55585920160343</v>
      </c>
      <c r="DG333" s="363">
        <v>100.87737455577764</v>
      </c>
      <c r="DH333" s="362">
        <v>1.0199851379676472</v>
      </c>
      <c r="DI333" s="362">
        <v>1.0403696816748804</v>
      </c>
      <c r="DJ333" s="362">
        <v>1.0611616133005102</v>
      </c>
      <c r="DK333" s="363">
        <v>1.0541849412726036</v>
      </c>
      <c r="DL333" s="363">
        <v>1.0472541378022993</v>
      </c>
      <c r="DM333" s="363">
        <v>1.043909916365978</v>
      </c>
      <c r="DN333" s="363">
        <v>1.0405763741111573</v>
      </c>
      <c r="DO333" s="363">
        <v>1.0372534769357546</v>
      </c>
      <c r="DP333" s="363">
        <v>1.0339411908465854</v>
      </c>
      <c r="DQ333" s="363">
        <v>1.0306394819590168</v>
      </c>
      <c r="DR333" s="363">
        <v>1.038263089052909</v>
      </c>
      <c r="DS333" s="363">
        <v>1.0459430877232345</v>
      </c>
      <c r="DT333" s="363">
        <v>1.0536798950966701</v>
      </c>
      <c r="DU333" s="363">
        <v>1.0614739313853656</v>
      </c>
      <c r="DV333" s="363">
        <v>1.0693256199097654</v>
      </c>
      <c r="DW333" s="435">
        <v>1.0736358756748596</v>
      </c>
      <c r="DX333" s="435">
        <v>1.0779461314399541</v>
      </c>
      <c r="DY333" s="435">
        <v>1.0822563872050484</v>
      </c>
      <c r="DZ333" s="435">
        <v>1.0865666429701428</v>
      </c>
      <c r="EA333" s="363">
        <v>1.0908768987352371</v>
      </c>
      <c r="EB333" s="435">
        <v>1.0944100344953933</v>
      </c>
      <c r="EC333" s="435">
        <v>1.0979431702555495</v>
      </c>
      <c r="ED333" s="435">
        <v>1.1014763060157056</v>
      </c>
      <c r="EE333" s="435">
        <v>1.1050094417758618</v>
      </c>
      <c r="EF333" s="363">
        <v>1.108542577536018</v>
      </c>
      <c r="EG333" s="364">
        <v>0</v>
      </c>
      <c r="EH333" s="364">
        <v>0</v>
      </c>
      <c r="EI333" s="364">
        <v>0</v>
      </c>
      <c r="EJ333" s="365">
        <v>0</v>
      </c>
      <c r="EK333" s="365">
        <v>0</v>
      </c>
      <c r="EL333" s="365">
        <v>0</v>
      </c>
      <c r="EM333" s="365">
        <v>0</v>
      </c>
      <c r="EN333" s="365">
        <v>0</v>
      </c>
      <c r="EO333" s="365">
        <v>0</v>
      </c>
      <c r="EP333" s="365">
        <v>0</v>
      </c>
      <c r="EQ333" s="365">
        <v>0</v>
      </c>
      <c r="ER333" s="365">
        <v>0</v>
      </c>
      <c r="ES333" s="365">
        <v>0</v>
      </c>
      <c r="ET333" s="365">
        <v>0</v>
      </c>
      <c r="EU333" s="365">
        <v>0</v>
      </c>
      <c r="EV333" s="436">
        <v>0</v>
      </c>
      <c r="EW333" s="436">
        <v>0</v>
      </c>
      <c r="EX333" s="436">
        <v>0</v>
      </c>
      <c r="EY333" s="436">
        <v>0</v>
      </c>
      <c r="EZ333" s="365">
        <v>0</v>
      </c>
      <c r="FA333" s="436">
        <v>0</v>
      </c>
      <c r="FB333" s="436">
        <v>0</v>
      </c>
      <c r="FC333" s="436">
        <v>0</v>
      </c>
      <c r="FD333" s="436">
        <v>0</v>
      </c>
      <c r="FE333" s="365">
        <v>0</v>
      </c>
      <c r="FF333" s="364">
        <v>0</v>
      </c>
      <c r="FG333" s="364">
        <v>0</v>
      </c>
      <c r="FH333" s="364">
        <v>0</v>
      </c>
      <c r="FI333" s="365">
        <v>0</v>
      </c>
      <c r="FJ333" s="365">
        <v>0</v>
      </c>
      <c r="FK333" s="365">
        <v>0</v>
      </c>
      <c r="FL333" s="365">
        <v>0</v>
      </c>
      <c r="FM333" s="365">
        <v>0</v>
      </c>
      <c r="FN333" s="365">
        <v>0</v>
      </c>
      <c r="FO333" s="365">
        <v>0</v>
      </c>
      <c r="FP333" s="365">
        <v>0</v>
      </c>
      <c r="FQ333" s="365">
        <v>0</v>
      </c>
      <c r="FR333" s="365">
        <v>0</v>
      </c>
      <c r="FS333" s="365">
        <v>0</v>
      </c>
      <c r="FT333" s="365">
        <v>0</v>
      </c>
      <c r="FU333" s="436">
        <v>0</v>
      </c>
      <c r="FV333" s="436">
        <v>0</v>
      </c>
      <c r="FW333" s="436">
        <v>0</v>
      </c>
      <c r="FX333" s="436">
        <v>0</v>
      </c>
      <c r="FY333" s="365">
        <v>0</v>
      </c>
      <c r="FZ333" s="436">
        <v>0</v>
      </c>
      <c r="GA333" s="436">
        <v>0</v>
      </c>
      <c r="GB333" s="436">
        <v>0</v>
      </c>
      <c r="GC333" s="436">
        <v>0</v>
      </c>
      <c r="GD333" s="365">
        <v>0</v>
      </c>
    </row>
    <row r="334" spans="1:186" ht="15" x14ac:dyDescent="0.25">
      <c r="A334" s="357">
        <v>113</v>
      </c>
      <c r="B334" s="357">
        <v>99</v>
      </c>
      <c r="C334" s="357" t="s">
        <v>1244</v>
      </c>
      <c r="D334" s="2">
        <v>99712</v>
      </c>
      <c r="E334" s="268" t="s">
        <v>1527</v>
      </c>
      <c r="F334" s="358" t="s">
        <v>985</v>
      </c>
      <c r="G334" s="49">
        <v>465</v>
      </c>
      <c r="H334" s="49">
        <v>166</v>
      </c>
      <c r="I334" s="49">
        <v>158</v>
      </c>
      <c r="J334" s="49">
        <v>8</v>
      </c>
      <c r="K334" s="49">
        <v>0</v>
      </c>
      <c r="L334" s="49">
        <v>154</v>
      </c>
      <c r="M334" s="49">
        <v>154</v>
      </c>
      <c r="N334" s="49">
        <v>1</v>
      </c>
      <c r="O334" s="49">
        <v>0</v>
      </c>
      <c r="P334" s="49">
        <v>0</v>
      </c>
      <c r="Q334" s="49">
        <v>155</v>
      </c>
      <c r="R334" s="49">
        <v>0</v>
      </c>
      <c r="S334" s="49">
        <v>2728.1623376623379</v>
      </c>
      <c r="T334" s="49">
        <v>2728.1623376623379</v>
      </c>
      <c r="U334" s="49">
        <v>1416</v>
      </c>
      <c r="V334" s="49">
        <v>0</v>
      </c>
      <c r="W334" s="49">
        <v>0</v>
      </c>
      <c r="X334" s="49">
        <v>2719.6967741935482</v>
      </c>
      <c r="Y334" s="434">
        <v>420137.00000000006</v>
      </c>
      <c r="Z334" s="434">
        <v>1416</v>
      </c>
      <c r="AA334" s="49">
        <v>0</v>
      </c>
      <c r="AB334" s="49">
        <v>166</v>
      </c>
      <c r="AC334" s="49">
        <v>0</v>
      </c>
      <c r="AD334" s="285">
        <v>1</v>
      </c>
      <c r="AE334" s="285">
        <v>0</v>
      </c>
      <c r="AF334" s="359">
        <v>167</v>
      </c>
      <c r="AG334" s="360">
        <v>0</v>
      </c>
      <c r="AH334" s="360">
        <v>158</v>
      </c>
      <c r="AI334" s="361">
        <v>158</v>
      </c>
      <c r="AJ334" s="360">
        <v>0</v>
      </c>
      <c r="AK334" s="360">
        <v>0</v>
      </c>
      <c r="AL334" s="360">
        <v>150.91296469419254</v>
      </c>
      <c r="AM334" s="360">
        <v>150.91296469419254</v>
      </c>
      <c r="AN334" s="360">
        <v>0</v>
      </c>
      <c r="AO334" s="360">
        <v>0</v>
      </c>
      <c r="AP334" s="360">
        <v>144.16774944128966</v>
      </c>
      <c r="AQ334" s="360">
        <v>144.16774944128966</v>
      </c>
      <c r="AR334" s="360">
        <v>0</v>
      </c>
      <c r="AS334" s="360">
        <v>0.92984135081383867</v>
      </c>
      <c r="AT334" s="360">
        <v>0</v>
      </c>
      <c r="AU334" s="360">
        <v>137.1971259806663</v>
      </c>
      <c r="AV334" s="360">
        <v>143.89171285819413</v>
      </c>
      <c r="AW334" s="360">
        <v>150.91296469419254</v>
      </c>
      <c r="AX334" s="360">
        <v>158.27682123177721</v>
      </c>
      <c r="AY334" s="360">
        <v>166</v>
      </c>
      <c r="AZ334" s="360">
        <v>131.54645556307895</v>
      </c>
      <c r="BA334" s="360">
        <v>137.7125863728792</v>
      </c>
      <c r="BB334" s="360">
        <v>144.16774944128966</v>
      </c>
      <c r="BC334" s="360">
        <v>150.9254929152917</v>
      </c>
      <c r="BD334" s="360">
        <v>158</v>
      </c>
      <c r="BE334" s="360">
        <v>0.86460493768330426</v>
      </c>
      <c r="BF334" s="360">
        <v>0.89663003695825327</v>
      </c>
      <c r="BG334" s="360">
        <v>0.92984135081383867</v>
      </c>
      <c r="BH334" s="360">
        <v>0.96428281681975381</v>
      </c>
      <c r="BI334" s="360">
        <v>1</v>
      </c>
      <c r="BJ334" s="362">
        <v>169.31753290262944</v>
      </c>
      <c r="BK334" s="362">
        <v>172.70136715803014</v>
      </c>
      <c r="BL334" s="362">
        <v>176.15282780788468</v>
      </c>
      <c r="BM334" s="363">
        <v>174.9947002512522</v>
      </c>
      <c r="BN334" s="363">
        <v>173.84418687518166</v>
      </c>
      <c r="BO334" s="363">
        <v>173.2890461167523</v>
      </c>
      <c r="BP334" s="363">
        <v>172.73567810245211</v>
      </c>
      <c r="BQ334" s="363">
        <v>172.18407717133525</v>
      </c>
      <c r="BR334" s="363">
        <v>171.63423768053318</v>
      </c>
      <c r="BS334" s="363">
        <v>171.08615400519679</v>
      </c>
      <c r="BT334" s="363">
        <v>172.35167278278288</v>
      </c>
      <c r="BU334" s="363">
        <v>173.62655256205693</v>
      </c>
      <c r="BV334" s="363">
        <v>174.91086258604722</v>
      </c>
      <c r="BW334" s="363">
        <v>176.20467260997069</v>
      </c>
      <c r="BX334" s="363">
        <v>177.50805290502103</v>
      </c>
      <c r="BY334" s="435">
        <v>178.2235553620267</v>
      </c>
      <c r="BZ334" s="435">
        <v>178.93905781903237</v>
      </c>
      <c r="CA334" s="435">
        <v>179.65456027603801</v>
      </c>
      <c r="CB334" s="435">
        <v>180.37006273304368</v>
      </c>
      <c r="CC334" s="363">
        <v>181.08556519004935</v>
      </c>
      <c r="CD334" s="435">
        <v>181.67206572623527</v>
      </c>
      <c r="CE334" s="435">
        <v>182.2585662624212</v>
      </c>
      <c r="CF334" s="435">
        <v>182.84506679860712</v>
      </c>
      <c r="CG334" s="435">
        <v>183.43156733479304</v>
      </c>
      <c r="CH334" s="363">
        <v>184.01806787097897</v>
      </c>
      <c r="CI334" s="362">
        <v>161.15765179888825</v>
      </c>
      <c r="CJ334" s="362">
        <v>164.37840970463111</v>
      </c>
      <c r="CK334" s="362">
        <v>167.6635349014806</v>
      </c>
      <c r="CL334" s="363">
        <v>166.56122072107138</v>
      </c>
      <c r="CM334" s="363">
        <v>165.46615377276328</v>
      </c>
      <c r="CN334" s="363">
        <v>164.93776678582449</v>
      </c>
      <c r="CO334" s="363">
        <v>164.41106710956288</v>
      </c>
      <c r="CP334" s="363">
        <v>163.88604935584922</v>
      </c>
      <c r="CQ334" s="363">
        <v>163.36270815376048</v>
      </c>
      <c r="CR334" s="363">
        <v>162.84103814952465</v>
      </c>
      <c r="CS334" s="363">
        <v>164.04556807035962</v>
      </c>
      <c r="CT334" s="363">
        <v>165.25900786027105</v>
      </c>
      <c r="CU334" s="363">
        <v>166.48142342527387</v>
      </c>
      <c r="CV334" s="363">
        <v>167.71288115888777</v>
      </c>
      <c r="CW334" s="363">
        <v>168.95344794574291</v>
      </c>
      <c r="CX334" s="435">
        <v>169.63446835662782</v>
      </c>
      <c r="CY334" s="435">
        <v>170.31548876751273</v>
      </c>
      <c r="CZ334" s="435">
        <v>170.99650917839764</v>
      </c>
      <c r="DA334" s="435">
        <v>171.67752958928256</v>
      </c>
      <c r="DB334" s="363">
        <v>172.35855000016747</v>
      </c>
      <c r="DC334" s="435">
        <v>172.91678545027213</v>
      </c>
      <c r="DD334" s="435">
        <v>173.47502090037682</v>
      </c>
      <c r="DE334" s="435">
        <v>174.03325635048148</v>
      </c>
      <c r="DF334" s="435">
        <v>174.59149180058617</v>
      </c>
      <c r="DG334" s="363">
        <v>175.14972725069083</v>
      </c>
      <c r="DH334" s="362">
        <v>1.0199851379676472</v>
      </c>
      <c r="DI334" s="362">
        <v>1.0403696816748804</v>
      </c>
      <c r="DJ334" s="362">
        <v>1.0611616133005102</v>
      </c>
      <c r="DK334" s="363">
        <v>1.0541849412726036</v>
      </c>
      <c r="DL334" s="363">
        <v>1.0472541378022993</v>
      </c>
      <c r="DM334" s="363">
        <v>1.043909916365978</v>
      </c>
      <c r="DN334" s="363">
        <v>1.0405763741111573</v>
      </c>
      <c r="DO334" s="363">
        <v>1.0372534769357546</v>
      </c>
      <c r="DP334" s="363">
        <v>1.0339411908465854</v>
      </c>
      <c r="DQ334" s="363">
        <v>1.0306394819590168</v>
      </c>
      <c r="DR334" s="363">
        <v>1.038263089052909</v>
      </c>
      <c r="DS334" s="363">
        <v>1.0459430877232345</v>
      </c>
      <c r="DT334" s="363">
        <v>1.0536798950966701</v>
      </c>
      <c r="DU334" s="363">
        <v>1.0614739313853656</v>
      </c>
      <c r="DV334" s="363">
        <v>1.0693256199097654</v>
      </c>
      <c r="DW334" s="435">
        <v>1.0736358756748596</v>
      </c>
      <c r="DX334" s="435">
        <v>1.0779461314399541</v>
      </c>
      <c r="DY334" s="435">
        <v>1.0822563872050484</v>
      </c>
      <c r="DZ334" s="435">
        <v>1.0865666429701428</v>
      </c>
      <c r="EA334" s="363">
        <v>1.0908768987352371</v>
      </c>
      <c r="EB334" s="435">
        <v>1.0944100344953933</v>
      </c>
      <c r="EC334" s="435">
        <v>1.0979431702555495</v>
      </c>
      <c r="ED334" s="435">
        <v>1.1014763060157056</v>
      </c>
      <c r="EE334" s="435">
        <v>1.1050094417758618</v>
      </c>
      <c r="EF334" s="363">
        <v>1.108542577536018</v>
      </c>
      <c r="EG334" s="364">
        <v>0</v>
      </c>
      <c r="EH334" s="364">
        <v>0</v>
      </c>
      <c r="EI334" s="364">
        <v>0</v>
      </c>
      <c r="EJ334" s="365">
        <v>0</v>
      </c>
      <c r="EK334" s="365">
        <v>0</v>
      </c>
      <c r="EL334" s="365">
        <v>0</v>
      </c>
      <c r="EM334" s="365">
        <v>0</v>
      </c>
      <c r="EN334" s="365">
        <v>0</v>
      </c>
      <c r="EO334" s="365">
        <v>0</v>
      </c>
      <c r="EP334" s="365">
        <v>0</v>
      </c>
      <c r="EQ334" s="365">
        <v>0</v>
      </c>
      <c r="ER334" s="365">
        <v>0</v>
      </c>
      <c r="ES334" s="365">
        <v>0</v>
      </c>
      <c r="ET334" s="365">
        <v>0</v>
      </c>
      <c r="EU334" s="365">
        <v>0</v>
      </c>
      <c r="EV334" s="436">
        <v>0</v>
      </c>
      <c r="EW334" s="436">
        <v>0</v>
      </c>
      <c r="EX334" s="436">
        <v>0</v>
      </c>
      <c r="EY334" s="436">
        <v>0</v>
      </c>
      <c r="EZ334" s="365">
        <v>0</v>
      </c>
      <c r="FA334" s="436">
        <v>0</v>
      </c>
      <c r="FB334" s="436">
        <v>0</v>
      </c>
      <c r="FC334" s="436">
        <v>0</v>
      </c>
      <c r="FD334" s="436">
        <v>0</v>
      </c>
      <c r="FE334" s="365">
        <v>0</v>
      </c>
      <c r="FF334" s="364">
        <v>0</v>
      </c>
      <c r="FG334" s="364">
        <v>0</v>
      </c>
      <c r="FH334" s="364">
        <v>0</v>
      </c>
      <c r="FI334" s="365">
        <v>0</v>
      </c>
      <c r="FJ334" s="365">
        <v>0</v>
      </c>
      <c r="FK334" s="365">
        <v>0</v>
      </c>
      <c r="FL334" s="365">
        <v>0</v>
      </c>
      <c r="FM334" s="365">
        <v>0</v>
      </c>
      <c r="FN334" s="365">
        <v>0</v>
      </c>
      <c r="FO334" s="365">
        <v>0</v>
      </c>
      <c r="FP334" s="365">
        <v>0</v>
      </c>
      <c r="FQ334" s="365">
        <v>0</v>
      </c>
      <c r="FR334" s="365">
        <v>0</v>
      </c>
      <c r="FS334" s="365">
        <v>0</v>
      </c>
      <c r="FT334" s="365">
        <v>0</v>
      </c>
      <c r="FU334" s="436">
        <v>0</v>
      </c>
      <c r="FV334" s="436">
        <v>0</v>
      </c>
      <c r="FW334" s="436">
        <v>0</v>
      </c>
      <c r="FX334" s="436">
        <v>0</v>
      </c>
      <c r="FY334" s="365">
        <v>0</v>
      </c>
      <c r="FZ334" s="436">
        <v>0</v>
      </c>
      <c r="GA334" s="436">
        <v>0</v>
      </c>
      <c r="GB334" s="436">
        <v>0</v>
      </c>
      <c r="GC334" s="436">
        <v>0</v>
      </c>
      <c r="GD334" s="365">
        <v>0</v>
      </c>
    </row>
    <row r="335" spans="1:186" ht="15" x14ac:dyDescent="0.25">
      <c r="A335" s="357">
        <v>114</v>
      </c>
      <c r="B335" s="357">
        <v>99</v>
      </c>
      <c r="C335" s="357" t="s">
        <v>1245</v>
      </c>
      <c r="D335" s="2">
        <v>99712</v>
      </c>
      <c r="E335" s="268" t="s">
        <v>1527</v>
      </c>
      <c r="F335" s="358" t="s">
        <v>985</v>
      </c>
      <c r="G335" s="49">
        <v>46</v>
      </c>
      <c r="H335" s="49">
        <v>19</v>
      </c>
      <c r="I335" s="49">
        <v>17</v>
      </c>
      <c r="J335" s="49">
        <v>2</v>
      </c>
      <c r="K335" s="49">
        <v>0</v>
      </c>
      <c r="L335" s="49">
        <v>112</v>
      </c>
      <c r="M335" s="49">
        <v>112</v>
      </c>
      <c r="N335" s="49">
        <v>0</v>
      </c>
      <c r="O335" s="49">
        <v>0</v>
      </c>
      <c r="P335" s="49">
        <v>0</v>
      </c>
      <c r="Q335" s="49">
        <v>112</v>
      </c>
      <c r="R335" s="49">
        <v>0</v>
      </c>
      <c r="S335" s="49">
        <v>2620.9553571428573</v>
      </c>
      <c r="T335" s="49">
        <v>2620.9553571428573</v>
      </c>
      <c r="U335" s="49">
        <v>0</v>
      </c>
      <c r="V335" s="49">
        <v>0</v>
      </c>
      <c r="W335" s="49">
        <v>0</v>
      </c>
      <c r="X335" s="49">
        <v>2620.9553571428573</v>
      </c>
      <c r="Y335" s="434">
        <v>293547</v>
      </c>
      <c r="Z335" s="434">
        <v>0</v>
      </c>
      <c r="AA335" s="49">
        <v>0</v>
      </c>
      <c r="AB335" s="49">
        <v>19</v>
      </c>
      <c r="AC335" s="49">
        <v>0</v>
      </c>
      <c r="AD335" s="285">
        <v>0</v>
      </c>
      <c r="AE335" s="285">
        <v>0</v>
      </c>
      <c r="AF335" s="359">
        <v>19</v>
      </c>
      <c r="AG335" s="360">
        <v>0</v>
      </c>
      <c r="AH335" s="360">
        <v>17</v>
      </c>
      <c r="AI335" s="361">
        <v>17</v>
      </c>
      <c r="AJ335" s="360">
        <v>0</v>
      </c>
      <c r="AK335" s="360">
        <v>0</v>
      </c>
      <c r="AL335" s="360">
        <v>17.273170657769025</v>
      </c>
      <c r="AM335" s="360">
        <v>17.273170657769025</v>
      </c>
      <c r="AN335" s="360">
        <v>0</v>
      </c>
      <c r="AO335" s="360">
        <v>0</v>
      </c>
      <c r="AP335" s="360">
        <v>15.511719876594457</v>
      </c>
      <c r="AQ335" s="360">
        <v>15.511719876594457</v>
      </c>
      <c r="AR335" s="360">
        <v>0</v>
      </c>
      <c r="AS335" s="360">
        <v>0</v>
      </c>
      <c r="AT335" s="360">
        <v>0</v>
      </c>
      <c r="AU335" s="360">
        <v>15.703285503811204</v>
      </c>
      <c r="AV335" s="360">
        <v>16.469533399431857</v>
      </c>
      <c r="AW335" s="360">
        <v>17.273170657769025</v>
      </c>
      <c r="AX335" s="360">
        <v>18.116021707251608</v>
      </c>
      <c r="AY335" s="360">
        <v>19</v>
      </c>
      <c r="AZ335" s="360">
        <v>14.153732560584444</v>
      </c>
      <c r="BA335" s="360">
        <v>14.817177014803457</v>
      </c>
      <c r="BB335" s="360">
        <v>15.511719876594457</v>
      </c>
      <c r="BC335" s="360">
        <v>16.238818857974426</v>
      </c>
      <c r="BD335" s="360">
        <v>17</v>
      </c>
      <c r="BE335" s="360">
        <v>0</v>
      </c>
      <c r="BF335" s="360">
        <v>0</v>
      </c>
      <c r="BG335" s="360">
        <v>0</v>
      </c>
      <c r="BH335" s="360">
        <v>0</v>
      </c>
      <c r="BI335" s="360">
        <v>0</v>
      </c>
      <c r="BJ335" s="362">
        <v>19.179916649465419</v>
      </c>
      <c r="BK335" s="362">
        <v>19.361536983181093</v>
      </c>
      <c r="BL335" s="362">
        <v>19.544877133839766</v>
      </c>
      <c r="BM335" s="363">
        <v>19.41637814190543</v>
      </c>
      <c r="BN335" s="363">
        <v>19.288723974464745</v>
      </c>
      <c r="BO335" s="363">
        <v>19.227128835456693</v>
      </c>
      <c r="BP335" s="363">
        <v>19.165730389664553</v>
      </c>
      <c r="BQ335" s="363">
        <v>19.104528008983227</v>
      </c>
      <c r="BR335" s="363">
        <v>19.043521067313346</v>
      </c>
      <c r="BS335" s="363">
        <v>18.982708940554893</v>
      </c>
      <c r="BT335" s="363">
        <v>19.123123427942307</v>
      </c>
      <c r="BU335" s="363">
        <v>19.264576556775999</v>
      </c>
      <c r="BV335" s="363">
        <v>19.407076009853334</v>
      </c>
      <c r="BW335" s="363">
        <v>19.550629526801089</v>
      </c>
      <c r="BX335" s="363">
        <v>19.695244904495787</v>
      </c>
      <c r="BY335" s="435">
        <v>19.774632830225755</v>
      </c>
      <c r="BZ335" s="435">
        <v>19.854020755955723</v>
      </c>
      <c r="CA335" s="435">
        <v>19.933408681685695</v>
      </c>
      <c r="CB335" s="435">
        <v>20.012796607415662</v>
      </c>
      <c r="CC335" s="363">
        <v>20.09218453314563</v>
      </c>
      <c r="CD335" s="435">
        <v>20.15725916783266</v>
      </c>
      <c r="CE335" s="435">
        <v>20.222333802519685</v>
      </c>
      <c r="CF335" s="435">
        <v>20.287408437206714</v>
      </c>
      <c r="CG335" s="435">
        <v>20.35248307189374</v>
      </c>
      <c r="CH335" s="363">
        <v>20.417557706580769</v>
      </c>
      <c r="CI335" s="362">
        <v>17.160978054784849</v>
      </c>
      <c r="CJ335" s="362">
        <v>17.323480458635714</v>
      </c>
      <c r="CK335" s="362">
        <v>17.487521646067158</v>
      </c>
      <c r="CL335" s="363">
        <v>17.37254886381012</v>
      </c>
      <c r="CM335" s="363">
        <v>17.258331977152665</v>
      </c>
      <c r="CN335" s="363">
        <v>17.203220536987565</v>
      </c>
      <c r="CO335" s="363">
        <v>17.148285085489338</v>
      </c>
      <c r="CP335" s="363">
        <v>17.093525060669201</v>
      </c>
      <c r="CQ335" s="363">
        <v>17.038939902332995</v>
      </c>
      <c r="CR335" s="363">
        <v>16.98452905207543</v>
      </c>
      <c r="CS335" s="363">
        <v>17.110163067106274</v>
      </c>
      <c r="CT335" s="363">
        <v>17.236726392904842</v>
      </c>
      <c r="CU335" s="363">
        <v>17.364225903552981</v>
      </c>
      <c r="CV335" s="363">
        <v>17.492668523979919</v>
      </c>
      <c r="CW335" s="363">
        <v>17.622061230338335</v>
      </c>
      <c r="CX335" s="435">
        <v>17.693092532307254</v>
      </c>
      <c r="CY335" s="435">
        <v>17.764123834276173</v>
      </c>
      <c r="CZ335" s="435">
        <v>17.835155136245092</v>
      </c>
      <c r="DA335" s="435">
        <v>17.906186438214011</v>
      </c>
      <c r="DB335" s="363">
        <v>17.97721774018293</v>
      </c>
      <c r="DC335" s="435">
        <v>18.035442413323956</v>
      </c>
      <c r="DD335" s="435">
        <v>18.093667086464979</v>
      </c>
      <c r="DE335" s="435">
        <v>18.151891759606006</v>
      </c>
      <c r="DF335" s="435">
        <v>18.210116432747029</v>
      </c>
      <c r="DG335" s="363">
        <v>18.268341105888055</v>
      </c>
      <c r="DH335" s="362">
        <v>0</v>
      </c>
      <c r="DI335" s="362">
        <v>0</v>
      </c>
      <c r="DJ335" s="362">
        <v>0</v>
      </c>
      <c r="DK335" s="363">
        <v>0</v>
      </c>
      <c r="DL335" s="363">
        <v>0</v>
      </c>
      <c r="DM335" s="363">
        <v>0</v>
      </c>
      <c r="DN335" s="363">
        <v>0</v>
      </c>
      <c r="DO335" s="363">
        <v>0</v>
      </c>
      <c r="DP335" s="363">
        <v>0</v>
      </c>
      <c r="DQ335" s="363">
        <v>0</v>
      </c>
      <c r="DR335" s="363">
        <v>0</v>
      </c>
      <c r="DS335" s="363">
        <v>0</v>
      </c>
      <c r="DT335" s="363">
        <v>0</v>
      </c>
      <c r="DU335" s="363">
        <v>0</v>
      </c>
      <c r="DV335" s="363">
        <v>0</v>
      </c>
      <c r="DW335" s="435">
        <v>0</v>
      </c>
      <c r="DX335" s="435">
        <v>0</v>
      </c>
      <c r="DY335" s="435">
        <v>0</v>
      </c>
      <c r="DZ335" s="435">
        <v>0</v>
      </c>
      <c r="EA335" s="363">
        <v>0</v>
      </c>
      <c r="EB335" s="435">
        <v>0</v>
      </c>
      <c r="EC335" s="435">
        <v>0</v>
      </c>
      <c r="ED335" s="435">
        <v>0</v>
      </c>
      <c r="EE335" s="435">
        <v>0</v>
      </c>
      <c r="EF335" s="363">
        <v>0</v>
      </c>
      <c r="EG335" s="364">
        <v>0</v>
      </c>
      <c r="EH335" s="364">
        <v>0</v>
      </c>
      <c r="EI335" s="364">
        <v>0</v>
      </c>
      <c r="EJ335" s="365">
        <v>0</v>
      </c>
      <c r="EK335" s="365">
        <v>0</v>
      </c>
      <c r="EL335" s="365">
        <v>0</v>
      </c>
      <c r="EM335" s="365">
        <v>0</v>
      </c>
      <c r="EN335" s="365">
        <v>0</v>
      </c>
      <c r="EO335" s="365">
        <v>0</v>
      </c>
      <c r="EP335" s="365">
        <v>0</v>
      </c>
      <c r="EQ335" s="365">
        <v>0</v>
      </c>
      <c r="ER335" s="365">
        <v>0</v>
      </c>
      <c r="ES335" s="365">
        <v>0</v>
      </c>
      <c r="ET335" s="365">
        <v>0</v>
      </c>
      <c r="EU335" s="365">
        <v>0</v>
      </c>
      <c r="EV335" s="436">
        <v>0</v>
      </c>
      <c r="EW335" s="436">
        <v>0</v>
      </c>
      <c r="EX335" s="436">
        <v>0</v>
      </c>
      <c r="EY335" s="436">
        <v>0</v>
      </c>
      <c r="EZ335" s="365">
        <v>0</v>
      </c>
      <c r="FA335" s="436">
        <v>0</v>
      </c>
      <c r="FB335" s="436">
        <v>0</v>
      </c>
      <c r="FC335" s="436">
        <v>0</v>
      </c>
      <c r="FD335" s="436">
        <v>0</v>
      </c>
      <c r="FE335" s="365">
        <v>0</v>
      </c>
      <c r="FF335" s="364">
        <v>0</v>
      </c>
      <c r="FG335" s="364">
        <v>0</v>
      </c>
      <c r="FH335" s="364">
        <v>0</v>
      </c>
      <c r="FI335" s="365">
        <v>0</v>
      </c>
      <c r="FJ335" s="365">
        <v>0</v>
      </c>
      <c r="FK335" s="365">
        <v>0</v>
      </c>
      <c r="FL335" s="365">
        <v>0</v>
      </c>
      <c r="FM335" s="365">
        <v>0</v>
      </c>
      <c r="FN335" s="365">
        <v>0</v>
      </c>
      <c r="FO335" s="365">
        <v>0</v>
      </c>
      <c r="FP335" s="365">
        <v>0</v>
      </c>
      <c r="FQ335" s="365">
        <v>0</v>
      </c>
      <c r="FR335" s="365">
        <v>0</v>
      </c>
      <c r="FS335" s="365">
        <v>0</v>
      </c>
      <c r="FT335" s="365">
        <v>0</v>
      </c>
      <c r="FU335" s="436">
        <v>0</v>
      </c>
      <c r="FV335" s="436">
        <v>0</v>
      </c>
      <c r="FW335" s="436">
        <v>0</v>
      </c>
      <c r="FX335" s="436">
        <v>0</v>
      </c>
      <c r="FY335" s="365">
        <v>0</v>
      </c>
      <c r="FZ335" s="436">
        <v>0</v>
      </c>
      <c r="GA335" s="436">
        <v>0</v>
      </c>
      <c r="GB335" s="436">
        <v>0</v>
      </c>
      <c r="GC335" s="436">
        <v>0</v>
      </c>
      <c r="GD335" s="365">
        <v>0</v>
      </c>
    </row>
    <row r="336" spans="1:186" ht="15" x14ac:dyDescent="0.25">
      <c r="A336" s="357">
        <v>115</v>
      </c>
      <c r="B336" s="357">
        <v>99</v>
      </c>
      <c r="C336" s="357" t="s">
        <v>1246</v>
      </c>
      <c r="D336" s="2">
        <v>99712</v>
      </c>
      <c r="E336" s="268" t="s">
        <v>1527</v>
      </c>
      <c r="F336" s="358" t="s">
        <v>985</v>
      </c>
      <c r="G336" s="49">
        <v>246</v>
      </c>
      <c r="H336" s="49">
        <v>91</v>
      </c>
      <c r="I336" s="49">
        <v>86</v>
      </c>
      <c r="J336" s="49">
        <v>5</v>
      </c>
      <c r="K336" s="49">
        <v>0</v>
      </c>
      <c r="L336" s="49">
        <v>62</v>
      </c>
      <c r="M336" s="49">
        <v>62</v>
      </c>
      <c r="N336" s="49">
        <v>0</v>
      </c>
      <c r="O336" s="49">
        <v>0</v>
      </c>
      <c r="P336" s="49">
        <v>0</v>
      </c>
      <c r="Q336" s="49">
        <v>62</v>
      </c>
      <c r="R336" s="49">
        <v>0</v>
      </c>
      <c r="S336" s="49">
        <v>2216.8225806451615</v>
      </c>
      <c r="T336" s="49">
        <v>2216.8225806451615</v>
      </c>
      <c r="U336" s="49">
        <v>0</v>
      </c>
      <c r="V336" s="49">
        <v>0</v>
      </c>
      <c r="W336" s="49">
        <v>0</v>
      </c>
      <c r="X336" s="49">
        <v>2216.8225806451615</v>
      </c>
      <c r="Y336" s="434">
        <v>137443</v>
      </c>
      <c r="Z336" s="434">
        <v>0</v>
      </c>
      <c r="AA336" s="49">
        <v>0</v>
      </c>
      <c r="AB336" s="49">
        <v>91</v>
      </c>
      <c r="AC336" s="49">
        <v>0</v>
      </c>
      <c r="AD336" s="285">
        <v>0</v>
      </c>
      <c r="AE336" s="285">
        <v>0</v>
      </c>
      <c r="AF336" s="359">
        <v>91</v>
      </c>
      <c r="AG336" s="360">
        <v>0</v>
      </c>
      <c r="AH336" s="360">
        <v>86</v>
      </c>
      <c r="AI336" s="361">
        <v>86</v>
      </c>
      <c r="AJ336" s="360">
        <v>0</v>
      </c>
      <c r="AK336" s="360">
        <v>0</v>
      </c>
      <c r="AL336" s="360">
        <v>82.729396308262181</v>
      </c>
      <c r="AM336" s="360">
        <v>82.729396308262181</v>
      </c>
      <c r="AN336" s="360">
        <v>0</v>
      </c>
      <c r="AO336" s="360">
        <v>0</v>
      </c>
      <c r="AP336" s="360">
        <v>78.471053493360202</v>
      </c>
      <c r="AQ336" s="360">
        <v>78.471053493360202</v>
      </c>
      <c r="AR336" s="360">
        <v>0</v>
      </c>
      <c r="AS336" s="360">
        <v>0</v>
      </c>
      <c r="AT336" s="360">
        <v>0</v>
      </c>
      <c r="AU336" s="360">
        <v>75.210472676148399</v>
      </c>
      <c r="AV336" s="360">
        <v>78.880396807805212</v>
      </c>
      <c r="AW336" s="360">
        <v>82.729396308262181</v>
      </c>
      <c r="AX336" s="360">
        <v>86.766209229468231</v>
      </c>
      <c r="AY336" s="360">
        <v>91</v>
      </c>
      <c r="AZ336" s="360">
        <v>71.601235306486018</v>
      </c>
      <c r="BA336" s="360">
        <v>74.9574837219469</v>
      </c>
      <c r="BB336" s="360">
        <v>78.471053493360202</v>
      </c>
      <c r="BC336" s="360">
        <v>82.149318928576506</v>
      </c>
      <c r="BD336" s="360">
        <v>86</v>
      </c>
      <c r="BE336" s="360">
        <v>0</v>
      </c>
      <c r="BF336" s="360">
        <v>0</v>
      </c>
      <c r="BG336" s="360">
        <v>0</v>
      </c>
      <c r="BH336" s="360">
        <v>0</v>
      </c>
      <c r="BI336" s="360">
        <v>0</v>
      </c>
      <c r="BJ336" s="362">
        <v>91.861706057965961</v>
      </c>
      <c r="BK336" s="362">
        <v>92.731571866814718</v>
      </c>
      <c r="BL336" s="362">
        <v>93.609674693653616</v>
      </c>
      <c r="BM336" s="363">
        <v>92.994232153336526</v>
      </c>
      <c r="BN336" s="363">
        <v>92.382835877699577</v>
      </c>
      <c r="BO336" s="363">
        <v>92.087827580345206</v>
      </c>
      <c r="BP336" s="363">
        <v>91.793761339972349</v>
      </c>
      <c r="BQ336" s="363">
        <v>91.500634148288086</v>
      </c>
      <c r="BR336" s="363">
        <v>91.208443006606032</v>
      </c>
      <c r="BS336" s="363">
        <v>90.917184925815548</v>
      </c>
      <c r="BT336" s="363">
        <v>91.58969641803948</v>
      </c>
      <c r="BU336" s="363">
        <v>92.267182456137675</v>
      </c>
      <c r="BV336" s="363">
        <v>92.949679836665965</v>
      </c>
      <c r="BW336" s="363">
        <v>93.637225628363112</v>
      </c>
      <c r="BX336" s="363">
        <v>94.329857174164047</v>
      </c>
      <c r="BY336" s="435">
        <v>94.710083555291789</v>
      </c>
      <c r="BZ336" s="435">
        <v>95.09030993641953</v>
      </c>
      <c r="CA336" s="435">
        <v>95.470536317547271</v>
      </c>
      <c r="CB336" s="435">
        <v>95.850762698675013</v>
      </c>
      <c r="CC336" s="363">
        <v>96.230989079802754</v>
      </c>
      <c r="CD336" s="435">
        <v>96.542662330145887</v>
      </c>
      <c r="CE336" s="435">
        <v>96.854335580489021</v>
      </c>
      <c r="CF336" s="435">
        <v>97.166008830832155</v>
      </c>
      <c r="CG336" s="435">
        <v>97.477682081175288</v>
      </c>
      <c r="CH336" s="363">
        <v>97.789355331518422</v>
      </c>
      <c r="CI336" s="362">
        <v>86.814359571264532</v>
      </c>
      <c r="CJ336" s="362">
        <v>87.63643055545127</v>
      </c>
      <c r="CK336" s="362">
        <v>88.466285974222103</v>
      </c>
      <c r="CL336" s="363">
        <v>87.884658958098257</v>
      </c>
      <c r="CM336" s="363">
        <v>87.306855884419377</v>
      </c>
      <c r="CN336" s="363">
        <v>87.028056834172403</v>
      </c>
      <c r="CO336" s="363">
        <v>86.750148079534313</v>
      </c>
      <c r="CP336" s="363">
        <v>86.473126777503026</v>
      </c>
      <c r="CQ336" s="363">
        <v>86.196990094155154</v>
      </c>
      <c r="CR336" s="363">
        <v>85.921735204616894</v>
      </c>
      <c r="CS336" s="363">
        <v>86.557295515949406</v>
      </c>
      <c r="CT336" s="363">
        <v>87.197557046459792</v>
      </c>
      <c r="CU336" s="363">
        <v>87.842554570915098</v>
      </c>
      <c r="CV336" s="363">
        <v>88.492323121310193</v>
      </c>
      <c r="CW336" s="363">
        <v>89.146897988770419</v>
      </c>
      <c r="CX336" s="435">
        <v>89.506232810495533</v>
      </c>
      <c r="CY336" s="435">
        <v>89.86556763222066</v>
      </c>
      <c r="CZ336" s="435">
        <v>90.224902453945774</v>
      </c>
      <c r="DA336" s="435">
        <v>90.584237275670901</v>
      </c>
      <c r="DB336" s="363">
        <v>90.943572097396014</v>
      </c>
      <c r="DC336" s="435">
        <v>91.238120443874138</v>
      </c>
      <c r="DD336" s="435">
        <v>91.532668790352261</v>
      </c>
      <c r="DE336" s="435">
        <v>91.827217136830399</v>
      </c>
      <c r="DF336" s="435">
        <v>92.121765483308522</v>
      </c>
      <c r="DG336" s="363">
        <v>92.416313829786645</v>
      </c>
      <c r="DH336" s="362">
        <v>0</v>
      </c>
      <c r="DI336" s="362">
        <v>0</v>
      </c>
      <c r="DJ336" s="362">
        <v>0</v>
      </c>
      <c r="DK336" s="363">
        <v>0</v>
      </c>
      <c r="DL336" s="363">
        <v>0</v>
      </c>
      <c r="DM336" s="363">
        <v>0</v>
      </c>
      <c r="DN336" s="363">
        <v>0</v>
      </c>
      <c r="DO336" s="363">
        <v>0</v>
      </c>
      <c r="DP336" s="363">
        <v>0</v>
      </c>
      <c r="DQ336" s="363">
        <v>0</v>
      </c>
      <c r="DR336" s="363">
        <v>0</v>
      </c>
      <c r="DS336" s="363">
        <v>0</v>
      </c>
      <c r="DT336" s="363">
        <v>0</v>
      </c>
      <c r="DU336" s="363">
        <v>0</v>
      </c>
      <c r="DV336" s="363">
        <v>0</v>
      </c>
      <c r="DW336" s="435">
        <v>0</v>
      </c>
      <c r="DX336" s="435">
        <v>0</v>
      </c>
      <c r="DY336" s="435">
        <v>0</v>
      </c>
      <c r="DZ336" s="435">
        <v>0</v>
      </c>
      <c r="EA336" s="363">
        <v>0</v>
      </c>
      <c r="EB336" s="435">
        <v>0</v>
      </c>
      <c r="EC336" s="435">
        <v>0</v>
      </c>
      <c r="ED336" s="435">
        <v>0</v>
      </c>
      <c r="EE336" s="435">
        <v>0</v>
      </c>
      <c r="EF336" s="363">
        <v>0</v>
      </c>
      <c r="EG336" s="364">
        <v>0</v>
      </c>
      <c r="EH336" s="364">
        <v>0</v>
      </c>
      <c r="EI336" s="364">
        <v>0</v>
      </c>
      <c r="EJ336" s="365">
        <v>0</v>
      </c>
      <c r="EK336" s="365">
        <v>0</v>
      </c>
      <c r="EL336" s="365">
        <v>0</v>
      </c>
      <c r="EM336" s="365">
        <v>0</v>
      </c>
      <c r="EN336" s="365">
        <v>0</v>
      </c>
      <c r="EO336" s="365">
        <v>0</v>
      </c>
      <c r="EP336" s="365">
        <v>0</v>
      </c>
      <c r="EQ336" s="365">
        <v>0</v>
      </c>
      <c r="ER336" s="365">
        <v>0</v>
      </c>
      <c r="ES336" s="365">
        <v>0</v>
      </c>
      <c r="ET336" s="365">
        <v>0</v>
      </c>
      <c r="EU336" s="365">
        <v>0</v>
      </c>
      <c r="EV336" s="436">
        <v>0</v>
      </c>
      <c r="EW336" s="436">
        <v>0</v>
      </c>
      <c r="EX336" s="436">
        <v>0</v>
      </c>
      <c r="EY336" s="436">
        <v>0</v>
      </c>
      <c r="EZ336" s="365">
        <v>0</v>
      </c>
      <c r="FA336" s="436">
        <v>0</v>
      </c>
      <c r="FB336" s="436">
        <v>0</v>
      </c>
      <c r="FC336" s="436">
        <v>0</v>
      </c>
      <c r="FD336" s="436">
        <v>0</v>
      </c>
      <c r="FE336" s="365">
        <v>0</v>
      </c>
      <c r="FF336" s="364">
        <v>0</v>
      </c>
      <c r="FG336" s="364">
        <v>0</v>
      </c>
      <c r="FH336" s="364">
        <v>0</v>
      </c>
      <c r="FI336" s="365">
        <v>0</v>
      </c>
      <c r="FJ336" s="365">
        <v>0</v>
      </c>
      <c r="FK336" s="365">
        <v>0</v>
      </c>
      <c r="FL336" s="365">
        <v>0</v>
      </c>
      <c r="FM336" s="365">
        <v>0</v>
      </c>
      <c r="FN336" s="365">
        <v>0</v>
      </c>
      <c r="FO336" s="365">
        <v>0</v>
      </c>
      <c r="FP336" s="365">
        <v>0</v>
      </c>
      <c r="FQ336" s="365">
        <v>0</v>
      </c>
      <c r="FR336" s="365">
        <v>0</v>
      </c>
      <c r="FS336" s="365">
        <v>0</v>
      </c>
      <c r="FT336" s="365">
        <v>0</v>
      </c>
      <c r="FU336" s="436">
        <v>0</v>
      </c>
      <c r="FV336" s="436">
        <v>0</v>
      </c>
      <c r="FW336" s="436">
        <v>0</v>
      </c>
      <c r="FX336" s="436">
        <v>0</v>
      </c>
      <c r="FY336" s="365">
        <v>0</v>
      </c>
      <c r="FZ336" s="436">
        <v>0</v>
      </c>
      <c r="GA336" s="436">
        <v>0</v>
      </c>
      <c r="GB336" s="436">
        <v>0</v>
      </c>
      <c r="GC336" s="436">
        <v>0</v>
      </c>
      <c r="GD336" s="365">
        <v>0</v>
      </c>
    </row>
    <row r="337" spans="1:186" ht="15" x14ac:dyDescent="0.25">
      <c r="A337" s="357">
        <v>116</v>
      </c>
      <c r="B337" s="357">
        <v>99</v>
      </c>
      <c r="C337" s="357" t="s">
        <v>1247</v>
      </c>
      <c r="D337" s="2">
        <v>99712</v>
      </c>
      <c r="E337" s="268" t="s">
        <v>1527</v>
      </c>
      <c r="F337" s="358" t="s">
        <v>985</v>
      </c>
      <c r="G337" s="49">
        <v>359</v>
      </c>
      <c r="H337" s="49">
        <v>151</v>
      </c>
      <c r="I337" s="49">
        <v>140</v>
      </c>
      <c r="J337" s="49">
        <v>11</v>
      </c>
      <c r="K337" s="49">
        <v>0</v>
      </c>
      <c r="L337" s="49">
        <v>103</v>
      </c>
      <c r="M337" s="49">
        <v>103</v>
      </c>
      <c r="N337" s="49">
        <v>0</v>
      </c>
      <c r="O337" s="49">
        <v>0</v>
      </c>
      <c r="P337" s="49">
        <v>0</v>
      </c>
      <c r="Q337" s="49">
        <v>103</v>
      </c>
      <c r="R337" s="49">
        <v>0</v>
      </c>
      <c r="S337" s="49">
        <v>2502.2524271844659</v>
      </c>
      <c r="T337" s="49">
        <v>2502.2524271844659</v>
      </c>
      <c r="U337" s="49">
        <v>0</v>
      </c>
      <c r="V337" s="49">
        <v>0</v>
      </c>
      <c r="W337" s="49">
        <v>0</v>
      </c>
      <c r="X337" s="49">
        <v>2502.2524271844659</v>
      </c>
      <c r="Y337" s="434">
        <v>257732</v>
      </c>
      <c r="Z337" s="434">
        <v>0</v>
      </c>
      <c r="AA337" s="49">
        <v>0</v>
      </c>
      <c r="AB337" s="49">
        <v>151</v>
      </c>
      <c r="AC337" s="49">
        <v>0</v>
      </c>
      <c r="AD337" s="285">
        <v>0</v>
      </c>
      <c r="AE337" s="285">
        <v>0</v>
      </c>
      <c r="AF337" s="359">
        <v>151</v>
      </c>
      <c r="AG337" s="360">
        <v>0</v>
      </c>
      <c r="AH337" s="360">
        <v>140</v>
      </c>
      <c r="AI337" s="361">
        <v>140</v>
      </c>
      <c r="AJ337" s="360">
        <v>0</v>
      </c>
      <c r="AK337" s="360">
        <v>0</v>
      </c>
      <c r="AL337" s="360">
        <v>137.27625101700647</v>
      </c>
      <c r="AM337" s="360">
        <v>137.27625101700647</v>
      </c>
      <c r="AN337" s="360">
        <v>0</v>
      </c>
      <c r="AO337" s="360">
        <v>0</v>
      </c>
      <c r="AP337" s="360">
        <v>127.74357545430729</v>
      </c>
      <c r="AQ337" s="360">
        <v>127.74357545430729</v>
      </c>
      <c r="AR337" s="360">
        <v>0</v>
      </c>
      <c r="AS337" s="360">
        <v>0</v>
      </c>
      <c r="AT337" s="360">
        <v>0</v>
      </c>
      <c r="AU337" s="360">
        <v>124.79979531976272</v>
      </c>
      <c r="AV337" s="360">
        <v>130.88944964811634</v>
      </c>
      <c r="AW337" s="360">
        <v>137.27625101700647</v>
      </c>
      <c r="AX337" s="360">
        <v>143.97469883131544</v>
      </c>
      <c r="AY337" s="360">
        <v>151</v>
      </c>
      <c r="AZ337" s="360">
        <v>116.56015049893072</v>
      </c>
      <c r="BA337" s="360">
        <v>122.02381071014612</v>
      </c>
      <c r="BB337" s="360">
        <v>127.74357545430729</v>
      </c>
      <c r="BC337" s="360">
        <v>133.7314494186129</v>
      </c>
      <c r="BD337" s="360">
        <v>140</v>
      </c>
      <c r="BE337" s="360">
        <v>0</v>
      </c>
      <c r="BF337" s="360">
        <v>0</v>
      </c>
      <c r="BG337" s="360">
        <v>0</v>
      </c>
      <c r="BH337" s="360">
        <v>0</v>
      </c>
      <c r="BI337" s="360">
        <v>0</v>
      </c>
      <c r="BJ337" s="362">
        <v>152.42986389838308</v>
      </c>
      <c r="BK337" s="362">
        <v>153.87326760317606</v>
      </c>
      <c r="BL337" s="362">
        <v>155.33033932683182</v>
      </c>
      <c r="BM337" s="363">
        <v>154.30911049619579</v>
      </c>
      <c r="BN337" s="363">
        <v>153.29459579706193</v>
      </c>
      <c r="BO337" s="363">
        <v>152.80507653441896</v>
      </c>
      <c r="BP337" s="363">
        <v>152.31712046522884</v>
      </c>
      <c r="BQ337" s="363">
        <v>151.83072259770879</v>
      </c>
      <c r="BR337" s="363">
        <v>151.34587795601658</v>
      </c>
      <c r="BS337" s="363">
        <v>150.86258158019942</v>
      </c>
      <c r="BT337" s="363">
        <v>151.97850724312045</v>
      </c>
      <c r="BU337" s="363">
        <v>153.10268737227241</v>
      </c>
      <c r="BV337" s="363">
        <v>154.23518302567649</v>
      </c>
      <c r="BW337" s="363">
        <v>155.37605571299812</v>
      </c>
      <c r="BX337" s="363">
        <v>156.5253673988876</v>
      </c>
      <c r="BY337" s="435">
        <v>157.1562924928468</v>
      </c>
      <c r="BZ337" s="435">
        <v>157.78721758680604</v>
      </c>
      <c r="CA337" s="435">
        <v>158.41814268076524</v>
      </c>
      <c r="CB337" s="435">
        <v>159.04906777472448</v>
      </c>
      <c r="CC337" s="363">
        <v>159.67999286868368</v>
      </c>
      <c r="CD337" s="435">
        <v>160.1971649654069</v>
      </c>
      <c r="CE337" s="435">
        <v>160.71433706213011</v>
      </c>
      <c r="CF337" s="435">
        <v>161.23150915885336</v>
      </c>
      <c r="CG337" s="435">
        <v>161.74868125557657</v>
      </c>
      <c r="CH337" s="363">
        <v>162.26585335229979</v>
      </c>
      <c r="CI337" s="362">
        <v>141.32570162763994</v>
      </c>
      <c r="CJ337" s="362">
        <v>142.66395671817648</v>
      </c>
      <c r="CK337" s="362">
        <v>144.01488414408249</v>
      </c>
      <c r="CL337" s="363">
        <v>143.0680494666716</v>
      </c>
      <c r="CM337" s="363">
        <v>142.12743981184551</v>
      </c>
      <c r="CN337" s="363">
        <v>141.6735808928388</v>
      </c>
      <c r="CO337" s="363">
        <v>141.22117129226515</v>
      </c>
      <c r="CP337" s="363">
        <v>140.77020638198167</v>
      </c>
      <c r="CQ337" s="363">
        <v>140.32068154862466</v>
      </c>
      <c r="CR337" s="363">
        <v>139.87259219356238</v>
      </c>
      <c r="CS337" s="363">
        <v>140.90722525852229</v>
      </c>
      <c r="CT337" s="363">
        <v>141.94951147098104</v>
      </c>
      <c r="CU337" s="363">
        <v>142.99950744102458</v>
      </c>
      <c r="CV337" s="363">
        <v>144.0572701974817</v>
      </c>
      <c r="CW337" s="363">
        <v>145.12285719102161</v>
      </c>
      <c r="CX337" s="435">
        <v>145.70782085429505</v>
      </c>
      <c r="CY337" s="435">
        <v>146.29278451756849</v>
      </c>
      <c r="CZ337" s="435">
        <v>146.87774818084196</v>
      </c>
      <c r="DA337" s="435">
        <v>147.4627118441154</v>
      </c>
      <c r="DB337" s="363">
        <v>148.04767550738885</v>
      </c>
      <c r="DC337" s="435">
        <v>148.52717281560905</v>
      </c>
      <c r="DD337" s="435">
        <v>149.00667012382925</v>
      </c>
      <c r="DE337" s="435">
        <v>149.48616743204946</v>
      </c>
      <c r="DF337" s="435">
        <v>149.96566474026966</v>
      </c>
      <c r="DG337" s="363">
        <v>150.44516204848986</v>
      </c>
      <c r="DH337" s="362">
        <v>0</v>
      </c>
      <c r="DI337" s="362">
        <v>0</v>
      </c>
      <c r="DJ337" s="362">
        <v>0</v>
      </c>
      <c r="DK337" s="363">
        <v>0</v>
      </c>
      <c r="DL337" s="363">
        <v>0</v>
      </c>
      <c r="DM337" s="363">
        <v>0</v>
      </c>
      <c r="DN337" s="363">
        <v>0</v>
      </c>
      <c r="DO337" s="363">
        <v>0</v>
      </c>
      <c r="DP337" s="363">
        <v>0</v>
      </c>
      <c r="DQ337" s="363">
        <v>0</v>
      </c>
      <c r="DR337" s="363">
        <v>0</v>
      </c>
      <c r="DS337" s="363">
        <v>0</v>
      </c>
      <c r="DT337" s="363">
        <v>0</v>
      </c>
      <c r="DU337" s="363">
        <v>0</v>
      </c>
      <c r="DV337" s="363">
        <v>0</v>
      </c>
      <c r="DW337" s="435">
        <v>0</v>
      </c>
      <c r="DX337" s="435">
        <v>0</v>
      </c>
      <c r="DY337" s="435">
        <v>0</v>
      </c>
      <c r="DZ337" s="435">
        <v>0</v>
      </c>
      <c r="EA337" s="363">
        <v>0</v>
      </c>
      <c r="EB337" s="435">
        <v>0</v>
      </c>
      <c r="EC337" s="435">
        <v>0</v>
      </c>
      <c r="ED337" s="435">
        <v>0</v>
      </c>
      <c r="EE337" s="435">
        <v>0</v>
      </c>
      <c r="EF337" s="363">
        <v>0</v>
      </c>
      <c r="EG337" s="364">
        <v>0</v>
      </c>
      <c r="EH337" s="364">
        <v>0</v>
      </c>
      <c r="EI337" s="364">
        <v>0</v>
      </c>
      <c r="EJ337" s="365">
        <v>0</v>
      </c>
      <c r="EK337" s="365">
        <v>0</v>
      </c>
      <c r="EL337" s="365">
        <v>0</v>
      </c>
      <c r="EM337" s="365">
        <v>0</v>
      </c>
      <c r="EN337" s="365">
        <v>0</v>
      </c>
      <c r="EO337" s="365">
        <v>0</v>
      </c>
      <c r="EP337" s="365">
        <v>0</v>
      </c>
      <c r="EQ337" s="365">
        <v>0</v>
      </c>
      <c r="ER337" s="365">
        <v>0</v>
      </c>
      <c r="ES337" s="365">
        <v>0</v>
      </c>
      <c r="ET337" s="365">
        <v>0</v>
      </c>
      <c r="EU337" s="365">
        <v>0</v>
      </c>
      <c r="EV337" s="436">
        <v>0</v>
      </c>
      <c r="EW337" s="436">
        <v>0</v>
      </c>
      <c r="EX337" s="436">
        <v>0</v>
      </c>
      <c r="EY337" s="436">
        <v>0</v>
      </c>
      <c r="EZ337" s="365">
        <v>0</v>
      </c>
      <c r="FA337" s="436">
        <v>0</v>
      </c>
      <c r="FB337" s="436">
        <v>0</v>
      </c>
      <c r="FC337" s="436">
        <v>0</v>
      </c>
      <c r="FD337" s="436">
        <v>0</v>
      </c>
      <c r="FE337" s="365">
        <v>0</v>
      </c>
      <c r="FF337" s="364">
        <v>0</v>
      </c>
      <c r="FG337" s="364">
        <v>0</v>
      </c>
      <c r="FH337" s="364">
        <v>0</v>
      </c>
      <c r="FI337" s="365">
        <v>0</v>
      </c>
      <c r="FJ337" s="365">
        <v>0</v>
      </c>
      <c r="FK337" s="365">
        <v>0</v>
      </c>
      <c r="FL337" s="365">
        <v>0</v>
      </c>
      <c r="FM337" s="365">
        <v>0</v>
      </c>
      <c r="FN337" s="365">
        <v>0</v>
      </c>
      <c r="FO337" s="365">
        <v>0</v>
      </c>
      <c r="FP337" s="365">
        <v>0</v>
      </c>
      <c r="FQ337" s="365">
        <v>0</v>
      </c>
      <c r="FR337" s="365">
        <v>0</v>
      </c>
      <c r="FS337" s="365">
        <v>0</v>
      </c>
      <c r="FT337" s="365">
        <v>0</v>
      </c>
      <c r="FU337" s="436">
        <v>0</v>
      </c>
      <c r="FV337" s="436">
        <v>0</v>
      </c>
      <c r="FW337" s="436">
        <v>0</v>
      </c>
      <c r="FX337" s="436">
        <v>0</v>
      </c>
      <c r="FY337" s="365">
        <v>0</v>
      </c>
      <c r="FZ337" s="436">
        <v>0</v>
      </c>
      <c r="GA337" s="436">
        <v>0</v>
      </c>
      <c r="GB337" s="436">
        <v>0</v>
      </c>
      <c r="GC337" s="436">
        <v>0</v>
      </c>
      <c r="GD337" s="365">
        <v>0</v>
      </c>
    </row>
    <row r="338" spans="1:186" ht="15" x14ac:dyDescent="0.25">
      <c r="A338" s="357">
        <v>117</v>
      </c>
      <c r="B338" s="357">
        <v>99</v>
      </c>
      <c r="C338" s="357" t="s">
        <v>1248</v>
      </c>
      <c r="D338" s="2">
        <v>99712</v>
      </c>
      <c r="E338" s="268" t="s">
        <v>1527</v>
      </c>
      <c r="F338" s="358" t="s">
        <v>985</v>
      </c>
      <c r="G338" s="49">
        <v>125</v>
      </c>
      <c r="H338" s="49">
        <v>51</v>
      </c>
      <c r="I338" s="49">
        <v>48</v>
      </c>
      <c r="J338" s="49">
        <v>3</v>
      </c>
      <c r="K338" s="49">
        <v>0</v>
      </c>
      <c r="L338" s="49">
        <v>42</v>
      </c>
      <c r="M338" s="49">
        <v>42</v>
      </c>
      <c r="N338" s="49">
        <v>0</v>
      </c>
      <c r="O338" s="49">
        <v>0</v>
      </c>
      <c r="P338" s="49">
        <v>0</v>
      </c>
      <c r="Q338" s="49">
        <v>42</v>
      </c>
      <c r="R338" s="49">
        <v>0</v>
      </c>
      <c r="S338" s="49">
        <v>2520.2380952380954</v>
      </c>
      <c r="T338" s="49">
        <v>2520.2380952380954</v>
      </c>
      <c r="U338" s="49">
        <v>0</v>
      </c>
      <c r="V338" s="49">
        <v>0</v>
      </c>
      <c r="W338" s="49">
        <v>0</v>
      </c>
      <c r="X338" s="49">
        <v>2520.2380952380954</v>
      </c>
      <c r="Y338" s="434">
        <v>105850</v>
      </c>
      <c r="Z338" s="434">
        <v>0</v>
      </c>
      <c r="AA338" s="49">
        <v>0</v>
      </c>
      <c r="AB338" s="49">
        <v>51</v>
      </c>
      <c r="AC338" s="49">
        <v>0</v>
      </c>
      <c r="AD338" s="285">
        <v>0</v>
      </c>
      <c r="AE338" s="285">
        <v>0</v>
      </c>
      <c r="AF338" s="359">
        <v>51</v>
      </c>
      <c r="AG338" s="360">
        <v>0</v>
      </c>
      <c r="AH338" s="360">
        <v>48</v>
      </c>
      <c r="AI338" s="361">
        <v>48</v>
      </c>
      <c r="AJ338" s="360">
        <v>0</v>
      </c>
      <c r="AK338" s="360">
        <v>0</v>
      </c>
      <c r="AL338" s="360">
        <v>46.364826502432649</v>
      </c>
      <c r="AM338" s="360">
        <v>46.364826502432649</v>
      </c>
      <c r="AN338" s="360">
        <v>0</v>
      </c>
      <c r="AO338" s="360">
        <v>0</v>
      </c>
      <c r="AP338" s="360">
        <v>43.797797298619642</v>
      </c>
      <c r="AQ338" s="360">
        <v>43.797797298619642</v>
      </c>
      <c r="AR338" s="360">
        <v>0</v>
      </c>
      <c r="AS338" s="360">
        <v>0</v>
      </c>
      <c r="AT338" s="360">
        <v>0</v>
      </c>
      <c r="AU338" s="360">
        <v>42.150924247072176</v>
      </c>
      <c r="AV338" s="360">
        <v>44.207694914264458</v>
      </c>
      <c r="AW338" s="360">
        <v>46.364826502432649</v>
      </c>
      <c r="AX338" s="360">
        <v>48.627216161570111</v>
      </c>
      <c r="AY338" s="360">
        <v>51</v>
      </c>
      <c r="AZ338" s="360">
        <v>39.96348017106196</v>
      </c>
      <c r="BA338" s="360">
        <v>41.836735100621524</v>
      </c>
      <c r="BB338" s="360">
        <v>43.797797298619642</v>
      </c>
      <c r="BC338" s="360">
        <v>45.850782657810136</v>
      </c>
      <c r="BD338" s="360">
        <v>48</v>
      </c>
      <c r="BE338" s="360">
        <v>0</v>
      </c>
      <c r="BF338" s="360">
        <v>0</v>
      </c>
      <c r="BG338" s="360">
        <v>0</v>
      </c>
      <c r="BH338" s="360">
        <v>0</v>
      </c>
      <c r="BI338" s="360">
        <v>0</v>
      </c>
      <c r="BJ338" s="362">
        <v>51.472203848237228</v>
      </c>
      <c r="BK338" s="362">
        <v>51.948779784205641</v>
      </c>
      <c r="BL338" s="362">
        <v>52.42976828862389</v>
      </c>
      <c r="BM338" s="363">
        <v>52.085065565434377</v>
      </c>
      <c r="BN338" s="363">
        <v>51.742629111413173</v>
      </c>
      <c r="BO338" s="363">
        <v>51.577398148650737</v>
      </c>
      <c r="BP338" s="363">
        <v>51.412694821834222</v>
      </c>
      <c r="BQ338" s="363">
        <v>51.248517446051267</v>
      </c>
      <c r="BR338" s="363">
        <v>51.084864341769972</v>
      </c>
      <c r="BS338" s="363">
        <v>50.921733834821744</v>
      </c>
      <c r="BT338" s="363">
        <v>51.29840026192052</v>
      </c>
      <c r="BU338" s="363">
        <v>51.677852878463739</v>
      </c>
      <c r="BV338" s="363">
        <v>52.060112293805098</v>
      </c>
      <c r="BW338" s="363">
        <v>52.445199269745025</v>
      </c>
      <c r="BX338" s="363">
        <v>52.833134721658276</v>
      </c>
      <c r="BY338" s="435">
        <v>53.046095413221295</v>
      </c>
      <c r="BZ338" s="435">
        <v>53.259056104784307</v>
      </c>
      <c r="CA338" s="435">
        <v>53.472016796347326</v>
      </c>
      <c r="CB338" s="435">
        <v>53.684977487910338</v>
      </c>
      <c r="CC338" s="363">
        <v>53.897938179473357</v>
      </c>
      <c r="CD338" s="435">
        <v>54.072503002508263</v>
      </c>
      <c r="CE338" s="435">
        <v>54.247067825543169</v>
      </c>
      <c r="CF338" s="435">
        <v>54.421632648578075</v>
      </c>
      <c r="CG338" s="435">
        <v>54.596197471612982</v>
      </c>
      <c r="CH338" s="363">
        <v>54.770762294647888</v>
      </c>
      <c r="CI338" s="362">
        <v>48.444427151282099</v>
      </c>
      <c r="CJ338" s="362">
        <v>48.892969208664134</v>
      </c>
      <c r="CK338" s="362">
        <v>49.345664271646015</v>
      </c>
      <c r="CL338" s="363">
        <v>49.021238179232355</v>
      </c>
      <c r="CM338" s="363">
        <v>48.698945046035924</v>
      </c>
      <c r="CN338" s="363">
        <v>48.543433551671285</v>
      </c>
      <c r="CO338" s="363">
        <v>48.388418655843978</v>
      </c>
      <c r="CP338" s="363">
        <v>48.233898772754131</v>
      </c>
      <c r="CQ338" s="363">
        <v>48.079872321665853</v>
      </c>
      <c r="CR338" s="363">
        <v>47.926337726891049</v>
      </c>
      <c r="CS338" s="363">
        <v>48.280847305336962</v>
      </c>
      <c r="CT338" s="363">
        <v>48.637979179730578</v>
      </c>
      <c r="CU338" s="363">
        <v>48.997752747110681</v>
      </c>
      <c r="CV338" s="363">
        <v>49.360187547995324</v>
      </c>
      <c r="CW338" s="363">
        <v>49.725303267443081</v>
      </c>
      <c r="CX338" s="435">
        <v>49.925736859502393</v>
      </c>
      <c r="CY338" s="435">
        <v>50.126170451561705</v>
      </c>
      <c r="CZ338" s="435">
        <v>50.32660404362101</v>
      </c>
      <c r="DA338" s="435">
        <v>50.527037635680323</v>
      </c>
      <c r="DB338" s="363">
        <v>50.727471227739635</v>
      </c>
      <c r="DC338" s="435">
        <v>50.891767531772487</v>
      </c>
      <c r="DD338" s="435">
        <v>51.05606383580534</v>
      </c>
      <c r="DE338" s="435">
        <v>51.220360139838192</v>
      </c>
      <c r="DF338" s="435">
        <v>51.384656443871044</v>
      </c>
      <c r="DG338" s="363">
        <v>51.548952747903897</v>
      </c>
      <c r="DH338" s="362">
        <v>0</v>
      </c>
      <c r="DI338" s="362">
        <v>0</v>
      </c>
      <c r="DJ338" s="362">
        <v>0</v>
      </c>
      <c r="DK338" s="363">
        <v>0</v>
      </c>
      <c r="DL338" s="363">
        <v>0</v>
      </c>
      <c r="DM338" s="363">
        <v>0</v>
      </c>
      <c r="DN338" s="363">
        <v>0</v>
      </c>
      <c r="DO338" s="363">
        <v>0</v>
      </c>
      <c r="DP338" s="363">
        <v>0</v>
      </c>
      <c r="DQ338" s="363">
        <v>0</v>
      </c>
      <c r="DR338" s="363">
        <v>0</v>
      </c>
      <c r="DS338" s="363">
        <v>0</v>
      </c>
      <c r="DT338" s="363">
        <v>0</v>
      </c>
      <c r="DU338" s="363">
        <v>0</v>
      </c>
      <c r="DV338" s="363">
        <v>0</v>
      </c>
      <c r="DW338" s="435">
        <v>0</v>
      </c>
      <c r="DX338" s="435">
        <v>0</v>
      </c>
      <c r="DY338" s="435">
        <v>0</v>
      </c>
      <c r="DZ338" s="435">
        <v>0</v>
      </c>
      <c r="EA338" s="363">
        <v>0</v>
      </c>
      <c r="EB338" s="435">
        <v>0</v>
      </c>
      <c r="EC338" s="435">
        <v>0</v>
      </c>
      <c r="ED338" s="435">
        <v>0</v>
      </c>
      <c r="EE338" s="435">
        <v>0</v>
      </c>
      <c r="EF338" s="363">
        <v>0</v>
      </c>
      <c r="EG338" s="364">
        <v>0</v>
      </c>
      <c r="EH338" s="364">
        <v>0</v>
      </c>
      <c r="EI338" s="364">
        <v>0</v>
      </c>
      <c r="EJ338" s="365">
        <v>0</v>
      </c>
      <c r="EK338" s="365">
        <v>0</v>
      </c>
      <c r="EL338" s="365">
        <v>0</v>
      </c>
      <c r="EM338" s="365">
        <v>0</v>
      </c>
      <c r="EN338" s="365">
        <v>0</v>
      </c>
      <c r="EO338" s="365">
        <v>0</v>
      </c>
      <c r="EP338" s="365">
        <v>0</v>
      </c>
      <c r="EQ338" s="365">
        <v>0</v>
      </c>
      <c r="ER338" s="365">
        <v>0</v>
      </c>
      <c r="ES338" s="365">
        <v>0</v>
      </c>
      <c r="ET338" s="365">
        <v>0</v>
      </c>
      <c r="EU338" s="365">
        <v>0</v>
      </c>
      <c r="EV338" s="436">
        <v>0</v>
      </c>
      <c r="EW338" s="436">
        <v>0</v>
      </c>
      <c r="EX338" s="436">
        <v>0</v>
      </c>
      <c r="EY338" s="436">
        <v>0</v>
      </c>
      <c r="EZ338" s="365">
        <v>0</v>
      </c>
      <c r="FA338" s="436">
        <v>0</v>
      </c>
      <c r="FB338" s="436">
        <v>0</v>
      </c>
      <c r="FC338" s="436">
        <v>0</v>
      </c>
      <c r="FD338" s="436">
        <v>0</v>
      </c>
      <c r="FE338" s="365">
        <v>0</v>
      </c>
      <c r="FF338" s="364">
        <v>0</v>
      </c>
      <c r="FG338" s="364">
        <v>0</v>
      </c>
      <c r="FH338" s="364">
        <v>0</v>
      </c>
      <c r="FI338" s="365">
        <v>0</v>
      </c>
      <c r="FJ338" s="365">
        <v>0</v>
      </c>
      <c r="FK338" s="365">
        <v>0</v>
      </c>
      <c r="FL338" s="365">
        <v>0</v>
      </c>
      <c r="FM338" s="365">
        <v>0</v>
      </c>
      <c r="FN338" s="365">
        <v>0</v>
      </c>
      <c r="FO338" s="365">
        <v>0</v>
      </c>
      <c r="FP338" s="365">
        <v>0</v>
      </c>
      <c r="FQ338" s="365">
        <v>0</v>
      </c>
      <c r="FR338" s="365">
        <v>0</v>
      </c>
      <c r="FS338" s="365">
        <v>0</v>
      </c>
      <c r="FT338" s="365">
        <v>0</v>
      </c>
      <c r="FU338" s="436">
        <v>0</v>
      </c>
      <c r="FV338" s="436">
        <v>0</v>
      </c>
      <c r="FW338" s="436">
        <v>0</v>
      </c>
      <c r="FX338" s="436">
        <v>0</v>
      </c>
      <c r="FY338" s="365">
        <v>0</v>
      </c>
      <c r="FZ338" s="436">
        <v>0</v>
      </c>
      <c r="GA338" s="436">
        <v>0</v>
      </c>
      <c r="GB338" s="436">
        <v>0</v>
      </c>
      <c r="GC338" s="436">
        <v>0</v>
      </c>
      <c r="GD338" s="365">
        <v>0</v>
      </c>
    </row>
    <row r="339" spans="1:186" ht="15" x14ac:dyDescent="0.25">
      <c r="A339" s="357">
        <v>121</v>
      </c>
      <c r="B339" s="357">
        <v>99</v>
      </c>
      <c r="C339" s="357" t="s">
        <v>1249</v>
      </c>
      <c r="D339" s="2">
        <v>99712</v>
      </c>
      <c r="E339" s="268" t="s">
        <v>19</v>
      </c>
      <c r="F339" s="358" t="s">
        <v>915</v>
      </c>
      <c r="G339" s="49">
        <v>74</v>
      </c>
      <c r="H339" s="49">
        <v>34</v>
      </c>
      <c r="I339" s="49">
        <v>28</v>
      </c>
      <c r="J339" s="49">
        <v>6</v>
      </c>
      <c r="K339" s="49">
        <v>0</v>
      </c>
      <c r="L339" s="49">
        <v>35</v>
      </c>
      <c r="M339" s="49">
        <v>35</v>
      </c>
      <c r="N339" s="49">
        <v>0</v>
      </c>
      <c r="O339" s="49">
        <v>0</v>
      </c>
      <c r="P339" s="49">
        <v>0</v>
      </c>
      <c r="Q339" s="49">
        <v>35</v>
      </c>
      <c r="R339" s="49">
        <v>0</v>
      </c>
      <c r="S339" s="49">
        <v>2755.7142857142858</v>
      </c>
      <c r="T339" s="49">
        <v>2755.7142857142858</v>
      </c>
      <c r="U339" s="49">
        <v>0</v>
      </c>
      <c r="V339" s="49">
        <v>0</v>
      </c>
      <c r="W339" s="49">
        <v>0</v>
      </c>
      <c r="X339" s="49">
        <v>2755.7142857142858</v>
      </c>
      <c r="Y339" s="434">
        <v>96450</v>
      </c>
      <c r="Z339" s="434">
        <v>0</v>
      </c>
      <c r="AA339" s="49">
        <v>0</v>
      </c>
      <c r="AB339" s="49">
        <v>34</v>
      </c>
      <c r="AC339" s="49">
        <v>0</v>
      </c>
      <c r="AD339" s="285">
        <v>0</v>
      </c>
      <c r="AE339" s="285">
        <v>0</v>
      </c>
      <c r="AF339" s="359">
        <v>34</v>
      </c>
      <c r="AG339" s="360">
        <v>0</v>
      </c>
      <c r="AH339" s="360">
        <v>28</v>
      </c>
      <c r="AI339" s="361">
        <v>28</v>
      </c>
      <c r="AJ339" s="360">
        <v>0</v>
      </c>
      <c r="AK339" s="360">
        <v>0</v>
      </c>
      <c r="AL339" s="360">
        <v>30.909884334955098</v>
      </c>
      <c r="AM339" s="360">
        <v>30.909884334955098</v>
      </c>
      <c r="AN339" s="360">
        <v>0</v>
      </c>
      <c r="AO339" s="360">
        <v>0</v>
      </c>
      <c r="AP339" s="360">
        <v>25.54871509086146</v>
      </c>
      <c r="AQ339" s="360">
        <v>25.54871509086146</v>
      </c>
      <c r="AR339" s="360">
        <v>0</v>
      </c>
      <c r="AS339" s="360">
        <v>0</v>
      </c>
      <c r="AT339" s="360">
        <v>0</v>
      </c>
      <c r="AU339" s="360">
        <v>28.100616164714783</v>
      </c>
      <c r="AV339" s="360">
        <v>29.471796609509639</v>
      </c>
      <c r="AW339" s="360">
        <v>30.909884334955098</v>
      </c>
      <c r="AX339" s="360">
        <v>32.41814410771341</v>
      </c>
      <c r="AY339" s="360">
        <v>34</v>
      </c>
      <c r="AZ339" s="360">
        <v>23.312030099786146</v>
      </c>
      <c r="BA339" s="360">
        <v>24.404762142029224</v>
      </c>
      <c r="BB339" s="360">
        <v>25.54871509086146</v>
      </c>
      <c r="BC339" s="360">
        <v>26.746289883722582</v>
      </c>
      <c r="BD339" s="360">
        <v>28</v>
      </c>
      <c r="BE339" s="360">
        <v>0</v>
      </c>
      <c r="BF339" s="360">
        <v>0</v>
      </c>
      <c r="BG339" s="360">
        <v>0</v>
      </c>
      <c r="BH339" s="360">
        <v>0</v>
      </c>
      <c r="BI339" s="360">
        <v>0</v>
      </c>
      <c r="BJ339" s="362">
        <v>34.31480256549149</v>
      </c>
      <c r="BK339" s="362">
        <v>34.632519856137094</v>
      </c>
      <c r="BL339" s="362">
        <v>34.953178859082591</v>
      </c>
      <c r="BM339" s="363">
        <v>34.723377043622918</v>
      </c>
      <c r="BN339" s="363">
        <v>34.495086074275441</v>
      </c>
      <c r="BO339" s="363">
        <v>34.384932099100489</v>
      </c>
      <c r="BP339" s="363">
        <v>34.275129881222817</v>
      </c>
      <c r="BQ339" s="363">
        <v>34.165678297367506</v>
      </c>
      <c r="BR339" s="363">
        <v>34.056576227846641</v>
      </c>
      <c r="BS339" s="363">
        <v>33.947822556547827</v>
      </c>
      <c r="BT339" s="363">
        <v>34.198933507947011</v>
      </c>
      <c r="BU339" s="363">
        <v>34.451901918975828</v>
      </c>
      <c r="BV339" s="363">
        <v>34.706741529203398</v>
      </c>
      <c r="BW339" s="363">
        <v>34.963466179830014</v>
      </c>
      <c r="BX339" s="363">
        <v>35.222089814438846</v>
      </c>
      <c r="BY339" s="435">
        <v>35.364063608814192</v>
      </c>
      <c r="BZ339" s="435">
        <v>35.506037403189538</v>
      </c>
      <c r="CA339" s="435">
        <v>35.648011197564877</v>
      </c>
      <c r="CB339" s="435">
        <v>35.789984991940223</v>
      </c>
      <c r="CC339" s="363">
        <v>35.931958786315569</v>
      </c>
      <c r="CD339" s="435">
        <v>36.048335335005504</v>
      </c>
      <c r="CE339" s="435">
        <v>36.164711883695446</v>
      </c>
      <c r="CF339" s="435">
        <v>36.281088432385381</v>
      </c>
      <c r="CG339" s="435">
        <v>36.397464981075323</v>
      </c>
      <c r="CH339" s="363">
        <v>36.513841529765259</v>
      </c>
      <c r="CI339" s="362">
        <v>28.259249171581224</v>
      </c>
      <c r="CJ339" s="362">
        <v>28.52089870505408</v>
      </c>
      <c r="CK339" s="362">
        <v>28.784970825126841</v>
      </c>
      <c r="CL339" s="363">
        <v>28.595722271218872</v>
      </c>
      <c r="CM339" s="363">
        <v>28.407717943520954</v>
      </c>
      <c r="CN339" s="363">
        <v>28.317002905141582</v>
      </c>
      <c r="CO339" s="363">
        <v>28.226577549242318</v>
      </c>
      <c r="CP339" s="363">
        <v>28.136440950773242</v>
      </c>
      <c r="CQ339" s="363">
        <v>28.046592187638414</v>
      </c>
      <c r="CR339" s="363">
        <v>27.957030340686448</v>
      </c>
      <c r="CS339" s="363">
        <v>28.163827594779892</v>
      </c>
      <c r="CT339" s="363">
        <v>28.372154521509504</v>
      </c>
      <c r="CU339" s="363">
        <v>28.582022435814562</v>
      </c>
      <c r="CV339" s="363">
        <v>28.793442736330604</v>
      </c>
      <c r="CW339" s="363">
        <v>29.006426906008464</v>
      </c>
      <c r="CX339" s="435">
        <v>29.123346501376396</v>
      </c>
      <c r="CY339" s="435">
        <v>29.240266096744325</v>
      </c>
      <c r="CZ339" s="435">
        <v>29.357185692112257</v>
      </c>
      <c r="DA339" s="435">
        <v>29.474105287480185</v>
      </c>
      <c r="DB339" s="363">
        <v>29.591024882848117</v>
      </c>
      <c r="DC339" s="435">
        <v>29.686864393533948</v>
      </c>
      <c r="DD339" s="435">
        <v>29.78270390421978</v>
      </c>
      <c r="DE339" s="435">
        <v>29.878543414905607</v>
      </c>
      <c r="DF339" s="435">
        <v>29.974382925591438</v>
      </c>
      <c r="DG339" s="363">
        <v>30.07022243627727</v>
      </c>
      <c r="DH339" s="362">
        <v>0</v>
      </c>
      <c r="DI339" s="362">
        <v>0</v>
      </c>
      <c r="DJ339" s="362">
        <v>0</v>
      </c>
      <c r="DK339" s="363">
        <v>0</v>
      </c>
      <c r="DL339" s="363">
        <v>0</v>
      </c>
      <c r="DM339" s="363">
        <v>0</v>
      </c>
      <c r="DN339" s="363">
        <v>0</v>
      </c>
      <c r="DO339" s="363">
        <v>0</v>
      </c>
      <c r="DP339" s="363">
        <v>0</v>
      </c>
      <c r="DQ339" s="363">
        <v>0</v>
      </c>
      <c r="DR339" s="363">
        <v>0</v>
      </c>
      <c r="DS339" s="363">
        <v>0</v>
      </c>
      <c r="DT339" s="363">
        <v>0</v>
      </c>
      <c r="DU339" s="363">
        <v>0</v>
      </c>
      <c r="DV339" s="363">
        <v>0</v>
      </c>
      <c r="DW339" s="435">
        <v>0</v>
      </c>
      <c r="DX339" s="435">
        <v>0</v>
      </c>
      <c r="DY339" s="435">
        <v>0</v>
      </c>
      <c r="DZ339" s="435">
        <v>0</v>
      </c>
      <c r="EA339" s="363">
        <v>0</v>
      </c>
      <c r="EB339" s="435">
        <v>0</v>
      </c>
      <c r="EC339" s="435">
        <v>0</v>
      </c>
      <c r="ED339" s="435">
        <v>0</v>
      </c>
      <c r="EE339" s="435">
        <v>0</v>
      </c>
      <c r="EF339" s="363">
        <v>0</v>
      </c>
      <c r="EG339" s="364">
        <v>0</v>
      </c>
      <c r="EH339" s="364">
        <v>0</v>
      </c>
      <c r="EI339" s="364">
        <v>0</v>
      </c>
      <c r="EJ339" s="365">
        <v>0</v>
      </c>
      <c r="EK339" s="365">
        <v>0</v>
      </c>
      <c r="EL339" s="365">
        <v>0</v>
      </c>
      <c r="EM339" s="365">
        <v>0</v>
      </c>
      <c r="EN339" s="365">
        <v>0</v>
      </c>
      <c r="EO339" s="365">
        <v>0</v>
      </c>
      <c r="EP339" s="365">
        <v>0</v>
      </c>
      <c r="EQ339" s="365">
        <v>0</v>
      </c>
      <c r="ER339" s="365">
        <v>0</v>
      </c>
      <c r="ES339" s="365">
        <v>0</v>
      </c>
      <c r="ET339" s="365">
        <v>0</v>
      </c>
      <c r="EU339" s="365">
        <v>0</v>
      </c>
      <c r="EV339" s="436">
        <v>0</v>
      </c>
      <c r="EW339" s="436">
        <v>0</v>
      </c>
      <c r="EX339" s="436">
        <v>0</v>
      </c>
      <c r="EY339" s="436">
        <v>0</v>
      </c>
      <c r="EZ339" s="365">
        <v>0</v>
      </c>
      <c r="FA339" s="436">
        <v>0</v>
      </c>
      <c r="FB339" s="436">
        <v>0</v>
      </c>
      <c r="FC339" s="436">
        <v>0</v>
      </c>
      <c r="FD339" s="436">
        <v>0</v>
      </c>
      <c r="FE339" s="365">
        <v>0</v>
      </c>
      <c r="FF339" s="364">
        <v>0</v>
      </c>
      <c r="FG339" s="364">
        <v>0</v>
      </c>
      <c r="FH339" s="364">
        <v>0</v>
      </c>
      <c r="FI339" s="365">
        <v>0</v>
      </c>
      <c r="FJ339" s="365">
        <v>0</v>
      </c>
      <c r="FK339" s="365">
        <v>0</v>
      </c>
      <c r="FL339" s="365">
        <v>0</v>
      </c>
      <c r="FM339" s="365">
        <v>0</v>
      </c>
      <c r="FN339" s="365">
        <v>0</v>
      </c>
      <c r="FO339" s="365">
        <v>0</v>
      </c>
      <c r="FP339" s="365">
        <v>0</v>
      </c>
      <c r="FQ339" s="365">
        <v>0</v>
      </c>
      <c r="FR339" s="365">
        <v>0</v>
      </c>
      <c r="FS339" s="365">
        <v>0</v>
      </c>
      <c r="FT339" s="365">
        <v>0</v>
      </c>
      <c r="FU339" s="436">
        <v>0</v>
      </c>
      <c r="FV339" s="436">
        <v>0</v>
      </c>
      <c r="FW339" s="436">
        <v>0</v>
      </c>
      <c r="FX339" s="436">
        <v>0</v>
      </c>
      <c r="FY339" s="365">
        <v>0</v>
      </c>
      <c r="FZ339" s="436">
        <v>0</v>
      </c>
      <c r="GA339" s="436">
        <v>0</v>
      </c>
      <c r="GB339" s="436">
        <v>0</v>
      </c>
      <c r="GC339" s="436">
        <v>0</v>
      </c>
      <c r="GD339" s="365">
        <v>0</v>
      </c>
    </row>
    <row r="340" spans="1:186" ht="15" x14ac:dyDescent="0.25">
      <c r="A340" s="357">
        <v>134</v>
      </c>
      <c r="B340" s="357">
        <v>99</v>
      </c>
      <c r="C340" s="357" t="s">
        <v>1250</v>
      </c>
      <c r="D340" s="2">
        <v>99712</v>
      </c>
      <c r="E340" s="268" t="s">
        <v>19</v>
      </c>
      <c r="F340" s="358" t="s">
        <v>915</v>
      </c>
      <c r="G340" s="49">
        <v>60</v>
      </c>
      <c r="H340" s="49">
        <v>31</v>
      </c>
      <c r="I340" s="49">
        <v>26</v>
      </c>
      <c r="J340" s="49">
        <v>5</v>
      </c>
      <c r="K340" s="49">
        <v>0</v>
      </c>
      <c r="L340" s="49">
        <v>0</v>
      </c>
      <c r="M340" s="49">
        <v>0</v>
      </c>
      <c r="N340" s="49">
        <v>0</v>
      </c>
      <c r="O340" s="49">
        <v>0</v>
      </c>
      <c r="P340" s="49">
        <v>0</v>
      </c>
      <c r="Q340" s="49">
        <v>0</v>
      </c>
      <c r="R340" s="49">
        <v>0</v>
      </c>
      <c r="S340" s="49">
        <v>834.49503068156923</v>
      </c>
      <c r="T340" s="49">
        <v>834.49503068156923</v>
      </c>
      <c r="U340" s="49">
        <v>1408.3846153846155</v>
      </c>
      <c r="V340" s="49">
        <v>0</v>
      </c>
      <c r="W340" s="49">
        <v>0</v>
      </c>
      <c r="X340" s="49">
        <v>1365.173957061457</v>
      </c>
      <c r="Y340" s="434">
        <v>0</v>
      </c>
      <c r="Z340" s="434">
        <v>0</v>
      </c>
      <c r="AA340" s="49">
        <v>0.71028239778239777</v>
      </c>
      <c r="AB340" s="49">
        <v>30.249436936936938</v>
      </c>
      <c r="AC340" s="49">
        <v>4.0280665280665283E-2</v>
      </c>
      <c r="AD340" s="285">
        <v>0</v>
      </c>
      <c r="AE340" s="285">
        <v>0</v>
      </c>
      <c r="AF340" s="359">
        <v>31</v>
      </c>
      <c r="AG340" s="360">
        <v>0.59572072072072069</v>
      </c>
      <c r="AH340" s="360">
        <v>25.370495495495494</v>
      </c>
      <c r="AI340" s="361">
        <v>25.966216216216214</v>
      </c>
      <c r="AJ340" s="360">
        <v>3.3783783783783786E-2</v>
      </c>
      <c r="AK340" s="360">
        <v>0.64572784590024956</v>
      </c>
      <c r="AL340" s="360">
        <v>27.500194027007037</v>
      </c>
      <c r="AM340" s="360">
        <v>28.145921872907287</v>
      </c>
      <c r="AN340" s="360">
        <v>3.6619726610600166E-2</v>
      </c>
      <c r="AO340" s="360">
        <v>0.54356782026486938</v>
      </c>
      <c r="AP340" s="360">
        <v>23.149412897442801</v>
      </c>
      <c r="AQ340" s="360">
        <v>23.69298071770767</v>
      </c>
      <c r="AR340" s="360">
        <v>3.0826152377969908E-2</v>
      </c>
      <c r="AS340" s="360">
        <v>0</v>
      </c>
      <c r="AT340" s="360">
        <v>0</v>
      </c>
      <c r="AU340" s="360">
        <v>25.587858517419029</v>
      </c>
      <c r="AV340" s="360">
        <v>26.836427980010331</v>
      </c>
      <c r="AW340" s="360">
        <v>28.145921872907284</v>
      </c>
      <c r="AX340" s="360">
        <v>29.519313027273306</v>
      </c>
      <c r="AY340" s="360">
        <v>30.959719334719335</v>
      </c>
      <c r="AZ340" s="360">
        <v>21.618757643213836</v>
      </c>
      <c r="BA340" s="360">
        <v>22.6321189459021</v>
      </c>
      <c r="BB340" s="360">
        <v>23.69298071770767</v>
      </c>
      <c r="BC340" s="360">
        <v>24.803569503654892</v>
      </c>
      <c r="BD340" s="360">
        <v>25.966216216216214</v>
      </c>
      <c r="BE340" s="360">
        <v>0</v>
      </c>
      <c r="BF340" s="360">
        <v>0</v>
      </c>
      <c r="BG340" s="360">
        <v>0</v>
      </c>
      <c r="BH340" s="360">
        <v>0</v>
      </c>
      <c r="BI340" s="360">
        <v>0</v>
      </c>
      <c r="BJ340" s="362">
        <v>31.351600473950242</v>
      </c>
      <c r="BK340" s="362">
        <v>31.748441956187637</v>
      </c>
      <c r="BL340" s="362">
        <v>32.150306568333676</v>
      </c>
      <c r="BM340" s="363">
        <v>31.938932408438962</v>
      </c>
      <c r="BN340" s="363">
        <v>31.72894794090616</v>
      </c>
      <c r="BO340" s="363">
        <v>31.627627140132265</v>
      </c>
      <c r="BP340" s="363">
        <v>31.526629889470673</v>
      </c>
      <c r="BQ340" s="363">
        <v>31.425955155721145</v>
      </c>
      <c r="BR340" s="363">
        <v>31.32560190898279</v>
      </c>
      <c r="BS340" s="363">
        <v>31.22556912264352</v>
      </c>
      <c r="BT340" s="363">
        <v>31.456543652963013</v>
      </c>
      <c r="BU340" s="363">
        <v>31.689226694453165</v>
      </c>
      <c r="BV340" s="363">
        <v>31.923630884916147</v>
      </c>
      <c r="BW340" s="363">
        <v>32.159768955635556</v>
      </c>
      <c r="BX340" s="363">
        <v>32.397653732067845</v>
      </c>
      <c r="BY340" s="435">
        <v>32.528242741789654</v>
      </c>
      <c r="BZ340" s="435">
        <v>32.658831751511464</v>
      </c>
      <c r="CA340" s="435">
        <v>32.789420761233274</v>
      </c>
      <c r="CB340" s="435">
        <v>32.920009770955083</v>
      </c>
      <c r="CC340" s="363">
        <v>33.050598780676893</v>
      </c>
      <c r="CD340" s="435">
        <v>33.157643170911911</v>
      </c>
      <c r="CE340" s="435">
        <v>33.264687561146928</v>
      </c>
      <c r="CF340" s="435">
        <v>33.371731951381953</v>
      </c>
      <c r="CG340" s="435">
        <v>33.478776341616971</v>
      </c>
      <c r="CH340" s="363">
        <v>33.585820731851989</v>
      </c>
      <c r="CI340" s="362">
        <v>26.294890720087295</v>
      </c>
      <c r="CJ340" s="362">
        <v>26.627725511641241</v>
      </c>
      <c r="CK340" s="362">
        <v>26.9647732508605</v>
      </c>
      <c r="CL340" s="363">
        <v>26.787491697400416</v>
      </c>
      <c r="CM340" s="363">
        <v>26.611375692372906</v>
      </c>
      <c r="CN340" s="363">
        <v>26.526396956239964</v>
      </c>
      <c r="CO340" s="363">
        <v>26.441689584717338</v>
      </c>
      <c r="CP340" s="363">
        <v>26.357252711249991</v>
      </c>
      <c r="CQ340" s="363">
        <v>26.273085472050077</v>
      </c>
      <c r="CR340" s="363">
        <v>26.189187006088112</v>
      </c>
      <c r="CS340" s="363">
        <v>26.382907579904462</v>
      </c>
      <c r="CT340" s="363">
        <v>26.57806109857362</v>
      </c>
      <c r="CU340" s="363">
        <v>26.774658161542572</v>
      </c>
      <c r="CV340" s="363">
        <v>26.972709446662076</v>
      </c>
      <c r="CW340" s="363">
        <v>27.172225710766575</v>
      </c>
      <c r="CX340" s="435">
        <v>27.281751976984868</v>
      </c>
      <c r="CY340" s="435">
        <v>27.391278243203161</v>
      </c>
      <c r="CZ340" s="435">
        <v>27.500804509421449</v>
      </c>
      <c r="DA340" s="435">
        <v>27.610330775639742</v>
      </c>
      <c r="DB340" s="363">
        <v>27.719857041858035</v>
      </c>
      <c r="DC340" s="435">
        <v>27.809636207861601</v>
      </c>
      <c r="DD340" s="435">
        <v>27.899415373865164</v>
      </c>
      <c r="DE340" s="435">
        <v>27.989194539868731</v>
      </c>
      <c r="DF340" s="435">
        <v>28.078973705872293</v>
      </c>
      <c r="DG340" s="363">
        <v>28.16875287187586</v>
      </c>
      <c r="DH340" s="362">
        <v>0</v>
      </c>
      <c r="DI340" s="362">
        <v>0</v>
      </c>
      <c r="DJ340" s="362">
        <v>0</v>
      </c>
      <c r="DK340" s="363">
        <v>0</v>
      </c>
      <c r="DL340" s="363">
        <v>0</v>
      </c>
      <c r="DM340" s="363">
        <v>0</v>
      </c>
      <c r="DN340" s="363">
        <v>0</v>
      </c>
      <c r="DO340" s="363">
        <v>0</v>
      </c>
      <c r="DP340" s="363">
        <v>0</v>
      </c>
      <c r="DQ340" s="363">
        <v>0</v>
      </c>
      <c r="DR340" s="363">
        <v>0</v>
      </c>
      <c r="DS340" s="363">
        <v>0</v>
      </c>
      <c r="DT340" s="363">
        <v>0</v>
      </c>
      <c r="DU340" s="363">
        <v>0</v>
      </c>
      <c r="DV340" s="363">
        <v>0</v>
      </c>
      <c r="DW340" s="435">
        <v>0</v>
      </c>
      <c r="DX340" s="435">
        <v>0</v>
      </c>
      <c r="DY340" s="435">
        <v>0</v>
      </c>
      <c r="DZ340" s="435">
        <v>0</v>
      </c>
      <c r="EA340" s="363">
        <v>0</v>
      </c>
      <c r="EB340" s="435">
        <v>0</v>
      </c>
      <c r="EC340" s="435">
        <v>0</v>
      </c>
      <c r="ED340" s="435">
        <v>0</v>
      </c>
      <c r="EE340" s="435">
        <v>0</v>
      </c>
      <c r="EF340" s="363">
        <v>0</v>
      </c>
      <c r="EG340" s="364">
        <v>4.0790528849792146E-2</v>
      </c>
      <c r="EH340" s="364">
        <v>4.1306846156892583E-2</v>
      </c>
      <c r="EI340" s="364">
        <v>4.1829698891925157E-2</v>
      </c>
      <c r="EJ340" s="365">
        <v>4.1554686974289566E-2</v>
      </c>
      <c r="EK340" s="365">
        <v>4.128148313935228E-2</v>
      </c>
      <c r="EL340" s="365">
        <v>4.1149658001733369E-2</v>
      </c>
      <c r="EM340" s="365">
        <v>4.1018253824447924E-2</v>
      </c>
      <c r="EN340" s="365">
        <v>4.0887269263233342E-2</v>
      </c>
      <c r="EO340" s="365">
        <v>4.0756702978119681E-2</v>
      </c>
      <c r="EP340" s="365">
        <v>4.0626553633415982E-2</v>
      </c>
      <c r="EQ340" s="365">
        <v>4.0927066943745788E-2</v>
      </c>
      <c r="ER340" s="365">
        <v>4.1229803141365033E-2</v>
      </c>
      <c r="ES340" s="365">
        <v>4.1534778668899486E-2</v>
      </c>
      <c r="ET340" s="365">
        <v>4.1842010090600512E-2</v>
      </c>
      <c r="EU340" s="365">
        <v>4.2151514093244656E-2</v>
      </c>
      <c r="EV340" s="436">
        <v>4.2321419128011517E-2</v>
      </c>
      <c r="EW340" s="436">
        <v>4.2491324162778378E-2</v>
      </c>
      <c r="EX340" s="436">
        <v>4.2661229197545239E-2</v>
      </c>
      <c r="EY340" s="436">
        <v>4.28311342323121E-2</v>
      </c>
      <c r="EZ340" s="365">
        <v>4.3001039267078961E-2</v>
      </c>
      <c r="FA340" s="436">
        <v>4.3140311177350912E-2</v>
      </c>
      <c r="FB340" s="436">
        <v>4.3279583087622864E-2</v>
      </c>
      <c r="FC340" s="436">
        <v>4.3418854997894808E-2</v>
      </c>
      <c r="FD340" s="436">
        <v>4.355812690816676E-2</v>
      </c>
      <c r="FE340" s="365">
        <v>4.3697398818438711E-2</v>
      </c>
      <c r="FF340" s="364">
        <v>0</v>
      </c>
      <c r="FG340" s="364">
        <v>0</v>
      </c>
      <c r="FH340" s="364">
        <v>0</v>
      </c>
      <c r="FI340" s="365">
        <v>0</v>
      </c>
      <c r="FJ340" s="365">
        <v>0</v>
      </c>
      <c r="FK340" s="365">
        <v>0</v>
      </c>
      <c r="FL340" s="365">
        <v>0</v>
      </c>
      <c r="FM340" s="365">
        <v>0</v>
      </c>
      <c r="FN340" s="365">
        <v>0</v>
      </c>
      <c r="FO340" s="365">
        <v>0</v>
      </c>
      <c r="FP340" s="365">
        <v>0</v>
      </c>
      <c r="FQ340" s="365">
        <v>0</v>
      </c>
      <c r="FR340" s="365">
        <v>0</v>
      </c>
      <c r="FS340" s="365">
        <v>0</v>
      </c>
      <c r="FT340" s="365">
        <v>0</v>
      </c>
      <c r="FU340" s="436">
        <v>0</v>
      </c>
      <c r="FV340" s="436">
        <v>0</v>
      </c>
      <c r="FW340" s="436">
        <v>0</v>
      </c>
      <c r="FX340" s="436">
        <v>0</v>
      </c>
      <c r="FY340" s="365">
        <v>0</v>
      </c>
      <c r="FZ340" s="436">
        <v>0</v>
      </c>
      <c r="GA340" s="436">
        <v>0</v>
      </c>
      <c r="GB340" s="436">
        <v>0</v>
      </c>
      <c r="GC340" s="436">
        <v>0</v>
      </c>
      <c r="GD340" s="365">
        <v>0</v>
      </c>
    </row>
    <row r="341" spans="1:186" ht="15" x14ac:dyDescent="0.25">
      <c r="A341" s="357">
        <v>138</v>
      </c>
      <c r="B341" s="357">
        <v>99</v>
      </c>
      <c r="C341" s="357" t="s">
        <v>1251</v>
      </c>
      <c r="D341" s="2">
        <v>99712</v>
      </c>
      <c r="E341" s="268" t="s">
        <v>19</v>
      </c>
      <c r="F341" s="358" t="s">
        <v>915</v>
      </c>
      <c r="G341" s="49">
        <v>115</v>
      </c>
      <c r="H341" s="49">
        <v>58</v>
      </c>
      <c r="I341" s="49">
        <v>52</v>
      </c>
      <c r="J341" s="49">
        <v>6</v>
      </c>
      <c r="K341" s="49">
        <v>0</v>
      </c>
      <c r="L341" s="49">
        <v>0</v>
      </c>
      <c r="M341" s="49">
        <v>0</v>
      </c>
      <c r="N341" s="49">
        <v>0</v>
      </c>
      <c r="O341" s="49">
        <v>0</v>
      </c>
      <c r="P341" s="49">
        <v>0</v>
      </c>
      <c r="Q341" s="49">
        <v>0</v>
      </c>
      <c r="R341" s="49">
        <v>0</v>
      </c>
      <c r="S341" s="49">
        <v>834.49503068156923</v>
      </c>
      <c r="T341" s="49">
        <v>834.49503068156923</v>
      </c>
      <c r="U341" s="49">
        <v>1408.3846153846155</v>
      </c>
      <c r="V341" s="49">
        <v>0</v>
      </c>
      <c r="W341" s="49">
        <v>0</v>
      </c>
      <c r="X341" s="49">
        <v>1365.173957061457</v>
      </c>
      <c r="Y341" s="434">
        <v>0</v>
      </c>
      <c r="Z341" s="434">
        <v>0</v>
      </c>
      <c r="AA341" s="49">
        <v>1.328915453915454</v>
      </c>
      <c r="AB341" s="49">
        <v>56.59572072072072</v>
      </c>
      <c r="AC341" s="49">
        <v>7.5363825363825368E-2</v>
      </c>
      <c r="AD341" s="285">
        <v>0</v>
      </c>
      <c r="AE341" s="285">
        <v>0</v>
      </c>
      <c r="AF341" s="359">
        <v>58</v>
      </c>
      <c r="AG341" s="360">
        <v>1.1914414414414414</v>
      </c>
      <c r="AH341" s="360">
        <v>50.740990990990987</v>
      </c>
      <c r="AI341" s="361">
        <v>51.932432432432428</v>
      </c>
      <c r="AJ341" s="360">
        <v>6.7567567567567571E-2</v>
      </c>
      <c r="AK341" s="360">
        <v>1.2081359697488541</v>
      </c>
      <c r="AL341" s="360">
        <v>51.451975921497031</v>
      </c>
      <c r="AM341" s="360">
        <v>52.660111891245883</v>
      </c>
      <c r="AN341" s="360">
        <v>6.8514327206929335E-2</v>
      </c>
      <c r="AO341" s="360">
        <v>1.0871356405297388</v>
      </c>
      <c r="AP341" s="360">
        <v>46.298825794885602</v>
      </c>
      <c r="AQ341" s="360">
        <v>47.385961435415339</v>
      </c>
      <c r="AR341" s="360">
        <v>6.1652304755939816E-2</v>
      </c>
      <c r="AS341" s="360">
        <v>0</v>
      </c>
      <c r="AT341" s="360">
        <v>0</v>
      </c>
      <c r="AU341" s="360">
        <v>47.874057871300124</v>
      </c>
      <c r="AV341" s="360">
        <v>50.210091059374172</v>
      </c>
      <c r="AW341" s="360">
        <v>52.66011189124589</v>
      </c>
      <c r="AX341" s="360">
        <v>55.22968243812425</v>
      </c>
      <c r="AY341" s="360">
        <v>57.924636174636177</v>
      </c>
      <c r="AZ341" s="360">
        <v>43.237515286427673</v>
      </c>
      <c r="BA341" s="360">
        <v>45.2642378918042</v>
      </c>
      <c r="BB341" s="360">
        <v>47.385961435415339</v>
      </c>
      <c r="BC341" s="360">
        <v>49.607139007309783</v>
      </c>
      <c r="BD341" s="360">
        <v>51.932432432432428</v>
      </c>
      <c r="BE341" s="360">
        <v>0</v>
      </c>
      <c r="BF341" s="360">
        <v>0</v>
      </c>
      <c r="BG341" s="360">
        <v>0</v>
      </c>
      <c r="BH341" s="360">
        <v>0</v>
      </c>
      <c r="BI341" s="360">
        <v>0</v>
      </c>
      <c r="BJ341" s="362">
        <v>58.657833144810134</v>
      </c>
      <c r="BK341" s="362">
        <v>59.400310756738158</v>
      </c>
      <c r="BL341" s="362">
        <v>60.152186482688812</v>
      </c>
      <c r="BM341" s="363">
        <v>59.756712248047087</v>
      </c>
      <c r="BN341" s="363">
        <v>59.363838082985723</v>
      </c>
      <c r="BO341" s="363">
        <v>59.174270133150692</v>
      </c>
      <c r="BP341" s="363">
        <v>58.985307535138681</v>
      </c>
      <c r="BQ341" s="363">
        <v>58.796948355865368</v>
      </c>
      <c r="BR341" s="363">
        <v>58.609190668419409</v>
      </c>
      <c r="BS341" s="363">
        <v>58.422032552042715</v>
      </c>
      <c r="BT341" s="363">
        <v>58.854178447479185</v>
      </c>
      <c r="BU341" s="363">
        <v>59.28952091220269</v>
      </c>
      <c r="BV341" s="363">
        <v>59.728083591133434</v>
      </c>
      <c r="BW341" s="363">
        <v>60.169890304092327</v>
      </c>
      <c r="BX341" s="363">
        <v>60.614965047094671</v>
      </c>
      <c r="BY341" s="435">
        <v>60.859292871735477</v>
      </c>
      <c r="BZ341" s="435">
        <v>61.103620696376282</v>
      </c>
      <c r="CA341" s="435">
        <v>61.347948521017088</v>
      </c>
      <c r="CB341" s="435">
        <v>61.592276345657893</v>
      </c>
      <c r="CC341" s="363">
        <v>61.836604170298699</v>
      </c>
      <c r="CD341" s="435">
        <v>62.036880771383572</v>
      </c>
      <c r="CE341" s="435">
        <v>62.237157372468452</v>
      </c>
      <c r="CF341" s="435">
        <v>62.437433973553325</v>
      </c>
      <c r="CG341" s="435">
        <v>62.637710574638206</v>
      </c>
      <c r="CH341" s="363">
        <v>62.837987175723079</v>
      </c>
      <c r="CI341" s="362">
        <v>52.58978144017459</v>
      </c>
      <c r="CJ341" s="362">
        <v>53.255451023282482</v>
      </c>
      <c r="CK341" s="362">
        <v>53.929546501720999</v>
      </c>
      <c r="CL341" s="363">
        <v>53.574983394800832</v>
      </c>
      <c r="CM341" s="363">
        <v>53.222751384745813</v>
      </c>
      <c r="CN341" s="363">
        <v>53.052793912479927</v>
      </c>
      <c r="CO341" s="363">
        <v>52.883379169434676</v>
      </c>
      <c r="CP341" s="363">
        <v>52.714505422499983</v>
      </c>
      <c r="CQ341" s="363">
        <v>52.546170944100155</v>
      </c>
      <c r="CR341" s="363">
        <v>52.378374012176224</v>
      </c>
      <c r="CS341" s="363">
        <v>52.765815159808923</v>
      </c>
      <c r="CT341" s="363">
        <v>53.156122197147241</v>
      </c>
      <c r="CU341" s="363">
        <v>53.549316323085144</v>
      </c>
      <c r="CV341" s="363">
        <v>53.945418893324153</v>
      </c>
      <c r="CW341" s="363">
        <v>54.344451421533151</v>
      </c>
      <c r="CX341" s="435">
        <v>54.563503953969736</v>
      </c>
      <c r="CY341" s="435">
        <v>54.782556486406321</v>
      </c>
      <c r="CZ341" s="435">
        <v>55.001609018842899</v>
      </c>
      <c r="DA341" s="435">
        <v>55.220661551279484</v>
      </c>
      <c r="DB341" s="363">
        <v>55.439714083716069</v>
      </c>
      <c r="DC341" s="435">
        <v>55.619272415723202</v>
      </c>
      <c r="DD341" s="435">
        <v>55.798830747730328</v>
      </c>
      <c r="DE341" s="435">
        <v>55.978389079737461</v>
      </c>
      <c r="DF341" s="435">
        <v>56.157947411744587</v>
      </c>
      <c r="DG341" s="363">
        <v>56.33750574375172</v>
      </c>
      <c r="DH341" s="362">
        <v>0</v>
      </c>
      <c r="DI341" s="362">
        <v>0</v>
      </c>
      <c r="DJ341" s="362">
        <v>0</v>
      </c>
      <c r="DK341" s="363">
        <v>0</v>
      </c>
      <c r="DL341" s="363">
        <v>0</v>
      </c>
      <c r="DM341" s="363">
        <v>0</v>
      </c>
      <c r="DN341" s="363">
        <v>0</v>
      </c>
      <c r="DO341" s="363">
        <v>0</v>
      </c>
      <c r="DP341" s="363">
        <v>0</v>
      </c>
      <c r="DQ341" s="363">
        <v>0</v>
      </c>
      <c r="DR341" s="363">
        <v>0</v>
      </c>
      <c r="DS341" s="363">
        <v>0</v>
      </c>
      <c r="DT341" s="363">
        <v>0</v>
      </c>
      <c r="DU341" s="363">
        <v>0</v>
      </c>
      <c r="DV341" s="363">
        <v>0</v>
      </c>
      <c r="DW341" s="435">
        <v>0</v>
      </c>
      <c r="DX341" s="435">
        <v>0</v>
      </c>
      <c r="DY341" s="435">
        <v>0</v>
      </c>
      <c r="DZ341" s="435">
        <v>0</v>
      </c>
      <c r="EA341" s="363">
        <v>0</v>
      </c>
      <c r="EB341" s="435">
        <v>0</v>
      </c>
      <c r="EC341" s="435">
        <v>0</v>
      </c>
      <c r="ED341" s="435">
        <v>0</v>
      </c>
      <c r="EE341" s="435">
        <v>0</v>
      </c>
      <c r="EF341" s="363">
        <v>0</v>
      </c>
      <c r="EG341" s="364">
        <v>7.6317763654449824E-2</v>
      </c>
      <c r="EH341" s="364">
        <v>7.7283776680637739E-2</v>
      </c>
      <c r="EI341" s="364">
        <v>7.8262017281666429E-2</v>
      </c>
      <c r="EJ341" s="365">
        <v>7.7747478855122426E-2</v>
      </c>
      <c r="EK341" s="365">
        <v>7.723632329298169E-2</v>
      </c>
      <c r="EL341" s="365">
        <v>7.6989682712920504E-2</v>
      </c>
      <c r="EM341" s="365">
        <v>7.6743829736063862E-2</v>
      </c>
      <c r="EN341" s="365">
        <v>7.6498761847339808E-2</v>
      </c>
      <c r="EO341" s="365">
        <v>7.6254476539707808E-2</v>
      </c>
      <c r="EP341" s="365">
        <v>7.6010971314133133E-2</v>
      </c>
      <c r="EQ341" s="365">
        <v>7.6573222023782445E-2</v>
      </c>
      <c r="ER341" s="365">
        <v>7.7139631683844259E-2</v>
      </c>
      <c r="ES341" s="365">
        <v>7.771023105794099E-2</v>
      </c>
      <c r="ET341" s="365">
        <v>7.8285051137252579E-2</v>
      </c>
      <c r="EU341" s="365">
        <v>7.8864123142199691E-2</v>
      </c>
      <c r="EV341" s="436">
        <v>7.9182009981440912E-2</v>
      </c>
      <c r="EW341" s="436">
        <v>7.9499896820682134E-2</v>
      </c>
      <c r="EX341" s="436">
        <v>7.9817783659923369E-2</v>
      </c>
      <c r="EY341" s="436">
        <v>8.0135670499164591E-2</v>
      </c>
      <c r="EZ341" s="365">
        <v>8.0453557338405812E-2</v>
      </c>
      <c r="FA341" s="436">
        <v>8.071413058988236E-2</v>
      </c>
      <c r="FB341" s="436">
        <v>8.0974703841358908E-2</v>
      </c>
      <c r="FC341" s="436">
        <v>8.1235277092835456E-2</v>
      </c>
      <c r="FD341" s="436">
        <v>8.1495850344312004E-2</v>
      </c>
      <c r="FE341" s="365">
        <v>8.1756423595788552E-2</v>
      </c>
      <c r="FF341" s="364">
        <v>0</v>
      </c>
      <c r="FG341" s="364">
        <v>0</v>
      </c>
      <c r="FH341" s="364">
        <v>0</v>
      </c>
      <c r="FI341" s="365">
        <v>0</v>
      </c>
      <c r="FJ341" s="365">
        <v>0</v>
      </c>
      <c r="FK341" s="365">
        <v>0</v>
      </c>
      <c r="FL341" s="365">
        <v>0</v>
      </c>
      <c r="FM341" s="365">
        <v>0</v>
      </c>
      <c r="FN341" s="365">
        <v>0</v>
      </c>
      <c r="FO341" s="365">
        <v>0</v>
      </c>
      <c r="FP341" s="365">
        <v>0</v>
      </c>
      <c r="FQ341" s="365">
        <v>0</v>
      </c>
      <c r="FR341" s="365">
        <v>0</v>
      </c>
      <c r="FS341" s="365">
        <v>0</v>
      </c>
      <c r="FT341" s="365">
        <v>0</v>
      </c>
      <c r="FU341" s="436">
        <v>0</v>
      </c>
      <c r="FV341" s="436">
        <v>0</v>
      </c>
      <c r="FW341" s="436">
        <v>0</v>
      </c>
      <c r="FX341" s="436">
        <v>0</v>
      </c>
      <c r="FY341" s="365">
        <v>0</v>
      </c>
      <c r="FZ341" s="436">
        <v>0</v>
      </c>
      <c r="GA341" s="436">
        <v>0</v>
      </c>
      <c r="GB341" s="436">
        <v>0</v>
      </c>
      <c r="GC341" s="436">
        <v>0</v>
      </c>
      <c r="GD341" s="365">
        <v>0</v>
      </c>
    </row>
    <row r="342" spans="1:186" ht="15" x14ac:dyDescent="0.25">
      <c r="A342" s="357">
        <v>194</v>
      </c>
      <c r="B342" s="357">
        <v>99</v>
      </c>
      <c r="C342" s="357" t="s">
        <v>1252</v>
      </c>
      <c r="D342" s="2">
        <v>99712</v>
      </c>
      <c r="E342" s="268" t="s">
        <v>19</v>
      </c>
      <c r="F342" s="358" t="s">
        <v>915</v>
      </c>
      <c r="G342" s="49">
        <v>19</v>
      </c>
      <c r="H342" s="49">
        <v>30</v>
      </c>
      <c r="I342" s="49">
        <v>9</v>
      </c>
      <c r="J342" s="49">
        <v>21</v>
      </c>
      <c r="K342" s="49">
        <v>0</v>
      </c>
      <c r="L342" s="49">
        <v>0</v>
      </c>
      <c r="M342" s="49">
        <v>0</v>
      </c>
      <c r="N342" s="49">
        <v>0</v>
      </c>
      <c r="O342" s="49">
        <v>0</v>
      </c>
      <c r="P342" s="49">
        <v>0</v>
      </c>
      <c r="Q342" s="49">
        <v>0</v>
      </c>
      <c r="R342" s="49">
        <v>0</v>
      </c>
      <c r="S342" s="49">
        <v>834.49503068156923</v>
      </c>
      <c r="T342" s="49">
        <v>834.49503068156923</v>
      </c>
      <c r="U342" s="49">
        <v>1408.3846153846155</v>
      </c>
      <c r="V342" s="49">
        <v>0</v>
      </c>
      <c r="W342" s="49">
        <v>0</v>
      </c>
      <c r="X342" s="49">
        <v>1365.173957061457</v>
      </c>
      <c r="Y342" s="434">
        <v>0</v>
      </c>
      <c r="Z342" s="434">
        <v>0</v>
      </c>
      <c r="AA342" s="49">
        <v>0.68737006237006237</v>
      </c>
      <c r="AB342" s="49">
        <v>29.273648648648649</v>
      </c>
      <c r="AC342" s="49">
        <v>3.8981288981288983E-2</v>
      </c>
      <c r="AD342" s="285">
        <v>0</v>
      </c>
      <c r="AE342" s="285">
        <v>0</v>
      </c>
      <c r="AF342" s="359">
        <v>30</v>
      </c>
      <c r="AG342" s="360">
        <v>0.20621101871101871</v>
      </c>
      <c r="AH342" s="360">
        <v>8.7820945945945947</v>
      </c>
      <c r="AI342" s="361">
        <v>8.988305613305613</v>
      </c>
      <c r="AJ342" s="360">
        <v>1.1694386694386695E-2</v>
      </c>
      <c r="AK342" s="360">
        <v>0.6248979153873383</v>
      </c>
      <c r="AL342" s="360">
        <v>26.613090993877776</v>
      </c>
      <c r="AM342" s="360">
        <v>27.237988909265116</v>
      </c>
      <c r="AN342" s="360">
        <v>3.5438445107032417E-2</v>
      </c>
      <c r="AO342" s="360">
        <v>0.1881580916301471</v>
      </c>
      <c r="AP342" s="360">
        <v>8.0132583106532778</v>
      </c>
      <c r="AQ342" s="360">
        <v>8.2014164022834244</v>
      </c>
      <c r="AR342" s="360">
        <v>1.0670591207758814E-2</v>
      </c>
      <c r="AS342" s="360">
        <v>0</v>
      </c>
      <c r="AT342" s="360">
        <v>0</v>
      </c>
      <c r="AU342" s="360">
        <v>24.762443726534542</v>
      </c>
      <c r="AV342" s="360">
        <v>25.970736754848705</v>
      </c>
      <c r="AW342" s="360">
        <v>27.237988909265113</v>
      </c>
      <c r="AX342" s="360">
        <v>28.567077123167714</v>
      </c>
      <c r="AY342" s="360">
        <v>29.96101871101871</v>
      </c>
      <c r="AZ342" s="360">
        <v>7.4834161072663283</v>
      </c>
      <c r="BA342" s="360">
        <v>7.8341950197353425</v>
      </c>
      <c r="BB342" s="360">
        <v>8.2014164022834244</v>
      </c>
      <c r="BC342" s="360">
        <v>8.5858509820343851</v>
      </c>
      <c r="BD342" s="360">
        <v>8.988305613305613</v>
      </c>
      <c r="BE342" s="360">
        <v>0</v>
      </c>
      <c r="BF342" s="360">
        <v>0</v>
      </c>
      <c r="BG342" s="360">
        <v>0</v>
      </c>
      <c r="BH342" s="360">
        <v>0</v>
      </c>
      <c r="BI342" s="360">
        <v>0</v>
      </c>
      <c r="BJ342" s="362">
        <v>30.340258523177653</v>
      </c>
      <c r="BK342" s="362">
        <v>30.724298667278358</v>
      </c>
      <c r="BL342" s="362">
        <v>31.113199904839039</v>
      </c>
      <c r="BM342" s="363">
        <v>30.908644266231253</v>
      </c>
      <c r="BN342" s="363">
        <v>30.705433491199507</v>
      </c>
      <c r="BO342" s="363">
        <v>30.607381103353802</v>
      </c>
      <c r="BP342" s="363">
        <v>30.509641828520007</v>
      </c>
      <c r="BQ342" s="363">
        <v>30.412214666826912</v>
      </c>
      <c r="BR342" s="363">
        <v>30.315098621596245</v>
      </c>
      <c r="BS342" s="363">
        <v>30.218292699332437</v>
      </c>
      <c r="BT342" s="363">
        <v>30.441816438351299</v>
      </c>
      <c r="BU342" s="363">
        <v>30.666993575277253</v>
      </c>
      <c r="BV342" s="363">
        <v>30.893836340241432</v>
      </c>
      <c r="BW342" s="363">
        <v>31.122357053840858</v>
      </c>
      <c r="BX342" s="363">
        <v>31.352568127807587</v>
      </c>
      <c r="BY342" s="435">
        <v>31.478944588828693</v>
      </c>
      <c r="BZ342" s="435">
        <v>31.605321049849799</v>
      </c>
      <c r="CA342" s="435">
        <v>31.731697510870905</v>
      </c>
      <c r="CB342" s="435">
        <v>31.858073971892011</v>
      </c>
      <c r="CC342" s="363">
        <v>31.984450432913118</v>
      </c>
      <c r="CD342" s="435">
        <v>32.08804177830185</v>
      </c>
      <c r="CE342" s="435">
        <v>32.191633123690579</v>
      </c>
      <c r="CF342" s="435">
        <v>32.295224469079308</v>
      </c>
      <c r="CG342" s="435">
        <v>32.398815814468037</v>
      </c>
      <c r="CH342" s="363">
        <v>32.502407159856766</v>
      </c>
      <c r="CI342" s="362">
        <v>9.1020775569532955</v>
      </c>
      <c r="CJ342" s="362">
        <v>9.2172896001835074</v>
      </c>
      <c r="CK342" s="362">
        <v>9.3339599714517121</v>
      </c>
      <c r="CL342" s="363">
        <v>9.2725932798693762</v>
      </c>
      <c r="CM342" s="363">
        <v>9.2116300473598525</v>
      </c>
      <c r="CN342" s="363">
        <v>9.1822143310061417</v>
      </c>
      <c r="CO342" s="363">
        <v>9.152892548556002</v>
      </c>
      <c r="CP342" s="363">
        <v>9.1236644000480744</v>
      </c>
      <c r="CQ342" s="363">
        <v>9.094529586478874</v>
      </c>
      <c r="CR342" s="363">
        <v>9.0654878097997322</v>
      </c>
      <c r="CS342" s="363">
        <v>9.1325449315053913</v>
      </c>
      <c r="CT342" s="363">
        <v>9.2000980725831756</v>
      </c>
      <c r="CU342" s="363">
        <v>9.2681509020724295</v>
      </c>
      <c r="CV342" s="363">
        <v>9.3367071161522581</v>
      </c>
      <c r="CW342" s="363">
        <v>9.4057704383422767</v>
      </c>
      <c r="CX342" s="435">
        <v>9.4436833766486092</v>
      </c>
      <c r="CY342" s="435">
        <v>9.48159631495494</v>
      </c>
      <c r="CZ342" s="435">
        <v>9.5195092532612726</v>
      </c>
      <c r="DA342" s="435">
        <v>9.5574221915676034</v>
      </c>
      <c r="DB342" s="363">
        <v>9.595335129873936</v>
      </c>
      <c r="DC342" s="435">
        <v>9.626412533490555</v>
      </c>
      <c r="DD342" s="435">
        <v>9.6574899371071741</v>
      </c>
      <c r="DE342" s="435">
        <v>9.6885673407237913</v>
      </c>
      <c r="DF342" s="435">
        <v>9.7196447443404104</v>
      </c>
      <c r="DG342" s="363">
        <v>9.7507221479570294</v>
      </c>
      <c r="DH342" s="362">
        <v>0</v>
      </c>
      <c r="DI342" s="362">
        <v>0</v>
      </c>
      <c r="DJ342" s="362">
        <v>0</v>
      </c>
      <c r="DK342" s="363">
        <v>0</v>
      </c>
      <c r="DL342" s="363">
        <v>0</v>
      </c>
      <c r="DM342" s="363">
        <v>0</v>
      </c>
      <c r="DN342" s="363">
        <v>0</v>
      </c>
      <c r="DO342" s="363">
        <v>0</v>
      </c>
      <c r="DP342" s="363">
        <v>0</v>
      </c>
      <c r="DQ342" s="363">
        <v>0</v>
      </c>
      <c r="DR342" s="363">
        <v>0</v>
      </c>
      <c r="DS342" s="363">
        <v>0</v>
      </c>
      <c r="DT342" s="363">
        <v>0</v>
      </c>
      <c r="DU342" s="363">
        <v>0</v>
      </c>
      <c r="DV342" s="363">
        <v>0</v>
      </c>
      <c r="DW342" s="435">
        <v>0</v>
      </c>
      <c r="DX342" s="435">
        <v>0</v>
      </c>
      <c r="DY342" s="435">
        <v>0</v>
      </c>
      <c r="DZ342" s="435">
        <v>0</v>
      </c>
      <c r="EA342" s="363">
        <v>0</v>
      </c>
      <c r="EB342" s="435">
        <v>0</v>
      </c>
      <c r="EC342" s="435">
        <v>0</v>
      </c>
      <c r="ED342" s="435">
        <v>0</v>
      </c>
      <c r="EE342" s="435">
        <v>0</v>
      </c>
      <c r="EF342" s="363">
        <v>0</v>
      </c>
      <c r="EG342" s="364">
        <v>3.9474705338508526E-2</v>
      </c>
      <c r="EH342" s="364">
        <v>3.9974367248605723E-2</v>
      </c>
      <c r="EI342" s="364">
        <v>4.0480353766379186E-2</v>
      </c>
      <c r="EJ342" s="365">
        <v>4.0214213200925393E-2</v>
      </c>
      <c r="EK342" s="365">
        <v>3.9949822392921559E-2</v>
      </c>
      <c r="EL342" s="365">
        <v>3.9822249679096811E-2</v>
      </c>
      <c r="EM342" s="365">
        <v>3.9695084346239931E-2</v>
      </c>
      <c r="EN342" s="365">
        <v>3.9568325093451623E-2</v>
      </c>
      <c r="EO342" s="365">
        <v>3.9441970623986793E-2</v>
      </c>
      <c r="EP342" s="365">
        <v>3.9316019645241271E-2</v>
      </c>
      <c r="EQ342" s="365">
        <v>3.9606838977818505E-2</v>
      </c>
      <c r="ER342" s="365">
        <v>3.9899809491643581E-2</v>
      </c>
      <c r="ES342" s="365">
        <v>4.0194947098934987E-2</v>
      </c>
      <c r="ET342" s="365">
        <v>4.0492267829613404E-2</v>
      </c>
      <c r="EU342" s="365">
        <v>4.0791787832172251E-2</v>
      </c>
      <c r="EV342" s="436">
        <v>4.095621205936599E-2</v>
      </c>
      <c r="EW342" s="436">
        <v>4.1120636286559722E-2</v>
      </c>
      <c r="EX342" s="436">
        <v>4.1285060513753462E-2</v>
      </c>
      <c r="EY342" s="436">
        <v>4.1449484740947194E-2</v>
      </c>
      <c r="EZ342" s="365">
        <v>4.1613908968140934E-2</v>
      </c>
      <c r="FA342" s="436">
        <v>4.1748688236146046E-2</v>
      </c>
      <c r="FB342" s="436">
        <v>4.1883467504151159E-2</v>
      </c>
      <c r="FC342" s="436">
        <v>4.2018246772156272E-2</v>
      </c>
      <c r="FD342" s="436">
        <v>4.2153026040161384E-2</v>
      </c>
      <c r="FE342" s="365">
        <v>4.2287805308166497E-2</v>
      </c>
      <c r="FF342" s="364">
        <v>0</v>
      </c>
      <c r="FG342" s="364">
        <v>0</v>
      </c>
      <c r="FH342" s="364">
        <v>0</v>
      </c>
      <c r="FI342" s="365">
        <v>0</v>
      </c>
      <c r="FJ342" s="365">
        <v>0</v>
      </c>
      <c r="FK342" s="365">
        <v>0</v>
      </c>
      <c r="FL342" s="365">
        <v>0</v>
      </c>
      <c r="FM342" s="365">
        <v>0</v>
      </c>
      <c r="FN342" s="365">
        <v>0</v>
      </c>
      <c r="FO342" s="365">
        <v>0</v>
      </c>
      <c r="FP342" s="365">
        <v>0</v>
      </c>
      <c r="FQ342" s="365">
        <v>0</v>
      </c>
      <c r="FR342" s="365">
        <v>0</v>
      </c>
      <c r="FS342" s="365">
        <v>0</v>
      </c>
      <c r="FT342" s="365">
        <v>0</v>
      </c>
      <c r="FU342" s="436">
        <v>0</v>
      </c>
      <c r="FV342" s="436">
        <v>0</v>
      </c>
      <c r="FW342" s="436">
        <v>0</v>
      </c>
      <c r="FX342" s="436">
        <v>0</v>
      </c>
      <c r="FY342" s="365">
        <v>0</v>
      </c>
      <c r="FZ342" s="436">
        <v>0</v>
      </c>
      <c r="GA342" s="436">
        <v>0</v>
      </c>
      <c r="GB342" s="436">
        <v>0</v>
      </c>
      <c r="GC342" s="436">
        <v>0</v>
      </c>
      <c r="GD342" s="365">
        <v>0</v>
      </c>
    </row>
    <row r="343" spans="1:186" ht="15" x14ac:dyDescent="0.25">
      <c r="A343" s="357">
        <v>90</v>
      </c>
      <c r="B343" s="357">
        <v>100</v>
      </c>
      <c r="C343" s="357" t="s">
        <v>1253</v>
      </c>
      <c r="D343" s="2">
        <v>99709</v>
      </c>
      <c r="E343" s="268" t="s">
        <v>19</v>
      </c>
      <c r="F343" s="358" t="s">
        <v>915</v>
      </c>
      <c r="G343" s="49">
        <v>2</v>
      </c>
      <c r="H343" s="49">
        <v>1</v>
      </c>
      <c r="I343" s="49">
        <v>1</v>
      </c>
      <c r="J343" s="49">
        <v>0</v>
      </c>
      <c r="K343" s="49">
        <v>0</v>
      </c>
      <c r="L343" s="49">
        <v>18</v>
      </c>
      <c r="M343" s="49">
        <v>18</v>
      </c>
      <c r="N343" s="49">
        <v>0</v>
      </c>
      <c r="O343" s="49">
        <v>0</v>
      </c>
      <c r="P343" s="49">
        <v>0</v>
      </c>
      <c r="Q343" s="49">
        <v>18</v>
      </c>
      <c r="R343" s="49">
        <v>0</v>
      </c>
      <c r="S343" s="49">
        <v>1213.7222222222222</v>
      </c>
      <c r="T343" s="49">
        <v>1213.7222222222222</v>
      </c>
      <c r="U343" s="49">
        <v>0</v>
      </c>
      <c r="V343" s="49">
        <v>0</v>
      </c>
      <c r="W343" s="49">
        <v>0</v>
      </c>
      <c r="X343" s="49">
        <v>1213.7222222222222</v>
      </c>
      <c r="Y343" s="434">
        <v>21847</v>
      </c>
      <c r="Z343" s="434">
        <v>0</v>
      </c>
      <c r="AA343" s="49">
        <v>0</v>
      </c>
      <c r="AB343" s="49">
        <v>1</v>
      </c>
      <c r="AC343" s="49">
        <v>0</v>
      </c>
      <c r="AD343" s="285">
        <v>0</v>
      </c>
      <c r="AE343" s="285">
        <v>0</v>
      </c>
      <c r="AF343" s="359">
        <v>1</v>
      </c>
      <c r="AG343" s="360">
        <v>0</v>
      </c>
      <c r="AH343" s="360">
        <v>1</v>
      </c>
      <c r="AI343" s="361">
        <v>1</v>
      </c>
      <c r="AJ343" s="360">
        <v>0</v>
      </c>
      <c r="AK343" s="360">
        <v>0</v>
      </c>
      <c r="AL343" s="360">
        <v>0.95215839500773936</v>
      </c>
      <c r="AM343" s="360">
        <v>0.95215839500773936</v>
      </c>
      <c r="AN343" s="360">
        <v>0</v>
      </c>
      <c r="AO343" s="360">
        <v>0</v>
      </c>
      <c r="AP343" s="360">
        <v>0.95395462889797633</v>
      </c>
      <c r="AQ343" s="360">
        <v>0.95395462889797633</v>
      </c>
      <c r="AR343" s="360">
        <v>0</v>
      </c>
      <c r="AS343" s="360">
        <v>0</v>
      </c>
      <c r="AT343" s="360">
        <v>0</v>
      </c>
      <c r="AU343" s="360">
        <v>0.90660560918371424</v>
      </c>
      <c r="AV343" s="360">
        <v>0.92910286930209141</v>
      </c>
      <c r="AW343" s="360">
        <v>0.95215839500773936</v>
      </c>
      <c r="AX343" s="360">
        <v>0.97578603956386833</v>
      </c>
      <c r="AY343" s="360">
        <v>1</v>
      </c>
      <c r="AZ343" s="360">
        <v>0.91002943399587566</v>
      </c>
      <c r="BA343" s="360">
        <v>0.93173321878838855</v>
      </c>
      <c r="BB343" s="360">
        <v>0.95395462889797633</v>
      </c>
      <c r="BC343" s="360">
        <v>0.97670600945114305</v>
      </c>
      <c r="BD343" s="360">
        <v>1</v>
      </c>
      <c r="BE343" s="360">
        <v>0</v>
      </c>
      <c r="BF343" s="360">
        <v>0</v>
      </c>
      <c r="BG343" s="360">
        <v>0</v>
      </c>
      <c r="BH343" s="360">
        <v>0</v>
      </c>
      <c r="BI343" s="360">
        <v>0</v>
      </c>
      <c r="BJ343" s="362">
        <v>1.005122629011173</v>
      </c>
      <c r="BK343" s="362">
        <v>1.0102714993503321</v>
      </c>
      <c r="BL343" s="362">
        <v>1.0154467454420653</v>
      </c>
      <c r="BM343" s="363">
        <v>1.0087706286131499</v>
      </c>
      <c r="BN343" s="363">
        <v>1.0021384043232706</v>
      </c>
      <c r="BO343" s="363">
        <v>0.99893825202696962</v>
      </c>
      <c r="BP343" s="363">
        <v>0.99574831885277337</v>
      </c>
      <c r="BQ343" s="363">
        <v>0.99256857216771699</v>
      </c>
      <c r="BR343" s="363">
        <v>0.98939897944304356</v>
      </c>
      <c r="BS343" s="363">
        <v>0.98623950825387119</v>
      </c>
      <c r="BT343" s="363">
        <v>0.99353469017054841</v>
      </c>
      <c r="BU343" s="363">
        <v>1.0008838343131881</v>
      </c>
      <c r="BV343" s="363">
        <v>1.0082873398386394</v>
      </c>
      <c r="BW343" s="363">
        <v>1.0157456088563031</v>
      </c>
      <c r="BX343" s="363">
        <v>1.0232590464499682</v>
      </c>
      <c r="BY343" s="435">
        <v>1.0273836162928924</v>
      </c>
      <c r="BZ343" s="435">
        <v>1.0315081861358164</v>
      </c>
      <c r="CA343" s="435">
        <v>1.0356327559787406</v>
      </c>
      <c r="CB343" s="435">
        <v>1.0397573258216646</v>
      </c>
      <c r="CC343" s="363">
        <v>1.0438818956645888</v>
      </c>
      <c r="CD343" s="435">
        <v>1.0472628238511039</v>
      </c>
      <c r="CE343" s="435">
        <v>1.0506437520376191</v>
      </c>
      <c r="CF343" s="435">
        <v>1.0540246802241342</v>
      </c>
      <c r="CG343" s="435">
        <v>1.0574056084106493</v>
      </c>
      <c r="CH343" s="363">
        <v>1.0607865365971645</v>
      </c>
      <c r="CI343" s="362">
        <v>1.005122629011173</v>
      </c>
      <c r="CJ343" s="362">
        <v>1.0102714993503321</v>
      </c>
      <c r="CK343" s="362">
        <v>1.0154467454420653</v>
      </c>
      <c r="CL343" s="363">
        <v>1.0087706286131499</v>
      </c>
      <c r="CM343" s="363">
        <v>1.0021384043232706</v>
      </c>
      <c r="CN343" s="363">
        <v>0.99893825202696962</v>
      </c>
      <c r="CO343" s="363">
        <v>0.99574831885277337</v>
      </c>
      <c r="CP343" s="363">
        <v>0.99256857216771699</v>
      </c>
      <c r="CQ343" s="363">
        <v>0.98939897944304356</v>
      </c>
      <c r="CR343" s="363">
        <v>0.98623950825387119</v>
      </c>
      <c r="CS343" s="363">
        <v>0.99353469017054841</v>
      </c>
      <c r="CT343" s="363">
        <v>1.0008838343131881</v>
      </c>
      <c r="CU343" s="363">
        <v>1.0082873398386394</v>
      </c>
      <c r="CV343" s="363">
        <v>1.0157456088563031</v>
      </c>
      <c r="CW343" s="363">
        <v>1.0232590464499682</v>
      </c>
      <c r="CX343" s="435">
        <v>1.0273836162928924</v>
      </c>
      <c r="CY343" s="435">
        <v>1.0315081861358164</v>
      </c>
      <c r="CZ343" s="435">
        <v>1.0356327559787406</v>
      </c>
      <c r="DA343" s="435">
        <v>1.0397573258216646</v>
      </c>
      <c r="DB343" s="363">
        <v>1.0438818956645888</v>
      </c>
      <c r="DC343" s="435">
        <v>1.0472628238511039</v>
      </c>
      <c r="DD343" s="435">
        <v>1.0506437520376191</v>
      </c>
      <c r="DE343" s="435">
        <v>1.0540246802241342</v>
      </c>
      <c r="DF343" s="435">
        <v>1.0574056084106493</v>
      </c>
      <c r="DG343" s="363">
        <v>1.0607865365971645</v>
      </c>
      <c r="DH343" s="362">
        <v>0</v>
      </c>
      <c r="DI343" s="362">
        <v>0</v>
      </c>
      <c r="DJ343" s="362">
        <v>0</v>
      </c>
      <c r="DK343" s="363">
        <v>0</v>
      </c>
      <c r="DL343" s="363">
        <v>0</v>
      </c>
      <c r="DM343" s="363">
        <v>0</v>
      </c>
      <c r="DN343" s="363">
        <v>0</v>
      </c>
      <c r="DO343" s="363">
        <v>0</v>
      </c>
      <c r="DP343" s="363">
        <v>0</v>
      </c>
      <c r="DQ343" s="363">
        <v>0</v>
      </c>
      <c r="DR343" s="363">
        <v>0</v>
      </c>
      <c r="DS343" s="363">
        <v>0</v>
      </c>
      <c r="DT343" s="363">
        <v>0</v>
      </c>
      <c r="DU343" s="363">
        <v>0</v>
      </c>
      <c r="DV343" s="363">
        <v>0</v>
      </c>
      <c r="DW343" s="435">
        <v>0</v>
      </c>
      <c r="DX343" s="435">
        <v>0</v>
      </c>
      <c r="DY343" s="435">
        <v>0</v>
      </c>
      <c r="DZ343" s="435">
        <v>0</v>
      </c>
      <c r="EA343" s="363">
        <v>0</v>
      </c>
      <c r="EB343" s="435">
        <v>0</v>
      </c>
      <c r="EC343" s="435">
        <v>0</v>
      </c>
      <c r="ED343" s="435">
        <v>0</v>
      </c>
      <c r="EE343" s="435">
        <v>0</v>
      </c>
      <c r="EF343" s="363">
        <v>0</v>
      </c>
      <c r="EG343" s="364">
        <v>0</v>
      </c>
      <c r="EH343" s="364">
        <v>0</v>
      </c>
      <c r="EI343" s="364">
        <v>0</v>
      </c>
      <c r="EJ343" s="365">
        <v>0</v>
      </c>
      <c r="EK343" s="365">
        <v>0</v>
      </c>
      <c r="EL343" s="365">
        <v>0</v>
      </c>
      <c r="EM343" s="365">
        <v>0</v>
      </c>
      <c r="EN343" s="365">
        <v>0</v>
      </c>
      <c r="EO343" s="365">
        <v>0</v>
      </c>
      <c r="EP343" s="365">
        <v>0</v>
      </c>
      <c r="EQ343" s="365">
        <v>0</v>
      </c>
      <c r="ER343" s="365">
        <v>0</v>
      </c>
      <c r="ES343" s="365">
        <v>0</v>
      </c>
      <c r="ET343" s="365">
        <v>0</v>
      </c>
      <c r="EU343" s="365">
        <v>0</v>
      </c>
      <c r="EV343" s="436">
        <v>0</v>
      </c>
      <c r="EW343" s="436">
        <v>0</v>
      </c>
      <c r="EX343" s="436">
        <v>0</v>
      </c>
      <c r="EY343" s="436">
        <v>0</v>
      </c>
      <c r="EZ343" s="365">
        <v>0</v>
      </c>
      <c r="FA343" s="436">
        <v>0</v>
      </c>
      <c r="FB343" s="436">
        <v>0</v>
      </c>
      <c r="FC343" s="436">
        <v>0</v>
      </c>
      <c r="FD343" s="436">
        <v>0</v>
      </c>
      <c r="FE343" s="365">
        <v>0</v>
      </c>
      <c r="FF343" s="364">
        <v>0</v>
      </c>
      <c r="FG343" s="364">
        <v>0</v>
      </c>
      <c r="FH343" s="364">
        <v>0</v>
      </c>
      <c r="FI343" s="365">
        <v>0</v>
      </c>
      <c r="FJ343" s="365">
        <v>0</v>
      </c>
      <c r="FK343" s="365">
        <v>0</v>
      </c>
      <c r="FL343" s="365">
        <v>0</v>
      </c>
      <c r="FM343" s="365">
        <v>0</v>
      </c>
      <c r="FN343" s="365">
        <v>0</v>
      </c>
      <c r="FO343" s="365">
        <v>0</v>
      </c>
      <c r="FP343" s="365">
        <v>0</v>
      </c>
      <c r="FQ343" s="365">
        <v>0</v>
      </c>
      <c r="FR343" s="365">
        <v>0</v>
      </c>
      <c r="FS343" s="365">
        <v>0</v>
      </c>
      <c r="FT343" s="365">
        <v>0</v>
      </c>
      <c r="FU343" s="436">
        <v>0</v>
      </c>
      <c r="FV343" s="436">
        <v>0</v>
      </c>
      <c r="FW343" s="436">
        <v>0</v>
      </c>
      <c r="FX343" s="436">
        <v>0</v>
      </c>
      <c r="FY343" s="365">
        <v>0</v>
      </c>
      <c r="FZ343" s="436">
        <v>0</v>
      </c>
      <c r="GA343" s="436">
        <v>0</v>
      </c>
      <c r="GB343" s="436">
        <v>0</v>
      </c>
      <c r="GC343" s="436">
        <v>0</v>
      </c>
      <c r="GD343" s="365">
        <v>0</v>
      </c>
    </row>
    <row r="344" spans="1:186" ht="15" x14ac:dyDescent="0.25">
      <c r="A344" s="357">
        <v>91</v>
      </c>
      <c r="B344" s="357">
        <v>100</v>
      </c>
      <c r="C344" s="357" t="s">
        <v>1254</v>
      </c>
      <c r="D344" s="2">
        <v>99709</v>
      </c>
      <c r="E344" s="268" t="s">
        <v>19</v>
      </c>
      <c r="F344" s="358" t="s">
        <v>915</v>
      </c>
      <c r="G344" s="49">
        <v>43</v>
      </c>
      <c r="H344" s="49">
        <v>35</v>
      </c>
      <c r="I344" s="49">
        <v>21</v>
      </c>
      <c r="J344" s="49">
        <v>14</v>
      </c>
      <c r="K344" s="49">
        <v>0</v>
      </c>
      <c r="L344" s="49">
        <v>4</v>
      </c>
      <c r="M344" s="49">
        <v>4</v>
      </c>
      <c r="N344" s="49">
        <v>0</v>
      </c>
      <c r="O344" s="49">
        <v>0</v>
      </c>
      <c r="P344" s="49">
        <v>0</v>
      </c>
      <c r="Q344" s="49">
        <v>4</v>
      </c>
      <c r="R344" s="49">
        <v>0</v>
      </c>
      <c r="S344" s="49">
        <v>629.25</v>
      </c>
      <c r="T344" s="49">
        <v>629.25</v>
      </c>
      <c r="U344" s="49">
        <v>0</v>
      </c>
      <c r="V344" s="49">
        <v>0</v>
      </c>
      <c r="W344" s="49">
        <v>0</v>
      </c>
      <c r="X344" s="49">
        <v>629.25</v>
      </c>
      <c r="Y344" s="434">
        <v>2517</v>
      </c>
      <c r="Z344" s="434">
        <v>0</v>
      </c>
      <c r="AA344" s="49">
        <v>0</v>
      </c>
      <c r="AB344" s="49">
        <v>35</v>
      </c>
      <c r="AC344" s="49">
        <v>0</v>
      </c>
      <c r="AD344" s="285">
        <v>0</v>
      </c>
      <c r="AE344" s="285">
        <v>0</v>
      </c>
      <c r="AF344" s="359">
        <v>35</v>
      </c>
      <c r="AG344" s="360">
        <v>0</v>
      </c>
      <c r="AH344" s="360">
        <v>21</v>
      </c>
      <c r="AI344" s="361">
        <v>21</v>
      </c>
      <c r="AJ344" s="360">
        <v>0</v>
      </c>
      <c r="AK344" s="360">
        <v>0</v>
      </c>
      <c r="AL344" s="360">
        <v>33.325543825270877</v>
      </c>
      <c r="AM344" s="360">
        <v>33.325543825270877</v>
      </c>
      <c r="AN344" s="360">
        <v>0</v>
      </c>
      <c r="AO344" s="360">
        <v>0</v>
      </c>
      <c r="AP344" s="360">
        <v>20.033047206857503</v>
      </c>
      <c r="AQ344" s="360">
        <v>20.033047206857503</v>
      </c>
      <c r="AR344" s="360">
        <v>0</v>
      </c>
      <c r="AS344" s="360">
        <v>0</v>
      </c>
      <c r="AT344" s="360">
        <v>0</v>
      </c>
      <c r="AU344" s="360">
        <v>31.731196321429998</v>
      </c>
      <c r="AV344" s="360">
        <v>32.518600425573197</v>
      </c>
      <c r="AW344" s="360">
        <v>33.325543825270877</v>
      </c>
      <c r="AX344" s="360">
        <v>34.152511384735391</v>
      </c>
      <c r="AY344" s="360">
        <v>35</v>
      </c>
      <c r="AZ344" s="360">
        <v>19.110618113913389</v>
      </c>
      <c r="BA344" s="360">
        <v>19.566397594556161</v>
      </c>
      <c r="BB344" s="360">
        <v>20.033047206857503</v>
      </c>
      <c r="BC344" s="360">
        <v>20.510826198474003</v>
      </c>
      <c r="BD344" s="360">
        <v>21</v>
      </c>
      <c r="BE344" s="360">
        <v>0</v>
      </c>
      <c r="BF344" s="360">
        <v>0</v>
      </c>
      <c r="BG344" s="360">
        <v>0</v>
      </c>
      <c r="BH344" s="360">
        <v>0</v>
      </c>
      <c r="BI344" s="360">
        <v>0</v>
      </c>
      <c r="BJ344" s="362">
        <v>35.179292015391056</v>
      </c>
      <c r="BK344" s="362">
        <v>35.359502477261621</v>
      </c>
      <c r="BL344" s="362">
        <v>35.540636090472283</v>
      </c>
      <c r="BM344" s="363">
        <v>35.306972001460252</v>
      </c>
      <c r="BN344" s="363">
        <v>35.074844151314473</v>
      </c>
      <c r="BO344" s="363">
        <v>34.962838820943936</v>
      </c>
      <c r="BP344" s="363">
        <v>34.851191159847069</v>
      </c>
      <c r="BQ344" s="363">
        <v>34.739900025870092</v>
      </c>
      <c r="BR344" s="363">
        <v>34.628964280506523</v>
      </c>
      <c r="BS344" s="363">
        <v>34.518382788885489</v>
      </c>
      <c r="BT344" s="363">
        <v>34.773714155969195</v>
      </c>
      <c r="BU344" s="363">
        <v>35.030934200961575</v>
      </c>
      <c r="BV344" s="363">
        <v>35.290056894352382</v>
      </c>
      <c r="BW344" s="363">
        <v>35.55109630997061</v>
      </c>
      <c r="BX344" s="363">
        <v>35.814066625748893</v>
      </c>
      <c r="BY344" s="435">
        <v>35.958426570251234</v>
      </c>
      <c r="BZ344" s="435">
        <v>36.102786514753582</v>
      </c>
      <c r="CA344" s="435">
        <v>36.247146459255923</v>
      </c>
      <c r="CB344" s="435">
        <v>36.391506403758271</v>
      </c>
      <c r="CC344" s="363">
        <v>36.535866348260612</v>
      </c>
      <c r="CD344" s="435">
        <v>36.654198834788637</v>
      </c>
      <c r="CE344" s="435">
        <v>36.77253132131667</v>
      </c>
      <c r="CF344" s="435">
        <v>36.890863807844696</v>
      </c>
      <c r="CG344" s="435">
        <v>37.009196294372728</v>
      </c>
      <c r="CH344" s="363">
        <v>37.127528780900754</v>
      </c>
      <c r="CI344" s="362">
        <v>21.107575209234632</v>
      </c>
      <c r="CJ344" s="362">
        <v>21.215701486356974</v>
      </c>
      <c r="CK344" s="362">
        <v>21.324381654283371</v>
      </c>
      <c r="CL344" s="363">
        <v>21.184183200876152</v>
      </c>
      <c r="CM344" s="363">
        <v>21.044906490788687</v>
      </c>
      <c r="CN344" s="363">
        <v>20.977703292566364</v>
      </c>
      <c r="CO344" s="363">
        <v>20.91071469590824</v>
      </c>
      <c r="CP344" s="363">
        <v>20.843940015522058</v>
      </c>
      <c r="CQ344" s="363">
        <v>20.777378568303916</v>
      </c>
      <c r="CR344" s="363">
        <v>20.711029673331296</v>
      </c>
      <c r="CS344" s="363">
        <v>20.864228493581518</v>
      </c>
      <c r="CT344" s="363">
        <v>21.018560520576948</v>
      </c>
      <c r="CU344" s="363">
        <v>21.174034136611429</v>
      </c>
      <c r="CV344" s="363">
        <v>21.330657785982368</v>
      </c>
      <c r="CW344" s="363">
        <v>21.488439975449335</v>
      </c>
      <c r="CX344" s="435">
        <v>21.57505594215074</v>
      </c>
      <c r="CY344" s="435">
        <v>21.661671908852146</v>
      </c>
      <c r="CZ344" s="435">
        <v>21.748287875553554</v>
      </c>
      <c r="DA344" s="435">
        <v>21.83490384225496</v>
      </c>
      <c r="DB344" s="363">
        <v>21.921519808956365</v>
      </c>
      <c r="DC344" s="435">
        <v>21.992519300873184</v>
      </c>
      <c r="DD344" s="435">
        <v>22.063518792790003</v>
      </c>
      <c r="DE344" s="435">
        <v>22.134518284706818</v>
      </c>
      <c r="DF344" s="435">
        <v>22.205517776623637</v>
      </c>
      <c r="DG344" s="363">
        <v>22.276517268540456</v>
      </c>
      <c r="DH344" s="362">
        <v>0</v>
      </c>
      <c r="DI344" s="362">
        <v>0</v>
      </c>
      <c r="DJ344" s="362">
        <v>0</v>
      </c>
      <c r="DK344" s="363">
        <v>0</v>
      </c>
      <c r="DL344" s="363">
        <v>0</v>
      </c>
      <c r="DM344" s="363">
        <v>0</v>
      </c>
      <c r="DN344" s="363">
        <v>0</v>
      </c>
      <c r="DO344" s="363">
        <v>0</v>
      </c>
      <c r="DP344" s="363">
        <v>0</v>
      </c>
      <c r="DQ344" s="363">
        <v>0</v>
      </c>
      <c r="DR344" s="363">
        <v>0</v>
      </c>
      <c r="DS344" s="363">
        <v>0</v>
      </c>
      <c r="DT344" s="363">
        <v>0</v>
      </c>
      <c r="DU344" s="363">
        <v>0</v>
      </c>
      <c r="DV344" s="363">
        <v>0</v>
      </c>
      <c r="DW344" s="435">
        <v>0</v>
      </c>
      <c r="DX344" s="435">
        <v>0</v>
      </c>
      <c r="DY344" s="435">
        <v>0</v>
      </c>
      <c r="DZ344" s="435">
        <v>0</v>
      </c>
      <c r="EA344" s="363">
        <v>0</v>
      </c>
      <c r="EB344" s="435">
        <v>0</v>
      </c>
      <c r="EC344" s="435">
        <v>0</v>
      </c>
      <c r="ED344" s="435">
        <v>0</v>
      </c>
      <c r="EE344" s="435">
        <v>0</v>
      </c>
      <c r="EF344" s="363">
        <v>0</v>
      </c>
      <c r="EG344" s="364">
        <v>0</v>
      </c>
      <c r="EH344" s="364">
        <v>0</v>
      </c>
      <c r="EI344" s="364">
        <v>0</v>
      </c>
      <c r="EJ344" s="365">
        <v>0</v>
      </c>
      <c r="EK344" s="365">
        <v>0</v>
      </c>
      <c r="EL344" s="365">
        <v>0</v>
      </c>
      <c r="EM344" s="365">
        <v>0</v>
      </c>
      <c r="EN344" s="365">
        <v>0</v>
      </c>
      <c r="EO344" s="365">
        <v>0</v>
      </c>
      <c r="EP344" s="365">
        <v>0</v>
      </c>
      <c r="EQ344" s="365">
        <v>0</v>
      </c>
      <c r="ER344" s="365">
        <v>0</v>
      </c>
      <c r="ES344" s="365">
        <v>0</v>
      </c>
      <c r="ET344" s="365">
        <v>0</v>
      </c>
      <c r="EU344" s="365">
        <v>0</v>
      </c>
      <c r="EV344" s="436">
        <v>0</v>
      </c>
      <c r="EW344" s="436">
        <v>0</v>
      </c>
      <c r="EX344" s="436">
        <v>0</v>
      </c>
      <c r="EY344" s="436">
        <v>0</v>
      </c>
      <c r="EZ344" s="365">
        <v>0</v>
      </c>
      <c r="FA344" s="436">
        <v>0</v>
      </c>
      <c r="FB344" s="436">
        <v>0</v>
      </c>
      <c r="FC344" s="436">
        <v>0</v>
      </c>
      <c r="FD344" s="436">
        <v>0</v>
      </c>
      <c r="FE344" s="365">
        <v>0</v>
      </c>
      <c r="FF344" s="364">
        <v>0</v>
      </c>
      <c r="FG344" s="364">
        <v>0</v>
      </c>
      <c r="FH344" s="364">
        <v>0</v>
      </c>
      <c r="FI344" s="365">
        <v>0</v>
      </c>
      <c r="FJ344" s="365">
        <v>0</v>
      </c>
      <c r="FK344" s="365">
        <v>0</v>
      </c>
      <c r="FL344" s="365">
        <v>0</v>
      </c>
      <c r="FM344" s="365">
        <v>0</v>
      </c>
      <c r="FN344" s="365">
        <v>0</v>
      </c>
      <c r="FO344" s="365">
        <v>0</v>
      </c>
      <c r="FP344" s="365">
        <v>0</v>
      </c>
      <c r="FQ344" s="365">
        <v>0</v>
      </c>
      <c r="FR344" s="365">
        <v>0</v>
      </c>
      <c r="FS344" s="365">
        <v>0</v>
      </c>
      <c r="FT344" s="365">
        <v>0</v>
      </c>
      <c r="FU344" s="436">
        <v>0</v>
      </c>
      <c r="FV344" s="436">
        <v>0</v>
      </c>
      <c r="FW344" s="436">
        <v>0</v>
      </c>
      <c r="FX344" s="436">
        <v>0</v>
      </c>
      <c r="FY344" s="365">
        <v>0</v>
      </c>
      <c r="FZ344" s="436">
        <v>0</v>
      </c>
      <c r="GA344" s="436">
        <v>0</v>
      </c>
      <c r="GB344" s="436">
        <v>0</v>
      </c>
      <c r="GC344" s="436">
        <v>0</v>
      </c>
      <c r="GD344" s="365">
        <v>0</v>
      </c>
    </row>
    <row r="345" spans="1:186" ht="15" x14ac:dyDescent="0.25">
      <c r="A345" s="357">
        <v>93</v>
      </c>
      <c r="B345" s="357">
        <v>100</v>
      </c>
      <c r="C345" s="357" t="s">
        <v>1255</v>
      </c>
      <c r="D345" s="2">
        <v>99709</v>
      </c>
      <c r="E345" s="268" t="s">
        <v>19</v>
      </c>
      <c r="F345" s="358" t="s">
        <v>915</v>
      </c>
      <c r="G345" s="49">
        <v>5</v>
      </c>
      <c r="H345" s="49">
        <v>7</v>
      </c>
      <c r="I345" s="49">
        <v>4</v>
      </c>
      <c r="J345" s="49">
        <v>3</v>
      </c>
      <c r="K345" s="49">
        <v>0</v>
      </c>
      <c r="L345" s="49">
        <v>11</v>
      </c>
      <c r="M345" s="49">
        <v>11</v>
      </c>
      <c r="N345" s="49">
        <v>0</v>
      </c>
      <c r="O345" s="49">
        <v>0</v>
      </c>
      <c r="P345" s="49">
        <v>0</v>
      </c>
      <c r="Q345" s="49">
        <v>11</v>
      </c>
      <c r="R345" s="49">
        <v>0</v>
      </c>
      <c r="S345" s="49">
        <v>2034.1818181818182</v>
      </c>
      <c r="T345" s="49">
        <v>2034.1818181818182</v>
      </c>
      <c r="U345" s="49">
        <v>0</v>
      </c>
      <c r="V345" s="49">
        <v>0</v>
      </c>
      <c r="W345" s="49">
        <v>0</v>
      </c>
      <c r="X345" s="49">
        <v>2034.1818181818182</v>
      </c>
      <c r="Y345" s="434">
        <v>22376</v>
      </c>
      <c r="Z345" s="434">
        <v>0</v>
      </c>
      <c r="AA345" s="49">
        <v>0</v>
      </c>
      <c r="AB345" s="49">
        <v>7</v>
      </c>
      <c r="AC345" s="49">
        <v>0</v>
      </c>
      <c r="AD345" s="285">
        <v>0</v>
      </c>
      <c r="AE345" s="285">
        <v>0</v>
      </c>
      <c r="AF345" s="359">
        <v>7</v>
      </c>
      <c r="AG345" s="360">
        <v>0</v>
      </c>
      <c r="AH345" s="360">
        <v>4</v>
      </c>
      <c r="AI345" s="361">
        <v>4</v>
      </c>
      <c r="AJ345" s="360">
        <v>0</v>
      </c>
      <c r="AK345" s="360">
        <v>0</v>
      </c>
      <c r="AL345" s="360">
        <v>6.6651087650541756</v>
      </c>
      <c r="AM345" s="360">
        <v>6.6651087650541756</v>
      </c>
      <c r="AN345" s="360">
        <v>0</v>
      </c>
      <c r="AO345" s="360">
        <v>0</v>
      </c>
      <c r="AP345" s="360">
        <v>3.8158185155919053</v>
      </c>
      <c r="AQ345" s="360">
        <v>3.8158185155919053</v>
      </c>
      <c r="AR345" s="360">
        <v>0</v>
      </c>
      <c r="AS345" s="360">
        <v>0</v>
      </c>
      <c r="AT345" s="360">
        <v>0</v>
      </c>
      <c r="AU345" s="360">
        <v>6.346239264285999</v>
      </c>
      <c r="AV345" s="360">
        <v>6.5037200851146393</v>
      </c>
      <c r="AW345" s="360">
        <v>6.6651087650541756</v>
      </c>
      <c r="AX345" s="360">
        <v>6.8305022769470787</v>
      </c>
      <c r="AY345" s="360">
        <v>7</v>
      </c>
      <c r="AZ345" s="360">
        <v>3.6401177359835026</v>
      </c>
      <c r="BA345" s="360">
        <v>3.7269328751535542</v>
      </c>
      <c r="BB345" s="360">
        <v>3.8158185155919053</v>
      </c>
      <c r="BC345" s="360">
        <v>3.9068240378045722</v>
      </c>
      <c r="BD345" s="360">
        <v>4</v>
      </c>
      <c r="BE345" s="360">
        <v>0</v>
      </c>
      <c r="BF345" s="360">
        <v>0</v>
      </c>
      <c r="BG345" s="360">
        <v>0</v>
      </c>
      <c r="BH345" s="360">
        <v>0</v>
      </c>
      <c r="BI345" s="360">
        <v>0</v>
      </c>
      <c r="BJ345" s="362">
        <v>7.035858403078211</v>
      </c>
      <c r="BK345" s="362">
        <v>7.0719004954523248</v>
      </c>
      <c r="BL345" s="362">
        <v>7.1081272180944568</v>
      </c>
      <c r="BM345" s="363">
        <v>7.0613944002920501</v>
      </c>
      <c r="BN345" s="363">
        <v>7.0149688302628945</v>
      </c>
      <c r="BO345" s="363">
        <v>6.992567764188788</v>
      </c>
      <c r="BP345" s="363">
        <v>6.9702382319694136</v>
      </c>
      <c r="BQ345" s="363">
        <v>6.9479800051740188</v>
      </c>
      <c r="BR345" s="363">
        <v>6.9257928561013049</v>
      </c>
      <c r="BS345" s="363">
        <v>6.9036765577770982</v>
      </c>
      <c r="BT345" s="363">
        <v>6.9547428311938386</v>
      </c>
      <c r="BU345" s="363">
        <v>7.0061868401923153</v>
      </c>
      <c r="BV345" s="363">
        <v>7.0580113788704759</v>
      </c>
      <c r="BW345" s="363">
        <v>7.1102192619941214</v>
      </c>
      <c r="BX345" s="363">
        <v>7.1628133251497781</v>
      </c>
      <c r="BY345" s="435">
        <v>7.1916853140502468</v>
      </c>
      <c r="BZ345" s="435">
        <v>7.2205573029507155</v>
      </c>
      <c r="CA345" s="435">
        <v>7.2494292918511842</v>
      </c>
      <c r="CB345" s="435">
        <v>7.2783012807516529</v>
      </c>
      <c r="CC345" s="363">
        <v>7.3071732696521217</v>
      </c>
      <c r="CD345" s="435">
        <v>7.3308397669577277</v>
      </c>
      <c r="CE345" s="435">
        <v>7.3545062642633336</v>
      </c>
      <c r="CF345" s="435">
        <v>7.3781727615689388</v>
      </c>
      <c r="CG345" s="435">
        <v>7.4018392588745447</v>
      </c>
      <c r="CH345" s="363">
        <v>7.4255057561801507</v>
      </c>
      <c r="CI345" s="362">
        <v>4.020490516044692</v>
      </c>
      <c r="CJ345" s="362">
        <v>4.0410859974013285</v>
      </c>
      <c r="CK345" s="362">
        <v>4.061786981768261</v>
      </c>
      <c r="CL345" s="363">
        <v>4.0350825144525997</v>
      </c>
      <c r="CM345" s="363">
        <v>4.0085536172930825</v>
      </c>
      <c r="CN345" s="363">
        <v>3.9957530081078785</v>
      </c>
      <c r="CO345" s="363">
        <v>3.9829932754110935</v>
      </c>
      <c r="CP345" s="363">
        <v>3.970274288670868</v>
      </c>
      <c r="CQ345" s="363">
        <v>3.9575959177721742</v>
      </c>
      <c r="CR345" s="363">
        <v>3.9449580330154848</v>
      </c>
      <c r="CS345" s="363">
        <v>3.9741387606821936</v>
      </c>
      <c r="CT345" s="363">
        <v>4.0035353372527522</v>
      </c>
      <c r="CU345" s="363">
        <v>4.0331493593545575</v>
      </c>
      <c r="CV345" s="363">
        <v>4.0629824354252122</v>
      </c>
      <c r="CW345" s="363">
        <v>4.0930361857998729</v>
      </c>
      <c r="CX345" s="435">
        <v>4.1095344651715697</v>
      </c>
      <c r="CY345" s="435">
        <v>4.1260327445432656</v>
      </c>
      <c r="CZ345" s="435">
        <v>4.1425310239149624</v>
      </c>
      <c r="DA345" s="435">
        <v>4.1590293032866583</v>
      </c>
      <c r="DB345" s="363">
        <v>4.1755275826583551</v>
      </c>
      <c r="DC345" s="435">
        <v>4.1890512954044157</v>
      </c>
      <c r="DD345" s="435">
        <v>4.2025750081504762</v>
      </c>
      <c r="DE345" s="435">
        <v>4.2160987208965368</v>
      </c>
      <c r="DF345" s="435">
        <v>4.2296224336425974</v>
      </c>
      <c r="DG345" s="363">
        <v>4.2431461463886579</v>
      </c>
      <c r="DH345" s="362">
        <v>0</v>
      </c>
      <c r="DI345" s="362">
        <v>0</v>
      </c>
      <c r="DJ345" s="362">
        <v>0</v>
      </c>
      <c r="DK345" s="363">
        <v>0</v>
      </c>
      <c r="DL345" s="363">
        <v>0</v>
      </c>
      <c r="DM345" s="363">
        <v>0</v>
      </c>
      <c r="DN345" s="363">
        <v>0</v>
      </c>
      <c r="DO345" s="363">
        <v>0</v>
      </c>
      <c r="DP345" s="363">
        <v>0</v>
      </c>
      <c r="DQ345" s="363">
        <v>0</v>
      </c>
      <c r="DR345" s="363">
        <v>0</v>
      </c>
      <c r="DS345" s="363">
        <v>0</v>
      </c>
      <c r="DT345" s="363">
        <v>0</v>
      </c>
      <c r="DU345" s="363">
        <v>0</v>
      </c>
      <c r="DV345" s="363">
        <v>0</v>
      </c>
      <c r="DW345" s="435">
        <v>0</v>
      </c>
      <c r="DX345" s="435">
        <v>0</v>
      </c>
      <c r="DY345" s="435">
        <v>0</v>
      </c>
      <c r="DZ345" s="435">
        <v>0</v>
      </c>
      <c r="EA345" s="363">
        <v>0</v>
      </c>
      <c r="EB345" s="435">
        <v>0</v>
      </c>
      <c r="EC345" s="435">
        <v>0</v>
      </c>
      <c r="ED345" s="435">
        <v>0</v>
      </c>
      <c r="EE345" s="435">
        <v>0</v>
      </c>
      <c r="EF345" s="363">
        <v>0</v>
      </c>
      <c r="EG345" s="364">
        <v>0</v>
      </c>
      <c r="EH345" s="364">
        <v>0</v>
      </c>
      <c r="EI345" s="364">
        <v>0</v>
      </c>
      <c r="EJ345" s="365">
        <v>0</v>
      </c>
      <c r="EK345" s="365">
        <v>0</v>
      </c>
      <c r="EL345" s="365">
        <v>0</v>
      </c>
      <c r="EM345" s="365">
        <v>0</v>
      </c>
      <c r="EN345" s="365">
        <v>0</v>
      </c>
      <c r="EO345" s="365">
        <v>0</v>
      </c>
      <c r="EP345" s="365">
        <v>0</v>
      </c>
      <c r="EQ345" s="365">
        <v>0</v>
      </c>
      <c r="ER345" s="365">
        <v>0</v>
      </c>
      <c r="ES345" s="365">
        <v>0</v>
      </c>
      <c r="ET345" s="365">
        <v>0</v>
      </c>
      <c r="EU345" s="365">
        <v>0</v>
      </c>
      <c r="EV345" s="436">
        <v>0</v>
      </c>
      <c r="EW345" s="436">
        <v>0</v>
      </c>
      <c r="EX345" s="436">
        <v>0</v>
      </c>
      <c r="EY345" s="436">
        <v>0</v>
      </c>
      <c r="EZ345" s="365">
        <v>0</v>
      </c>
      <c r="FA345" s="436">
        <v>0</v>
      </c>
      <c r="FB345" s="436">
        <v>0</v>
      </c>
      <c r="FC345" s="436">
        <v>0</v>
      </c>
      <c r="FD345" s="436">
        <v>0</v>
      </c>
      <c r="FE345" s="365">
        <v>0</v>
      </c>
      <c r="FF345" s="364">
        <v>0</v>
      </c>
      <c r="FG345" s="364">
        <v>0</v>
      </c>
      <c r="FH345" s="364">
        <v>0</v>
      </c>
      <c r="FI345" s="365">
        <v>0</v>
      </c>
      <c r="FJ345" s="365">
        <v>0</v>
      </c>
      <c r="FK345" s="365">
        <v>0</v>
      </c>
      <c r="FL345" s="365">
        <v>0</v>
      </c>
      <c r="FM345" s="365">
        <v>0</v>
      </c>
      <c r="FN345" s="365">
        <v>0</v>
      </c>
      <c r="FO345" s="365">
        <v>0</v>
      </c>
      <c r="FP345" s="365">
        <v>0</v>
      </c>
      <c r="FQ345" s="365">
        <v>0</v>
      </c>
      <c r="FR345" s="365">
        <v>0</v>
      </c>
      <c r="FS345" s="365">
        <v>0</v>
      </c>
      <c r="FT345" s="365">
        <v>0</v>
      </c>
      <c r="FU345" s="436">
        <v>0</v>
      </c>
      <c r="FV345" s="436">
        <v>0</v>
      </c>
      <c r="FW345" s="436">
        <v>0</v>
      </c>
      <c r="FX345" s="436">
        <v>0</v>
      </c>
      <c r="FY345" s="365">
        <v>0</v>
      </c>
      <c r="FZ345" s="436">
        <v>0</v>
      </c>
      <c r="GA345" s="436">
        <v>0</v>
      </c>
      <c r="GB345" s="436">
        <v>0</v>
      </c>
      <c r="GC345" s="436">
        <v>0</v>
      </c>
      <c r="GD345" s="365">
        <v>0</v>
      </c>
    </row>
    <row r="346" spans="1:186" ht="15" x14ac:dyDescent="0.25">
      <c r="A346" s="357">
        <v>94</v>
      </c>
      <c r="B346" s="357">
        <v>100</v>
      </c>
      <c r="C346" s="357" t="s">
        <v>1256</v>
      </c>
      <c r="D346" s="2">
        <v>99709</v>
      </c>
      <c r="E346" s="268" t="s">
        <v>19</v>
      </c>
      <c r="F346" s="358" t="s">
        <v>915</v>
      </c>
      <c r="G346" s="49">
        <v>61</v>
      </c>
      <c r="H346" s="49">
        <v>28</v>
      </c>
      <c r="I346" s="49">
        <v>25</v>
      </c>
      <c r="J346" s="49">
        <v>3</v>
      </c>
      <c r="K346" s="49">
        <v>0</v>
      </c>
      <c r="L346" s="49">
        <v>28</v>
      </c>
      <c r="M346" s="49">
        <v>28</v>
      </c>
      <c r="N346" s="49">
        <v>0</v>
      </c>
      <c r="O346" s="49">
        <v>0</v>
      </c>
      <c r="P346" s="49">
        <v>0</v>
      </c>
      <c r="Q346" s="49">
        <v>28</v>
      </c>
      <c r="R346" s="49">
        <v>0</v>
      </c>
      <c r="S346" s="49">
        <v>1820.8928571428571</v>
      </c>
      <c r="T346" s="49">
        <v>1820.8928571428571</v>
      </c>
      <c r="U346" s="49">
        <v>0</v>
      </c>
      <c r="V346" s="49">
        <v>0</v>
      </c>
      <c r="W346" s="49">
        <v>0</v>
      </c>
      <c r="X346" s="49">
        <v>1820.8928571428571</v>
      </c>
      <c r="Y346" s="434">
        <v>50985</v>
      </c>
      <c r="Z346" s="434">
        <v>0</v>
      </c>
      <c r="AA346" s="49">
        <v>0</v>
      </c>
      <c r="AB346" s="49">
        <v>28</v>
      </c>
      <c r="AC346" s="49">
        <v>0</v>
      </c>
      <c r="AD346" s="285">
        <v>0</v>
      </c>
      <c r="AE346" s="285">
        <v>0</v>
      </c>
      <c r="AF346" s="359">
        <v>28</v>
      </c>
      <c r="AG346" s="360">
        <v>0</v>
      </c>
      <c r="AH346" s="360">
        <v>25</v>
      </c>
      <c r="AI346" s="361">
        <v>25</v>
      </c>
      <c r="AJ346" s="360">
        <v>0</v>
      </c>
      <c r="AK346" s="360">
        <v>0</v>
      </c>
      <c r="AL346" s="360">
        <v>26.660435060216702</v>
      </c>
      <c r="AM346" s="360">
        <v>26.660435060216702</v>
      </c>
      <c r="AN346" s="360">
        <v>0</v>
      </c>
      <c r="AO346" s="360">
        <v>0</v>
      </c>
      <c r="AP346" s="360">
        <v>23.848865722449407</v>
      </c>
      <c r="AQ346" s="360">
        <v>23.848865722449407</v>
      </c>
      <c r="AR346" s="360">
        <v>0</v>
      </c>
      <c r="AS346" s="360">
        <v>0</v>
      </c>
      <c r="AT346" s="360">
        <v>0</v>
      </c>
      <c r="AU346" s="360">
        <v>25.384957057143996</v>
      </c>
      <c r="AV346" s="360">
        <v>26.014880340458557</v>
      </c>
      <c r="AW346" s="360">
        <v>26.660435060216702</v>
      </c>
      <c r="AX346" s="360">
        <v>27.322009107788315</v>
      </c>
      <c r="AY346" s="360">
        <v>28</v>
      </c>
      <c r="AZ346" s="360">
        <v>22.750735849896891</v>
      </c>
      <c r="BA346" s="360">
        <v>23.293330469709716</v>
      </c>
      <c r="BB346" s="360">
        <v>23.848865722449407</v>
      </c>
      <c r="BC346" s="360">
        <v>24.417650236278575</v>
      </c>
      <c r="BD346" s="360">
        <v>25</v>
      </c>
      <c r="BE346" s="360">
        <v>0</v>
      </c>
      <c r="BF346" s="360">
        <v>0</v>
      </c>
      <c r="BG346" s="360">
        <v>0</v>
      </c>
      <c r="BH346" s="360">
        <v>0</v>
      </c>
      <c r="BI346" s="360">
        <v>0</v>
      </c>
      <c r="BJ346" s="362">
        <v>28.143433612312844</v>
      </c>
      <c r="BK346" s="362">
        <v>28.287601981809299</v>
      </c>
      <c r="BL346" s="362">
        <v>28.432508872377827</v>
      </c>
      <c r="BM346" s="363">
        <v>28.2455776011682</v>
      </c>
      <c r="BN346" s="363">
        <v>28.059875321051578</v>
      </c>
      <c r="BO346" s="363">
        <v>27.970271056755152</v>
      </c>
      <c r="BP346" s="363">
        <v>27.880952927877654</v>
      </c>
      <c r="BQ346" s="363">
        <v>27.791920020696075</v>
      </c>
      <c r="BR346" s="363">
        <v>27.70317142440522</v>
      </c>
      <c r="BS346" s="363">
        <v>27.614706231108393</v>
      </c>
      <c r="BT346" s="363">
        <v>27.818971324775355</v>
      </c>
      <c r="BU346" s="363">
        <v>28.024747360769261</v>
      </c>
      <c r="BV346" s="363">
        <v>28.232045515481904</v>
      </c>
      <c r="BW346" s="363">
        <v>28.440877047976485</v>
      </c>
      <c r="BX346" s="363">
        <v>28.651253300599112</v>
      </c>
      <c r="BY346" s="435">
        <v>28.766741256200987</v>
      </c>
      <c r="BZ346" s="435">
        <v>28.882229211802862</v>
      </c>
      <c r="CA346" s="435">
        <v>28.997717167404737</v>
      </c>
      <c r="CB346" s="435">
        <v>29.113205123006612</v>
      </c>
      <c r="CC346" s="363">
        <v>29.228693078608487</v>
      </c>
      <c r="CD346" s="435">
        <v>29.323359067830911</v>
      </c>
      <c r="CE346" s="435">
        <v>29.418025057053335</v>
      </c>
      <c r="CF346" s="435">
        <v>29.512691046275755</v>
      </c>
      <c r="CG346" s="435">
        <v>29.607357035498179</v>
      </c>
      <c r="CH346" s="363">
        <v>29.702023024720603</v>
      </c>
      <c r="CI346" s="362">
        <v>25.128065725279324</v>
      </c>
      <c r="CJ346" s="362">
        <v>25.256787483758302</v>
      </c>
      <c r="CK346" s="362">
        <v>25.386168636051632</v>
      </c>
      <c r="CL346" s="363">
        <v>25.219265715328749</v>
      </c>
      <c r="CM346" s="363">
        <v>25.053460108081769</v>
      </c>
      <c r="CN346" s="363">
        <v>24.973456300674243</v>
      </c>
      <c r="CO346" s="363">
        <v>24.893707971319333</v>
      </c>
      <c r="CP346" s="363">
        <v>24.814214304192923</v>
      </c>
      <c r="CQ346" s="363">
        <v>24.734974486076091</v>
      </c>
      <c r="CR346" s="363">
        <v>24.655987706346782</v>
      </c>
      <c r="CS346" s="363">
        <v>24.838367254263712</v>
      </c>
      <c r="CT346" s="363">
        <v>25.022095857829701</v>
      </c>
      <c r="CU346" s="363">
        <v>25.207183495965985</v>
      </c>
      <c r="CV346" s="363">
        <v>25.39364022140758</v>
      </c>
      <c r="CW346" s="363">
        <v>25.58147616124921</v>
      </c>
      <c r="CX346" s="435">
        <v>25.684590407322311</v>
      </c>
      <c r="CY346" s="435">
        <v>25.787704653395416</v>
      </c>
      <c r="CZ346" s="435">
        <v>25.890818899468517</v>
      </c>
      <c r="DA346" s="435">
        <v>25.993933145541622</v>
      </c>
      <c r="DB346" s="363">
        <v>26.097047391614723</v>
      </c>
      <c r="DC346" s="435">
        <v>26.181570596277602</v>
      </c>
      <c r="DD346" s="435">
        <v>26.266093800940478</v>
      </c>
      <c r="DE346" s="435">
        <v>26.350617005603358</v>
      </c>
      <c r="DF346" s="435">
        <v>26.435140210266233</v>
      </c>
      <c r="DG346" s="363">
        <v>26.519663414929113</v>
      </c>
      <c r="DH346" s="362">
        <v>0</v>
      </c>
      <c r="DI346" s="362">
        <v>0</v>
      </c>
      <c r="DJ346" s="362">
        <v>0</v>
      </c>
      <c r="DK346" s="363">
        <v>0</v>
      </c>
      <c r="DL346" s="363">
        <v>0</v>
      </c>
      <c r="DM346" s="363">
        <v>0</v>
      </c>
      <c r="DN346" s="363">
        <v>0</v>
      </c>
      <c r="DO346" s="363">
        <v>0</v>
      </c>
      <c r="DP346" s="363">
        <v>0</v>
      </c>
      <c r="DQ346" s="363">
        <v>0</v>
      </c>
      <c r="DR346" s="363">
        <v>0</v>
      </c>
      <c r="DS346" s="363">
        <v>0</v>
      </c>
      <c r="DT346" s="363">
        <v>0</v>
      </c>
      <c r="DU346" s="363">
        <v>0</v>
      </c>
      <c r="DV346" s="363">
        <v>0</v>
      </c>
      <c r="DW346" s="435">
        <v>0</v>
      </c>
      <c r="DX346" s="435">
        <v>0</v>
      </c>
      <c r="DY346" s="435">
        <v>0</v>
      </c>
      <c r="DZ346" s="435">
        <v>0</v>
      </c>
      <c r="EA346" s="363">
        <v>0</v>
      </c>
      <c r="EB346" s="435">
        <v>0</v>
      </c>
      <c r="EC346" s="435">
        <v>0</v>
      </c>
      <c r="ED346" s="435">
        <v>0</v>
      </c>
      <c r="EE346" s="435">
        <v>0</v>
      </c>
      <c r="EF346" s="363">
        <v>0</v>
      </c>
      <c r="EG346" s="364">
        <v>0</v>
      </c>
      <c r="EH346" s="364">
        <v>0</v>
      </c>
      <c r="EI346" s="364">
        <v>0</v>
      </c>
      <c r="EJ346" s="365">
        <v>0</v>
      </c>
      <c r="EK346" s="365">
        <v>0</v>
      </c>
      <c r="EL346" s="365">
        <v>0</v>
      </c>
      <c r="EM346" s="365">
        <v>0</v>
      </c>
      <c r="EN346" s="365">
        <v>0</v>
      </c>
      <c r="EO346" s="365">
        <v>0</v>
      </c>
      <c r="EP346" s="365">
        <v>0</v>
      </c>
      <c r="EQ346" s="365">
        <v>0</v>
      </c>
      <c r="ER346" s="365">
        <v>0</v>
      </c>
      <c r="ES346" s="365">
        <v>0</v>
      </c>
      <c r="ET346" s="365">
        <v>0</v>
      </c>
      <c r="EU346" s="365">
        <v>0</v>
      </c>
      <c r="EV346" s="436">
        <v>0</v>
      </c>
      <c r="EW346" s="436">
        <v>0</v>
      </c>
      <c r="EX346" s="436">
        <v>0</v>
      </c>
      <c r="EY346" s="436">
        <v>0</v>
      </c>
      <c r="EZ346" s="365">
        <v>0</v>
      </c>
      <c r="FA346" s="436">
        <v>0</v>
      </c>
      <c r="FB346" s="436">
        <v>0</v>
      </c>
      <c r="FC346" s="436">
        <v>0</v>
      </c>
      <c r="FD346" s="436">
        <v>0</v>
      </c>
      <c r="FE346" s="365">
        <v>0</v>
      </c>
      <c r="FF346" s="364">
        <v>0</v>
      </c>
      <c r="FG346" s="364">
        <v>0</v>
      </c>
      <c r="FH346" s="364">
        <v>0</v>
      </c>
      <c r="FI346" s="365">
        <v>0</v>
      </c>
      <c r="FJ346" s="365">
        <v>0</v>
      </c>
      <c r="FK346" s="365">
        <v>0</v>
      </c>
      <c r="FL346" s="365">
        <v>0</v>
      </c>
      <c r="FM346" s="365">
        <v>0</v>
      </c>
      <c r="FN346" s="365">
        <v>0</v>
      </c>
      <c r="FO346" s="365">
        <v>0</v>
      </c>
      <c r="FP346" s="365">
        <v>0</v>
      </c>
      <c r="FQ346" s="365">
        <v>0</v>
      </c>
      <c r="FR346" s="365">
        <v>0</v>
      </c>
      <c r="FS346" s="365">
        <v>0</v>
      </c>
      <c r="FT346" s="365">
        <v>0</v>
      </c>
      <c r="FU346" s="436">
        <v>0</v>
      </c>
      <c r="FV346" s="436">
        <v>0</v>
      </c>
      <c r="FW346" s="436">
        <v>0</v>
      </c>
      <c r="FX346" s="436">
        <v>0</v>
      </c>
      <c r="FY346" s="365">
        <v>0</v>
      </c>
      <c r="FZ346" s="436">
        <v>0</v>
      </c>
      <c r="GA346" s="436">
        <v>0</v>
      </c>
      <c r="GB346" s="436">
        <v>0</v>
      </c>
      <c r="GC346" s="436">
        <v>0</v>
      </c>
      <c r="GD346" s="365">
        <v>0</v>
      </c>
    </row>
    <row r="347" spans="1:186" ht="15" x14ac:dyDescent="0.25">
      <c r="A347" s="357">
        <v>101</v>
      </c>
      <c r="B347" s="357">
        <v>100</v>
      </c>
      <c r="C347" s="357" t="s">
        <v>1257</v>
      </c>
      <c r="D347" s="2">
        <v>99709</v>
      </c>
      <c r="E347" s="268" t="s">
        <v>1527</v>
      </c>
      <c r="F347" s="358" t="s">
        <v>985</v>
      </c>
      <c r="G347" s="49">
        <v>7</v>
      </c>
      <c r="H347" s="49">
        <v>8</v>
      </c>
      <c r="I347" s="49">
        <v>6</v>
      </c>
      <c r="J347" s="49">
        <v>2</v>
      </c>
      <c r="K347" s="49">
        <v>0</v>
      </c>
      <c r="L347" s="49">
        <v>14</v>
      </c>
      <c r="M347" s="49">
        <v>14</v>
      </c>
      <c r="N347" s="49">
        <v>0</v>
      </c>
      <c r="O347" s="49">
        <v>0</v>
      </c>
      <c r="P347" s="49">
        <v>0</v>
      </c>
      <c r="Q347" s="49">
        <v>14</v>
      </c>
      <c r="R347" s="49">
        <v>0</v>
      </c>
      <c r="S347" s="49">
        <v>1230.2857142857142</v>
      </c>
      <c r="T347" s="49">
        <v>1230.2857142857142</v>
      </c>
      <c r="U347" s="49">
        <v>0</v>
      </c>
      <c r="V347" s="49">
        <v>0</v>
      </c>
      <c r="W347" s="49">
        <v>0</v>
      </c>
      <c r="X347" s="49">
        <v>1230.2857142857142</v>
      </c>
      <c r="Y347" s="434">
        <v>17224</v>
      </c>
      <c r="Z347" s="434">
        <v>0</v>
      </c>
      <c r="AA347" s="49">
        <v>0</v>
      </c>
      <c r="AB347" s="49">
        <v>8</v>
      </c>
      <c r="AC347" s="49">
        <v>0</v>
      </c>
      <c r="AD347" s="285">
        <v>0</v>
      </c>
      <c r="AE347" s="285">
        <v>0</v>
      </c>
      <c r="AF347" s="359">
        <v>8</v>
      </c>
      <c r="AG347" s="360">
        <v>0</v>
      </c>
      <c r="AH347" s="360">
        <v>6</v>
      </c>
      <c r="AI347" s="361">
        <v>6</v>
      </c>
      <c r="AJ347" s="360">
        <v>0</v>
      </c>
      <c r="AK347" s="360">
        <v>0</v>
      </c>
      <c r="AL347" s="360">
        <v>7.6172671600619148</v>
      </c>
      <c r="AM347" s="360">
        <v>7.6172671600619148</v>
      </c>
      <c r="AN347" s="360">
        <v>0</v>
      </c>
      <c r="AO347" s="360">
        <v>0</v>
      </c>
      <c r="AP347" s="360">
        <v>5.723727773387858</v>
      </c>
      <c r="AQ347" s="360">
        <v>5.723727773387858</v>
      </c>
      <c r="AR347" s="360">
        <v>0</v>
      </c>
      <c r="AS347" s="360">
        <v>0</v>
      </c>
      <c r="AT347" s="360">
        <v>0</v>
      </c>
      <c r="AU347" s="360">
        <v>7.252844873469714</v>
      </c>
      <c r="AV347" s="360">
        <v>7.4328229544167312</v>
      </c>
      <c r="AW347" s="360">
        <v>7.6172671600619148</v>
      </c>
      <c r="AX347" s="360">
        <v>7.8062883165109467</v>
      </c>
      <c r="AY347" s="360">
        <v>8</v>
      </c>
      <c r="AZ347" s="360">
        <v>5.4601766039752535</v>
      </c>
      <c r="BA347" s="360">
        <v>5.5903993127303311</v>
      </c>
      <c r="BB347" s="360">
        <v>5.723727773387858</v>
      </c>
      <c r="BC347" s="360">
        <v>5.8602360567068583</v>
      </c>
      <c r="BD347" s="360">
        <v>6</v>
      </c>
      <c r="BE347" s="360">
        <v>0</v>
      </c>
      <c r="BF347" s="360">
        <v>0</v>
      </c>
      <c r="BG347" s="360">
        <v>0</v>
      </c>
      <c r="BH347" s="360">
        <v>0</v>
      </c>
      <c r="BI347" s="360">
        <v>0</v>
      </c>
      <c r="BJ347" s="362">
        <v>8.040981032089384</v>
      </c>
      <c r="BK347" s="362">
        <v>8.0821719948026569</v>
      </c>
      <c r="BL347" s="362">
        <v>8.1235739635365221</v>
      </c>
      <c r="BM347" s="363">
        <v>8.0701650289051994</v>
      </c>
      <c r="BN347" s="363">
        <v>8.0171072345861649</v>
      </c>
      <c r="BO347" s="363">
        <v>7.991506016215757</v>
      </c>
      <c r="BP347" s="363">
        <v>7.965986550822187</v>
      </c>
      <c r="BQ347" s="363">
        <v>7.9405485773417359</v>
      </c>
      <c r="BR347" s="363">
        <v>7.9151918355443485</v>
      </c>
      <c r="BS347" s="363">
        <v>7.8899160660309695</v>
      </c>
      <c r="BT347" s="363">
        <v>7.9482775213643873</v>
      </c>
      <c r="BU347" s="363">
        <v>8.0070706745055045</v>
      </c>
      <c r="BV347" s="363">
        <v>8.0662987187091151</v>
      </c>
      <c r="BW347" s="363">
        <v>8.1259648708504244</v>
      </c>
      <c r="BX347" s="363">
        <v>8.1860723715997459</v>
      </c>
      <c r="BY347" s="435">
        <v>8.2190689303431395</v>
      </c>
      <c r="BZ347" s="435">
        <v>8.2520654890865313</v>
      </c>
      <c r="CA347" s="435">
        <v>8.2850620478299248</v>
      </c>
      <c r="CB347" s="435">
        <v>8.3180586065733166</v>
      </c>
      <c r="CC347" s="363">
        <v>8.3510551653167102</v>
      </c>
      <c r="CD347" s="435">
        <v>8.3781025908088314</v>
      </c>
      <c r="CE347" s="435">
        <v>8.4051500163009525</v>
      </c>
      <c r="CF347" s="435">
        <v>8.4321974417930736</v>
      </c>
      <c r="CG347" s="435">
        <v>8.4592448672851948</v>
      </c>
      <c r="CH347" s="363">
        <v>8.4862922927773159</v>
      </c>
      <c r="CI347" s="362">
        <v>6.030735774067038</v>
      </c>
      <c r="CJ347" s="362">
        <v>6.0616289961019927</v>
      </c>
      <c r="CK347" s="362">
        <v>6.0926804726523915</v>
      </c>
      <c r="CL347" s="363">
        <v>6.0526237716789</v>
      </c>
      <c r="CM347" s="363">
        <v>6.0128304259396241</v>
      </c>
      <c r="CN347" s="363">
        <v>5.9936295121618182</v>
      </c>
      <c r="CO347" s="363">
        <v>5.9744899131166402</v>
      </c>
      <c r="CP347" s="363">
        <v>5.9554114330063017</v>
      </c>
      <c r="CQ347" s="363">
        <v>5.9363938766582613</v>
      </c>
      <c r="CR347" s="363">
        <v>5.9174370495232269</v>
      </c>
      <c r="CS347" s="363">
        <v>5.9612081410232909</v>
      </c>
      <c r="CT347" s="363">
        <v>6.0053030058791279</v>
      </c>
      <c r="CU347" s="363">
        <v>6.0497240390318368</v>
      </c>
      <c r="CV347" s="363">
        <v>6.0944736531378183</v>
      </c>
      <c r="CW347" s="363">
        <v>6.1395542786998103</v>
      </c>
      <c r="CX347" s="435">
        <v>6.164301697757355</v>
      </c>
      <c r="CY347" s="435">
        <v>6.1890491168148998</v>
      </c>
      <c r="CZ347" s="435">
        <v>6.2137965358724436</v>
      </c>
      <c r="DA347" s="435">
        <v>6.2385439549299884</v>
      </c>
      <c r="DB347" s="363">
        <v>6.2632913739875331</v>
      </c>
      <c r="DC347" s="435">
        <v>6.283576943106624</v>
      </c>
      <c r="DD347" s="435">
        <v>6.3038625122257148</v>
      </c>
      <c r="DE347" s="435">
        <v>6.3241480813448048</v>
      </c>
      <c r="DF347" s="435">
        <v>6.3444336504638956</v>
      </c>
      <c r="DG347" s="363">
        <v>6.3647192195829865</v>
      </c>
      <c r="DH347" s="362">
        <v>0</v>
      </c>
      <c r="DI347" s="362">
        <v>0</v>
      </c>
      <c r="DJ347" s="362">
        <v>0</v>
      </c>
      <c r="DK347" s="363">
        <v>0</v>
      </c>
      <c r="DL347" s="363">
        <v>0</v>
      </c>
      <c r="DM347" s="363">
        <v>0</v>
      </c>
      <c r="DN347" s="363">
        <v>0</v>
      </c>
      <c r="DO347" s="363">
        <v>0</v>
      </c>
      <c r="DP347" s="363">
        <v>0</v>
      </c>
      <c r="DQ347" s="363">
        <v>0</v>
      </c>
      <c r="DR347" s="363">
        <v>0</v>
      </c>
      <c r="DS347" s="363">
        <v>0</v>
      </c>
      <c r="DT347" s="363">
        <v>0</v>
      </c>
      <c r="DU347" s="363">
        <v>0</v>
      </c>
      <c r="DV347" s="363">
        <v>0</v>
      </c>
      <c r="DW347" s="435">
        <v>0</v>
      </c>
      <c r="DX347" s="435">
        <v>0</v>
      </c>
      <c r="DY347" s="435">
        <v>0</v>
      </c>
      <c r="DZ347" s="435">
        <v>0</v>
      </c>
      <c r="EA347" s="363">
        <v>0</v>
      </c>
      <c r="EB347" s="435">
        <v>0</v>
      </c>
      <c r="EC347" s="435">
        <v>0</v>
      </c>
      <c r="ED347" s="435">
        <v>0</v>
      </c>
      <c r="EE347" s="435">
        <v>0</v>
      </c>
      <c r="EF347" s="363">
        <v>0</v>
      </c>
      <c r="EG347" s="364">
        <v>0</v>
      </c>
      <c r="EH347" s="364">
        <v>0</v>
      </c>
      <c r="EI347" s="364">
        <v>0</v>
      </c>
      <c r="EJ347" s="365">
        <v>0</v>
      </c>
      <c r="EK347" s="365">
        <v>0</v>
      </c>
      <c r="EL347" s="365">
        <v>0</v>
      </c>
      <c r="EM347" s="365">
        <v>0</v>
      </c>
      <c r="EN347" s="365">
        <v>0</v>
      </c>
      <c r="EO347" s="365">
        <v>0</v>
      </c>
      <c r="EP347" s="365">
        <v>0</v>
      </c>
      <c r="EQ347" s="365">
        <v>0</v>
      </c>
      <c r="ER347" s="365">
        <v>0</v>
      </c>
      <c r="ES347" s="365">
        <v>0</v>
      </c>
      <c r="ET347" s="365">
        <v>0</v>
      </c>
      <c r="EU347" s="365">
        <v>0</v>
      </c>
      <c r="EV347" s="436">
        <v>0</v>
      </c>
      <c r="EW347" s="436">
        <v>0</v>
      </c>
      <c r="EX347" s="436">
        <v>0</v>
      </c>
      <c r="EY347" s="436">
        <v>0</v>
      </c>
      <c r="EZ347" s="365">
        <v>0</v>
      </c>
      <c r="FA347" s="436">
        <v>0</v>
      </c>
      <c r="FB347" s="436">
        <v>0</v>
      </c>
      <c r="FC347" s="436">
        <v>0</v>
      </c>
      <c r="FD347" s="436">
        <v>0</v>
      </c>
      <c r="FE347" s="365">
        <v>0</v>
      </c>
      <c r="FF347" s="364">
        <v>0</v>
      </c>
      <c r="FG347" s="364">
        <v>0</v>
      </c>
      <c r="FH347" s="364">
        <v>0</v>
      </c>
      <c r="FI347" s="365">
        <v>0</v>
      </c>
      <c r="FJ347" s="365">
        <v>0</v>
      </c>
      <c r="FK347" s="365">
        <v>0</v>
      </c>
      <c r="FL347" s="365">
        <v>0</v>
      </c>
      <c r="FM347" s="365">
        <v>0</v>
      </c>
      <c r="FN347" s="365">
        <v>0</v>
      </c>
      <c r="FO347" s="365">
        <v>0</v>
      </c>
      <c r="FP347" s="365">
        <v>0</v>
      </c>
      <c r="FQ347" s="365">
        <v>0</v>
      </c>
      <c r="FR347" s="365">
        <v>0</v>
      </c>
      <c r="FS347" s="365">
        <v>0</v>
      </c>
      <c r="FT347" s="365">
        <v>0</v>
      </c>
      <c r="FU347" s="436">
        <v>0</v>
      </c>
      <c r="FV347" s="436">
        <v>0</v>
      </c>
      <c r="FW347" s="436">
        <v>0</v>
      </c>
      <c r="FX347" s="436">
        <v>0</v>
      </c>
      <c r="FY347" s="365">
        <v>0</v>
      </c>
      <c r="FZ347" s="436">
        <v>0</v>
      </c>
      <c r="GA347" s="436">
        <v>0</v>
      </c>
      <c r="GB347" s="436">
        <v>0</v>
      </c>
      <c r="GC347" s="436">
        <v>0</v>
      </c>
      <c r="GD347" s="365">
        <v>0</v>
      </c>
    </row>
    <row r="348" spans="1:186" ht="15" x14ac:dyDescent="0.25">
      <c r="A348" s="357">
        <v>102</v>
      </c>
      <c r="B348" s="357">
        <v>100</v>
      </c>
      <c r="C348" s="357" t="s">
        <v>1258</v>
      </c>
      <c r="D348" s="2">
        <v>99709</v>
      </c>
      <c r="E348" s="268" t="s">
        <v>1527</v>
      </c>
      <c r="F348" s="358" t="s">
        <v>985</v>
      </c>
      <c r="G348" s="49">
        <v>277</v>
      </c>
      <c r="H348" s="49">
        <v>123</v>
      </c>
      <c r="I348" s="49">
        <v>112</v>
      </c>
      <c r="J348" s="49">
        <v>11</v>
      </c>
      <c r="K348" s="49">
        <v>0</v>
      </c>
      <c r="L348" s="49">
        <v>87</v>
      </c>
      <c r="M348" s="49">
        <v>87</v>
      </c>
      <c r="N348" s="49">
        <v>0</v>
      </c>
      <c r="O348" s="49">
        <v>0</v>
      </c>
      <c r="P348" s="49">
        <v>0</v>
      </c>
      <c r="Q348" s="49">
        <v>87</v>
      </c>
      <c r="R348" s="49">
        <v>0</v>
      </c>
      <c r="S348" s="49">
        <v>1911.6206896551723</v>
      </c>
      <c r="T348" s="49">
        <v>1911.6206896551723</v>
      </c>
      <c r="U348" s="49">
        <v>0</v>
      </c>
      <c r="V348" s="49">
        <v>0</v>
      </c>
      <c r="W348" s="49">
        <v>0</v>
      </c>
      <c r="X348" s="49">
        <v>1911.6206896551723</v>
      </c>
      <c r="Y348" s="434">
        <v>166311</v>
      </c>
      <c r="Z348" s="434">
        <v>0</v>
      </c>
      <c r="AA348" s="49">
        <v>0</v>
      </c>
      <c r="AB348" s="49">
        <v>123</v>
      </c>
      <c r="AC348" s="49">
        <v>0</v>
      </c>
      <c r="AD348" s="285">
        <v>0</v>
      </c>
      <c r="AE348" s="285">
        <v>0</v>
      </c>
      <c r="AF348" s="359">
        <v>123</v>
      </c>
      <c r="AG348" s="360">
        <v>0</v>
      </c>
      <c r="AH348" s="360">
        <v>112</v>
      </c>
      <c r="AI348" s="361">
        <v>112</v>
      </c>
      <c r="AJ348" s="360">
        <v>0</v>
      </c>
      <c r="AK348" s="360">
        <v>0</v>
      </c>
      <c r="AL348" s="360">
        <v>117.11548258595194</v>
      </c>
      <c r="AM348" s="360">
        <v>117.11548258595194</v>
      </c>
      <c r="AN348" s="360">
        <v>0</v>
      </c>
      <c r="AO348" s="360">
        <v>0</v>
      </c>
      <c r="AP348" s="360">
        <v>106.84291843657334</v>
      </c>
      <c r="AQ348" s="360">
        <v>106.84291843657334</v>
      </c>
      <c r="AR348" s="360">
        <v>0</v>
      </c>
      <c r="AS348" s="360">
        <v>0</v>
      </c>
      <c r="AT348" s="360">
        <v>0</v>
      </c>
      <c r="AU348" s="360">
        <v>111.51248992959684</v>
      </c>
      <c r="AV348" s="360">
        <v>114.27965292415723</v>
      </c>
      <c r="AW348" s="360">
        <v>117.11548258595194</v>
      </c>
      <c r="AX348" s="360">
        <v>120.02168286635582</v>
      </c>
      <c r="AY348" s="360">
        <v>123</v>
      </c>
      <c r="AZ348" s="360">
        <v>101.92329660753808</v>
      </c>
      <c r="BA348" s="360">
        <v>104.35412050429952</v>
      </c>
      <c r="BB348" s="360">
        <v>106.84291843657334</v>
      </c>
      <c r="BC348" s="360">
        <v>109.39107305852802</v>
      </c>
      <c r="BD348" s="360">
        <v>112</v>
      </c>
      <c r="BE348" s="360">
        <v>0</v>
      </c>
      <c r="BF348" s="360">
        <v>0</v>
      </c>
      <c r="BG348" s="360">
        <v>0</v>
      </c>
      <c r="BH348" s="360">
        <v>0</v>
      </c>
      <c r="BI348" s="360">
        <v>0</v>
      </c>
      <c r="BJ348" s="362">
        <v>123.63008336837427</v>
      </c>
      <c r="BK348" s="362">
        <v>124.26339442009085</v>
      </c>
      <c r="BL348" s="362">
        <v>124.89994968937403</v>
      </c>
      <c r="BM348" s="363">
        <v>124.07878731941744</v>
      </c>
      <c r="BN348" s="363">
        <v>123.26302373176229</v>
      </c>
      <c r="BO348" s="363">
        <v>122.86940499931727</v>
      </c>
      <c r="BP348" s="363">
        <v>122.47704321889111</v>
      </c>
      <c r="BQ348" s="363">
        <v>122.08593437662918</v>
      </c>
      <c r="BR348" s="363">
        <v>121.69607447149436</v>
      </c>
      <c r="BS348" s="363">
        <v>121.30745951522616</v>
      </c>
      <c r="BT348" s="363">
        <v>122.20476689097745</v>
      </c>
      <c r="BU348" s="363">
        <v>123.10871162052212</v>
      </c>
      <c r="BV348" s="363">
        <v>124.01934280015266</v>
      </c>
      <c r="BW348" s="363">
        <v>124.93670988932529</v>
      </c>
      <c r="BX348" s="363">
        <v>125.86086271334611</v>
      </c>
      <c r="BY348" s="435">
        <v>126.36818480402577</v>
      </c>
      <c r="BZ348" s="435">
        <v>126.87550689470544</v>
      </c>
      <c r="CA348" s="435">
        <v>127.38282898538509</v>
      </c>
      <c r="CB348" s="435">
        <v>127.89015107606475</v>
      </c>
      <c r="CC348" s="363">
        <v>128.39747316674442</v>
      </c>
      <c r="CD348" s="435">
        <v>128.81332733368578</v>
      </c>
      <c r="CE348" s="435">
        <v>129.22918150062713</v>
      </c>
      <c r="CF348" s="435">
        <v>129.64503566756852</v>
      </c>
      <c r="CG348" s="435">
        <v>130.06088983450988</v>
      </c>
      <c r="CH348" s="363">
        <v>130.47674400145124</v>
      </c>
      <c r="CI348" s="362">
        <v>112.57373444925138</v>
      </c>
      <c r="CJ348" s="362">
        <v>113.1504079272372</v>
      </c>
      <c r="CK348" s="362">
        <v>113.73003548951131</v>
      </c>
      <c r="CL348" s="363">
        <v>112.9823104046728</v>
      </c>
      <c r="CM348" s="363">
        <v>112.23950128420631</v>
      </c>
      <c r="CN348" s="363">
        <v>111.88108422702061</v>
      </c>
      <c r="CO348" s="363">
        <v>111.52381171151062</v>
      </c>
      <c r="CP348" s="363">
        <v>111.1676800827843</v>
      </c>
      <c r="CQ348" s="363">
        <v>110.81268569762088</v>
      </c>
      <c r="CR348" s="363">
        <v>110.45882492443357</v>
      </c>
      <c r="CS348" s="363">
        <v>111.27588529910142</v>
      </c>
      <c r="CT348" s="363">
        <v>112.09898944307704</v>
      </c>
      <c r="CU348" s="363">
        <v>112.92818206192761</v>
      </c>
      <c r="CV348" s="363">
        <v>113.76350819190594</v>
      </c>
      <c r="CW348" s="363">
        <v>114.60501320239645</v>
      </c>
      <c r="CX348" s="435">
        <v>115.06696502480395</v>
      </c>
      <c r="CY348" s="435">
        <v>115.52891684721145</v>
      </c>
      <c r="CZ348" s="435">
        <v>115.99086866961895</v>
      </c>
      <c r="DA348" s="435">
        <v>116.45282049202645</v>
      </c>
      <c r="DB348" s="363">
        <v>116.91477231443395</v>
      </c>
      <c r="DC348" s="435">
        <v>117.29343627132364</v>
      </c>
      <c r="DD348" s="435">
        <v>117.67210022821334</v>
      </c>
      <c r="DE348" s="435">
        <v>118.05076418510302</v>
      </c>
      <c r="DF348" s="435">
        <v>118.42942814199272</v>
      </c>
      <c r="DG348" s="363">
        <v>118.80809209888241</v>
      </c>
      <c r="DH348" s="362">
        <v>0</v>
      </c>
      <c r="DI348" s="362">
        <v>0</v>
      </c>
      <c r="DJ348" s="362">
        <v>0</v>
      </c>
      <c r="DK348" s="363">
        <v>0</v>
      </c>
      <c r="DL348" s="363">
        <v>0</v>
      </c>
      <c r="DM348" s="363">
        <v>0</v>
      </c>
      <c r="DN348" s="363">
        <v>0</v>
      </c>
      <c r="DO348" s="363">
        <v>0</v>
      </c>
      <c r="DP348" s="363">
        <v>0</v>
      </c>
      <c r="DQ348" s="363">
        <v>0</v>
      </c>
      <c r="DR348" s="363">
        <v>0</v>
      </c>
      <c r="DS348" s="363">
        <v>0</v>
      </c>
      <c r="DT348" s="363">
        <v>0</v>
      </c>
      <c r="DU348" s="363">
        <v>0</v>
      </c>
      <c r="DV348" s="363">
        <v>0</v>
      </c>
      <c r="DW348" s="435">
        <v>0</v>
      </c>
      <c r="DX348" s="435">
        <v>0</v>
      </c>
      <c r="DY348" s="435">
        <v>0</v>
      </c>
      <c r="DZ348" s="435">
        <v>0</v>
      </c>
      <c r="EA348" s="363">
        <v>0</v>
      </c>
      <c r="EB348" s="435">
        <v>0</v>
      </c>
      <c r="EC348" s="435">
        <v>0</v>
      </c>
      <c r="ED348" s="435">
        <v>0</v>
      </c>
      <c r="EE348" s="435">
        <v>0</v>
      </c>
      <c r="EF348" s="363">
        <v>0</v>
      </c>
      <c r="EG348" s="364">
        <v>0</v>
      </c>
      <c r="EH348" s="364">
        <v>0</v>
      </c>
      <c r="EI348" s="364">
        <v>0</v>
      </c>
      <c r="EJ348" s="365">
        <v>0</v>
      </c>
      <c r="EK348" s="365">
        <v>0</v>
      </c>
      <c r="EL348" s="365">
        <v>0</v>
      </c>
      <c r="EM348" s="365">
        <v>0</v>
      </c>
      <c r="EN348" s="365">
        <v>0</v>
      </c>
      <c r="EO348" s="365">
        <v>0</v>
      </c>
      <c r="EP348" s="365">
        <v>0</v>
      </c>
      <c r="EQ348" s="365">
        <v>0</v>
      </c>
      <c r="ER348" s="365">
        <v>0</v>
      </c>
      <c r="ES348" s="365">
        <v>0</v>
      </c>
      <c r="ET348" s="365">
        <v>0</v>
      </c>
      <c r="EU348" s="365">
        <v>0</v>
      </c>
      <c r="EV348" s="436">
        <v>0</v>
      </c>
      <c r="EW348" s="436">
        <v>0</v>
      </c>
      <c r="EX348" s="436">
        <v>0</v>
      </c>
      <c r="EY348" s="436">
        <v>0</v>
      </c>
      <c r="EZ348" s="365">
        <v>0</v>
      </c>
      <c r="FA348" s="436">
        <v>0</v>
      </c>
      <c r="FB348" s="436">
        <v>0</v>
      </c>
      <c r="FC348" s="436">
        <v>0</v>
      </c>
      <c r="FD348" s="436">
        <v>0</v>
      </c>
      <c r="FE348" s="365">
        <v>0</v>
      </c>
      <c r="FF348" s="364">
        <v>0</v>
      </c>
      <c r="FG348" s="364">
        <v>0</v>
      </c>
      <c r="FH348" s="364">
        <v>0</v>
      </c>
      <c r="FI348" s="365">
        <v>0</v>
      </c>
      <c r="FJ348" s="365">
        <v>0</v>
      </c>
      <c r="FK348" s="365">
        <v>0</v>
      </c>
      <c r="FL348" s="365">
        <v>0</v>
      </c>
      <c r="FM348" s="365">
        <v>0</v>
      </c>
      <c r="FN348" s="365">
        <v>0</v>
      </c>
      <c r="FO348" s="365">
        <v>0</v>
      </c>
      <c r="FP348" s="365">
        <v>0</v>
      </c>
      <c r="FQ348" s="365">
        <v>0</v>
      </c>
      <c r="FR348" s="365">
        <v>0</v>
      </c>
      <c r="FS348" s="365">
        <v>0</v>
      </c>
      <c r="FT348" s="365">
        <v>0</v>
      </c>
      <c r="FU348" s="436">
        <v>0</v>
      </c>
      <c r="FV348" s="436">
        <v>0</v>
      </c>
      <c r="FW348" s="436">
        <v>0</v>
      </c>
      <c r="FX348" s="436">
        <v>0</v>
      </c>
      <c r="FY348" s="365">
        <v>0</v>
      </c>
      <c r="FZ348" s="436">
        <v>0</v>
      </c>
      <c r="GA348" s="436">
        <v>0</v>
      </c>
      <c r="GB348" s="436">
        <v>0</v>
      </c>
      <c r="GC348" s="436">
        <v>0</v>
      </c>
      <c r="GD348" s="365">
        <v>0</v>
      </c>
    </row>
    <row r="349" spans="1:186" ht="15" x14ac:dyDescent="0.25">
      <c r="A349" s="357">
        <v>103</v>
      </c>
      <c r="B349" s="357">
        <v>100</v>
      </c>
      <c r="C349" s="357" t="s">
        <v>1259</v>
      </c>
      <c r="D349" s="2">
        <v>99709</v>
      </c>
      <c r="E349" s="268" t="s">
        <v>1527</v>
      </c>
      <c r="F349" s="358" t="s">
        <v>985</v>
      </c>
      <c r="G349" s="49">
        <v>64</v>
      </c>
      <c r="H349" s="49">
        <v>53</v>
      </c>
      <c r="I349" s="49">
        <v>40</v>
      </c>
      <c r="J349" s="49">
        <v>13</v>
      </c>
      <c r="K349" s="49">
        <v>1</v>
      </c>
      <c r="L349" s="49">
        <v>45</v>
      </c>
      <c r="M349" s="49">
        <v>46</v>
      </c>
      <c r="N349" s="49">
        <v>4</v>
      </c>
      <c r="O349" s="49">
        <v>0</v>
      </c>
      <c r="P349" s="49">
        <v>0</v>
      </c>
      <c r="Q349" s="49">
        <v>50</v>
      </c>
      <c r="R349" s="49">
        <v>6656</v>
      </c>
      <c r="S349" s="49">
        <v>1555.2222222222222</v>
      </c>
      <c r="T349" s="49">
        <v>1666.108695652174</v>
      </c>
      <c r="U349" s="49">
        <v>3280</v>
      </c>
      <c r="V349" s="49">
        <v>0</v>
      </c>
      <c r="W349" s="49">
        <v>0</v>
      </c>
      <c r="X349" s="49">
        <v>1795.22</v>
      </c>
      <c r="Y349" s="434">
        <v>76641</v>
      </c>
      <c r="Z349" s="434">
        <v>13120</v>
      </c>
      <c r="AA349" s="49">
        <v>1.1521739130434783</v>
      </c>
      <c r="AB349" s="49">
        <v>51.847826086956523</v>
      </c>
      <c r="AC349" s="49">
        <v>0</v>
      </c>
      <c r="AD349" s="285">
        <v>4</v>
      </c>
      <c r="AE349" s="285">
        <v>0</v>
      </c>
      <c r="AF349" s="359">
        <v>57</v>
      </c>
      <c r="AG349" s="360">
        <v>0.86956521739130443</v>
      </c>
      <c r="AH349" s="360">
        <v>39.130434782608695</v>
      </c>
      <c r="AI349" s="361">
        <v>40</v>
      </c>
      <c r="AJ349" s="360">
        <v>0</v>
      </c>
      <c r="AK349" s="360">
        <v>1.0970520638132648</v>
      </c>
      <c r="AL349" s="360">
        <v>49.367342871596925</v>
      </c>
      <c r="AM349" s="360">
        <v>50.464394935410191</v>
      </c>
      <c r="AN349" s="360">
        <v>0</v>
      </c>
      <c r="AO349" s="360">
        <v>0.82952576425910995</v>
      </c>
      <c r="AP349" s="360">
        <v>37.32865939165994</v>
      </c>
      <c r="AQ349" s="360">
        <v>38.15818515591905</v>
      </c>
      <c r="AR349" s="360">
        <v>0</v>
      </c>
      <c r="AS349" s="360">
        <v>3.8386629540049633</v>
      </c>
      <c r="AT349" s="360">
        <v>0</v>
      </c>
      <c r="AU349" s="360">
        <v>48.05009728673685</v>
      </c>
      <c r="AV349" s="360">
        <v>49.242452073010838</v>
      </c>
      <c r="AW349" s="360">
        <v>50.464394935410184</v>
      </c>
      <c r="AX349" s="360">
        <v>51.716660096885022</v>
      </c>
      <c r="AY349" s="360">
        <v>53</v>
      </c>
      <c r="AZ349" s="360">
        <v>36.401177359835025</v>
      </c>
      <c r="BA349" s="360">
        <v>37.269328751535539</v>
      </c>
      <c r="BB349" s="360">
        <v>38.15818515591905</v>
      </c>
      <c r="BC349" s="360">
        <v>39.068240378045722</v>
      </c>
      <c r="BD349" s="360">
        <v>40</v>
      </c>
      <c r="BE349" s="360">
        <v>3.6838333186125283</v>
      </c>
      <c r="BF349" s="360">
        <v>3.7604513677066849</v>
      </c>
      <c r="BG349" s="360">
        <v>3.8386629540049633</v>
      </c>
      <c r="BH349" s="360">
        <v>3.9185012206224785</v>
      </c>
      <c r="BI349" s="360">
        <v>4</v>
      </c>
      <c r="BJ349" s="362">
        <v>53.271499337592168</v>
      </c>
      <c r="BK349" s="362">
        <v>53.544389465567605</v>
      </c>
      <c r="BL349" s="362">
        <v>53.81867750842946</v>
      </c>
      <c r="BM349" s="363">
        <v>53.464843316496953</v>
      </c>
      <c r="BN349" s="363">
        <v>53.11333542913335</v>
      </c>
      <c r="BO349" s="363">
        <v>52.943727357429395</v>
      </c>
      <c r="BP349" s="363">
        <v>52.774660899196988</v>
      </c>
      <c r="BQ349" s="363">
        <v>52.606134324888998</v>
      </c>
      <c r="BR349" s="363">
        <v>52.43814591048131</v>
      </c>
      <c r="BS349" s="363">
        <v>52.270693937455171</v>
      </c>
      <c r="BT349" s="363">
        <v>52.65733857903907</v>
      </c>
      <c r="BU349" s="363">
        <v>53.046843218598966</v>
      </c>
      <c r="BV349" s="363">
        <v>53.439229011447893</v>
      </c>
      <c r="BW349" s="363">
        <v>53.834517269384065</v>
      </c>
      <c r="BX349" s="363">
        <v>54.232729461848322</v>
      </c>
      <c r="BY349" s="435">
        <v>54.451331663523298</v>
      </c>
      <c r="BZ349" s="435">
        <v>54.669933865198274</v>
      </c>
      <c r="CA349" s="435">
        <v>54.888536066873257</v>
      </c>
      <c r="CB349" s="435">
        <v>55.107138268548233</v>
      </c>
      <c r="CC349" s="363">
        <v>55.325740470223209</v>
      </c>
      <c r="CD349" s="435">
        <v>55.504929664108509</v>
      </c>
      <c r="CE349" s="435">
        <v>55.684118857993809</v>
      </c>
      <c r="CF349" s="435">
        <v>55.863308051879116</v>
      </c>
      <c r="CG349" s="435">
        <v>56.042497245764416</v>
      </c>
      <c r="CH349" s="363">
        <v>56.221686439649716</v>
      </c>
      <c r="CI349" s="362">
        <v>40.20490516044692</v>
      </c>
      <c r="CJ349" s="362">
        <v>40.410859974013285</v>
      </c>
      <c r="CK349" s="362">
        <v>40.61786981768261</v>
      </c>
      <c r="CL349" s="363">
        <v>40.350825144525999</v>
      </c>
      <c r="CM349" s="363">
        <v>40.08553617293083</v>
      </c>
      <c r="CN349" s="363">
        <v>39.957530081078787</v>
      </c>
      <c r="CO349" s="363">
        <v>39.829932754110935</v>
      </c>
      <c r="CP349" s="363">
        <v>39.702742886708677</v>
      </c>
      <c r="CQ349" s="363">
        <v>39.575959177721742</v>
      </c>
      <c r="CR349" s="363">
        <v>39.449580330154845</v>
      </c>
      <c r="CS349" s="363">
        <v>39.741387606821938</v>
      </c>
      <c r="CT349" s="363">
        <v>40.035353372527517</v>
      </c>
      <c r="CU349" s="363">
        <v>40.331493593545581</v>
      </c>
      <c r="CV349" s="363">
        <v>40.629824354252122</v>
      </c>
      <c r="CW349" s="363">
        <v>40.930361857998733</v>
      </c>
      <c r="CX349" s="435">
        <v>41.095344651715699</v>
      </c>
      <c r="CY349" s="435">
        <v>41.260327445432665</v>
      </c>
      <c r="CZ349" s="435">
        <v>41.425310239149624</v>
      </c>
      <c r="DA349" s="435">
        <v>41.59029303286659</v>
      </c>
      <c r="DB349" s="363">
        <v>41.755275826583556</v>
      </c>
      <c r="DC349" s="435">
        <v>41.890512954044162</v>
      </c>
      <c r="DD349" s="435">
        <v>42.025750081504768</v>
      </c>
      <c r="DE349" s="435">
        <v>42.160987208965366</v>
      </c>
      <c r="DF349" s="435">
        <v>42.296224336425972</v>
      </c>
      <c r="DG349" s="363">
        <v>42.431461463886578</v>
      </c>
      <c r="DH349" s="362">
        <v>4.020490516044692</v>
      </c>
      <c r="DI349" s="362">
        <v>4.0410859974013285</v>
      </c>
      <c r="DJ349" s="362">
        <v>4.061786981768261</v>
      </c>
      <c r="DK349" s="363">
        <v>4.0350825144525997</v>
      </c>
      <c r="DL349" s="363">
        <v>4.0085536172930825</v>
      </c>
      <c r="DM349" s="363">
        <v>3.9957530081078785</v>
      </c>
      <c r="DN349" s="363">
        <v>3.9829932754110935</v>
      </c>
      <c r="DO349" s="363">
        <v>3.970274288670868</v>
      </c>
      <c r="DP349" s="363">
        <v>3.9575959177721742</v>
      </c>
      <c r="DQ349" s="363">
        <v>3.9449580330154848</v>
      </c>
      <c r="DR349" s="363">
        <v>3.9741387606821936</v>
      </c>
      <c r="DS349" s="363">
        <v>4.0035353372527522</v>
      </c>
      <c r="DT349" s="363">
        <v>4.0331493593545575</v>
      </c>
      <c r="DU349" s="363">
        <v>4.0629824354252122</v>
      </c>
      <c r="DV349" s="363">
        <v>4.0930361857998729</v>
      </c>
      <c r="DW349" s="435">
        <v>4.1095344651715697</v>
      </c>
      <c r="DX349" s="435">
        <v>4.1260327445432656</v>
      </c>
      <c r="DY349" s="435">
        <v>4.1425310239149624</v>
      </c>
      <c r="DZ349" s="435">
        <v>4.1590293032866583</v>
      </c>
      <c r="EA349" s="363">
        <v>4.1755275826583551</v>
      </c>
      <c r="EB349" s="435">
        <v>4.1890512954044157</v>
      </c>
      <c r="EC349" s="435">
        <v>4.2025750081504762</v>
      </c>
      <c r="ED349" s="435">
        <v>4.2160987208965368</v>
      </c>
      <c r="EE349" s="435">
        <v>4.2296224336425974</v>
      </c>
      <c r="EF349" s="363">
        <v>4.2431461463886579</v>
      </c>
      <c r="EG349" s="364">
        <v>0</v>
      </c>
      <c r="EH349" s="364">
        <v>0</v>
      </c>
      <c r="EI349" s="364">
        <v>0</v>
      </c>
      <c r="EJ349" s="365">
        <v>0</v>
      </c>
      <c r="EK349" s="365">
        <v>0</v>
      </c>
      <c r="EL349" s="365">
        <v>0</v>
      </c>
      <c r="EM349" s="365">
        <v>0</v>
      </c>
      <c r="EN349" s="365">
        <v>0</v>
      </c>
      <c r="EO349" s="365">
        <v>0</v>
      </c>
      <c r="EP349" s="365">
        <v>0</v>
      </c>
      <c r="EQ349" s="365">
        <v>0</v>
      </c>
      <c r="ER349" s="365">
        <v>0</v>
      </c>
      <c r="ES349" s="365">
        <v>0</v>
      </c>
      <c r="ET349" s="365">
        <v>0</v>
      </c>
      <c r="EU349" s="365">
        <v>0</v>
      </c>
      <c r="EV349" s="436">
        <v>0</v>
      </c>
      <c r="EW349" s="436">
        <v>0</v>
      </c>
      <c r="EX349" s="436">
        <v>0</v>
      </c>
      <c r="EY349" s="436">
        <v>0</v>
      </c>
      <c r="EZ349" s="365">
        <v>0</v>
      </c>
      <c r="FA349" s="436">
        <v>0</v>
      </c>
      <c r="FB349" s="436">
        <v>0</v>
      </c>
      <c r="FC349" s="436">
        <v>0</v>
      </c>
      <c r="FD349" s="436">
        <v>0</v>
      </c>
      <c r="FE349" s="365">
        <v>0</v>
      </c>
      <c r="FF349" s="364">
        <v>0</v>
      </c>
      <c r="FG349" s="364">
        <v>0</v>
      </c>
      <c r="FH349" s="364">
        <v>0</v>
      </c>
      <c r="FI349" s="365">
        <v>0</v>
      </c>
      <c r="FJ349" s="365">
        <v>0</v>
      </c>
      <c r="FK349" s="365">
        <v>0</v>
      </c>
      <c r="FL349" s="365">
        <v>0</v>
      </c>
      <c r="FM349" s="365">
        <v>0</v>
      </c>
      <c r="FN349" s="365">
        <v>0</v>
      </c>
      <c r="FO349" s="365">
        <v>0</v>
      </c>
      <c r="FP349" s="365">
        <v>0</v>
      </c>
      <c r="FQ349" s="365">
        <v>0</v>
      </c>
      <c r="FR349" s="365">
        <v>0</v>
      </c>
      <c r="FS349" s="365">
        <v>0</v>
      </c>
      <c r="FT349" s="365">
        <v>0</v>
      </c>
      <c r="FU349" s="436">
        <v>0</v>
      </c>
      <c r="FV349" s="436">
        <v>0</v>
      </c>
      <c r="FW349" s="436">
        <v>0</v>
      </c>
      <c r="FX349" s="436">
        <v>0</v>
      </c>
      <c r="FY349" s="365">
        <v>0</v>
      </c>
      <c r="FZ349" s="436">
        <v>0</v>
      </c>
      <c r="GA349" s="436">
        <v>0</v>
      </c>
      <c r="GB349" s="436">
        <v>0</v>
      </c>
      <c r="GC349" s="436">
        <v>0</v>
      </c>
      <c r="GD349" s="365">
        <v>0</v>
      </c>
    </row>
    <row r="350" spans="1:186" ht="15" x14ac:dyDescent="0.25">
      <c r="A350" s="357">
        <v>104</v>
      </c>
      <c r="B350" s="357">
        <v>100</v>
      </c>
      <c r="C350" s="357" t="s">
        <v>1260</v>
      </c>
      <c r="D350" s="2">
        <v>99709</v>
      </c>
      <c r="E350" s="268" t="s">
        <v>1527</v>
      </c>
      <c r="F350" s="358" t="s">
        <v>985</v>
      </c>
      <c r="G350" s="49">
        <v>171</v>
      </c>
      <c r="H350" s="49">
        <v>105</v>
      </c>
      <c r="I350" s="49">
        <v>90</v>
      </c>
      <c r="J350" s="49">
        <v>15</v>
      </c>
      <c r="K350" s="49">
        <v>0</v>
      </c>
      <c r="L350" s="49">
        <v>115</v>
      </c>
      <c r="M350" s="49">
        <v>115</v>
      </c>
      <c r="N350" s="49">
        <v>0</v>
      </c>
      <c r="O350" s="49">
        <v>0</v>
      </c>
      <c r="P350" s="49">
        <v>0</v>
      </c>
      <c r="Q350" s="49">
        <v>115</v>
      </c>
      <c r="R350" s="49">
        <v>0</v>
      </c>
      <c r="S350" s="49">
        <v>1133.0260869565216</v>
      </c>
      <c r="T350" s="49">
        <v>1133.0260869565216</v>
      </c>
      <c r="U350" s="49">
        <v>0</v>
      </c>
      <c r="V350" s="49">
        <v>0</v>
      </c>
      <c r="W350" s="49">
        <v>0</v>
      </c>
      <c r="X350" s="49">
        <v>1133.0260869565218</v>
      </c>
      <c r="Y350" s="434">
        <v>130297.99999999999</v>
      </c>
      <c r="Z350" s="434">
        <v>0</v>
      </c>
      <c r="AA350" s="49">
        <v>0</v>
      </c>
      <c r="AB350" s="49">
        <v>105</v>
      </c>
      <c r="AC350" s="49">
        <v>0</v>
      </c>
      <c r="AD350" s="285">
        <v>0</v>
      </c>
      <c r="AE350" s="285">
        <v>0</v>
      </c>
      <c r="AF350" s="359">
        <v>105</v>
      </c>
      <c r="AG350" s="360">
        <v>0</v>
      </c>
      <c r="AH350" s="360">
        <v>90</v>
      </c>
      <c r="AI350" s="361">
        <v>90</v>
      </c>
      <c r="AJ350" s="360">
        <v>0</v>
      </c>
      <c r="AK350" s="360">
        <v>0</v>
      </c>
      <c r="AL350" s="360">
        <v>99.976631475812638</v>
      </c>
      <c r="AM350" s="360">
        <v>99.976631475812638</v>
      </c>
      <c r="AN350" s="360">
        <v>0</v>
      </c>
      <c r="AO350" s="360">
        <v>0</v>
      </c>
      <c r="AP350" s="360">
        <v>85.855916600817864</v>
      </c>
      <c r="AQ350" s="360">
        <v>85.855916600817864</v>
      </c>
      <c r="AR350" s="360">
        <v>0</v>
      </c>
      <c r="AS350" s="360">
        <v>0</v>
      </c>
      <c r="AT350" s="360">
        <v>0</v>
      </c>
      <c r="AU350" s="360">
        <v>95.193588964289987</v>
      </c>
      <c r="AV350" s="360">
        <v>97.555801276719592</v>
      </c>
      <c r="AW350" s="360">
        <v>99.976631475812638</v>
      </c>
      <c r="AX350" s="360">
        <v>102.45753415420619</v>
      </c>
      <c r="AY350" s="360">
        <v>105</v>
      </c>
      <c r="AZ350" s="360">
        <v>81.902649059628814</v>
      </c>
      <c r="BA350" s="360">
        <v>83.855989690954971</v>
      </c>
      <c r="BB350" s="360">
        <v>85.855916600817864</v>
      </c>
      <c r="BC350" s="360">
        <v>87.903540850602866</v>
      </c>
      <c r="BD350" s="360">
        <v>90</v>
      </c>
      <c r="BE350" s="360">
        <v>0</v>
      </c>
      <c r="BF350" s="360">
        <v>0</v>
      </c>
      <c r="BG350" s="360">
        <v>0</v>
      </c>
      <c r="BH350" s="360">
        <v>0</v>
      </c>
      <c r="BI350" s="360">
        <v>0</v>
      </c>
      <c r="BJ350" s="362">
        <v>105.53787604617317</v>
      </c>
      <c r="BK350" s="362">
        <v>106.07850743178487</v>
      </c>
      <c r="BL350" s="362">
        <v>106.62190827141686</v>
      </c>
      <c r="BM350" s="363">
        <v>105.92091600438076</v>
      </c>
      <c r="BN350" s="363">
        <v>105.22453245394343</v>
      </c>
      <c r="BO350" s="363">
        <v>104.88851646283182</v>
      </c>
      <c r="BP350" s="363">
        <v>104.5535734795412</v>
      </c>
      <c r="BQ350" s="363">
        <v>104.21970007761028</v>
      </c>
      <c r="BR350" s="363">
        <v>103.88689284151958</v>
      </c>
      <c r="BS350" s="363">
        <v>103.55514836665648</v>
      </c>
      <c r="BT350" s="363">
        <v>104.32114246790759</v>
      </c>
      <c r="BU350" s="363">
        <v>105.09280260288475</v>
      </c>
      <c r="BV350" s="363">
        <v>105.87017068305714</v>
      </c>
      <c r="BW350" s="363">
        <v>106.65328892991182</v>
      </c>
      <c r="BX350" s="363">
        <v>107.44219987724668</v>
      </c>
      <c r="BY350" s="435">
        <v>107.87527971075372</v>
      </c>
      <c r="BZ350" s="435">
        <v>108.30835954426074</v>
      </c>
      <c r="CA350" s="435">
        <v>108.74143937776778</v>
      </c>
      <c r="CB350" s="435">
        <v>109.1745192112748</v>
      </c>
      <c r="CC350" s="363">
        <v>109.60759904478184</v>
      </c>
      <c r="CD350" s="435">
        <v>109.96259650436592</v>
      </c>
      <c r="CE350" s="435">
        <v>110.31759396395</v>
      </c>
      <c r="CF350" s="435">
        <v>110.6725914235341</v>
      </c>
      <c r="CG350" s="435">
        <v>111.02758888311818</v>
      </c>
      <c r="CH350" s="363">
        <v>111.38258634270227</v>
      </c>
      <c r="CI350" s="362">
        <v>90.461036611005568</v>
      </c>
      <c r="CJ350" s="362">
        <v>90.924434941529896</v>
      </c>
      <c r="CK350" s="362">
        <v>91.390207089785875</v>
      </c>
      <c r="CL350" s="363">
        <v>90.789356575183504</v>
      </c>
      <c r="CM350" s="363">
        <v>90.19245638909436</v>
      </c>
      <c r="CN350" s="363">
        <v>89.904442682427273</v>
      </c>
      <c r="CO350" s="363">
        <v>89.617348696749602</v>
      </c>
      <c r="CP350" s="363">
        <v>89.331171495094523</v>
      </c>
      <c r="CQ350" s="363">
        <v>89.045908149873924</v>
      </c>
      <c r="CR350" s="363">
        <v>88.761555742848415</v>
      </c>
      <c r="CS350" s="363">
        <v>89.418122115349362</v>
      </c>
      <c r="CT350" s="363">
        <v>90.079545088186919</v>
      </c>
      <c r="CU350" s="363">
        <v>90.745860585477558</v>
      </c>
      <c r="CV350" s="363">
        <v>91.417104797067282</v>
      </c>
      <c r="CW350" s="363">
        <v>92.093314180497146</v>
      </c>
      <c r="CX350" s="435">
        <v>92.464525466360314</v>
      </c>
      <c r="CY350" s="435">
        <v>92.835736752223482</v>
      </c>
      <c r="CZ350" s="435">
        <v>93.206948038086665</v>
      </c>
      <c r="DA350" s="435">
        <v>93.578159323949833</v>
      </c>
      <c r="DB350" s="363">
        <v>93.949370609813002</v>
      </c>
      <c r="DC350" s="435">
        <v>94.253654146599359</v>
      </c>
      <c r="DD350" s="435">
        <v>94.557937683385717</v>
      </c>
      <c r="DE350" s="435">
        <v>94.862221220172088</v>
      </c>
      <c r="DF350" s="435">
        <v>95.166504756958446</v>
      </c>
      <c r="DG350" s="363">
        <v>95.470788293744803</v>
      </c>
      <c r="DH350" s="362">
        <v>0</v>
      </c>
      <c r="DI350" s="362">
        <v>0</v>
      </c>
      <c r="DJ350" s="362">
        <v>0</v>
      </c>
      <c r="DK350" s="363">
        <v>0</v>
      </c>
      <c r="DL350" s="363">
        <v>0</v>
      </c>
      <c r="DM350" s="363">
        <v>0</v>
      </c>
      <c r="DN350" s="363">
        <v>0</v>
      </c>
      <c r="DO350" s="363">
        <v>0</v>
      </c>
      <c r="DP350" s="363">
        <v>0</v>
      </c>
      <c r="DQ350" s="363">
        <v>0</v>
      </c>
      <c r="DR350" s="363">
        <v>0</v>
      </c>
      <c r="DS350" s="363">
        <v>0</v>
      </c>
      <c r="DT350" s="363">
        <v>0</v>
      </c>
      <c r="DU350" s="363">
        <v>0</v>
      </c>
      <c r="DV350" s="363">
        <v>0</v>
      </c>
      <c r="DW350" s="435">
        <v>0</v>
      </c>
      <c r="DX350" s="435">
        <v>0</v>
      </c>
      <c r="DY350" s="435">
        <v>0</v>
      </c>
      <c r="DZ350" s="435">
        <v>0</v>
      </c>
      <c r="EA350" s="363">
        <v>0</v>
      </c>
      <c r="EB350" s="435">
        <v>0</v>
      </c>
      <c r="EC350" s="435">
        <v>0</v>
      </c>
      <c r="ED350" s="435">
        <v>0</v>
      </c>
      <c r="EE350" s="435">
        <v>0</v>
      </c>
      <c r="EF350" s="363">
        <v>0</v>
      </c>
      <c r="EG350" s="364">
        <v>0</v>
      </c>
      <c r="EH350" s="364">
        <v>0</v>
      </c>
      <c r="EI350" s="364">
        <v>0</v>
      </c>
      <c r="EJ350" s="365">
        <v>0</v>
      </c>
      <c r="EK350" s="365">
        <v>0</v>
      </c>
      <c r="EL350" s="365">
        <v>0</v>
      </c>
      <c r="EM350" s="365">
        <v>0</v>
      </c>
      <c r="EN350" s="365">
        <v>0</v>
      </c>
      <c r="EO350" s="365">
        <v>0</v>
      </c>
      <c r="EP350" s="365">
        <v>0</v>
      </c>
      <c r="EQ350" s="365">
        <v>0</v>
      </c>
      <c r="ER350" s="365">
        <v>0</v>
      </c>
      <c r="ES350" s="365">
        <v>0</v>
      </c>
      <c r="ET350" s="365">
        <v>0</v>
      </c>
      <c r="EU350" s="365">
        <v>0</v>
      </c>
      <c r="EV350" s="436">
        <v>0</v>
      </c>
      <c r="EW350" s="436">
        <v>0</v>
      </c>
      <c r="EX350" s="436">
        <v>0</v>
      </c>
      <c r="EY350" s="436">
        <v>0</v>
      </c>
      <c r="EZ350" s="365">
        <v>0</v>
      </c>
      <c r="FA350" s="436">
        <v>0</v>
      </c>
      <c r="FB350" s="436">
        <v>0</v>
      </c>
      <c r="FC350" s="436">
        <v>0</v>
      </c>
      <c r="FD350" s="436">
        <v>0</v>
      </c>
      <c r="FE350" s="365">
        <v>0</v>
      </c>
      <c r="FF350" s="364">
        <v>0</v>
      </c>
      <c r="FG350" s="364">
        <v>0</v>
      </c>
      <c r="FH350" s="364">
        <v>0</v>
      </c>
      <c r="FI350" s="365">
        <v>0</v>
      </c>
      <c r="FJ350" s="365">
        <v>0</v>
      </c>
      <c r="FK350" s="365">
        <v>0</v>
      </c>
      <c r="FL350" s="365">
        <v>0</v>
      </c>
      <c r="FM350" s="365">
        <v>0</v>
      </c>
      <c r="FN350" s="365">
        <v>0</v>
      </c>
      <c r="FO350" s="365">
        <v>0</v>
      </c>
      <c r="FP350" s="365">
        <v>0</v>
      </c>
      <c r="FQ350" s="365">
        <v>0</v>
      </c>
      <c r="FR350" s="365">
        <v>0</v>
      </c>
      <c r="FS350" s="365">
        <v>0</v>
      </c>
      <c r="FT350" s="365">
        <v>0</v>
      </c>
      <c r="FU350" s="436">
        <v>0</v>
      </c>
      <c r="FV350" s="436">
        <v>0</v>
      </c>
      <c r="FW350" s="436">
        <v>0</v>
      </c>
      <c r="FX350" s="436">
        <v>0</v>
      </c>
      <c r="FY350" s="365">
        <v>0</v>
      </c>
      <c r="FZ350" s="436">
        <v>0</v>
      </c>
      <c r="GA350" s="436">
        <v>0</v>
      </c>
      <c r="GB350" s="436">
        <v>0</v>
      </c>
      <c r="GC350" s="436">
        <v>0</v>
      </c>
      <c r="GD350" s="365">
        <v>0</v>
      </c>
    </row>
    <row r="351" spans="1:186" ht="15" x14ac:dyDescent="0.25">
      <c r="A351" s="357">
        <v>109</v>
      </c>
      <c r="B351" s="357">
        <v>100</v>
      </c>
      <c r="C351" s="357" t="s">
        <v>1261</v>
      </c>
      <c r="D351" s="2">
        <v>99712</v>
      </c>
      <c r="E351" s="268" t="s">
        <v>1527</v>
      </c>
      <c r="F351" s="358" t="s">
        <v>985</v>
      </c>
      <c r="G351" s="49">
        <v>38</v>
      </c>
      <c r="H351" s="49">
        <v>14</v>
      </c>
      <c r="I351" s="49">
        <v>14</v>
      </c>
      <c r="J351" s="49">
        <v>0</v>
      </c>
      <c r="K351" s="49">
        <v>0</v>
      </c>
      <c r="L351" s="49">
        <v>74</v>
      </c>
      <c r="M351" s="49">
        <v>74</v>
      </c>
      <c r="N351" s="49">
        <v>0</v>
      </c>
      <c r="O351" s="49">
        <v>0</v>
      </c>
      <c r="P351" s="49">
        <v>0</v>
      </c>
      <c r="Q351" s="49">
        <v>74</v>
      </c>
      <c r="R351" s="49">
        <v>0</v>
      </c>
      <c r="S351" s="49">
        <v>3187.2702702702704</v>
      </c>
      <c r="T351" s="49">
        <v>3187.2702702702704</v>
      </c>
      <c r="U351" s="49">
        <v>0</v>
      </c>
      <c r="V351" s="49">
        <v>0</v>
      </c>
      <c r="W351" s="49">
        <v>0</v>
      </c>
      <c r="X351" s="49">
        <v>3187.2702702702704</v>
      </c>
      <c r="Y351" s="434">
        <v>235858</v>
      </c>
      <c r="Z351" s="434">
        <v>0</v>
      </c>
      <c r="AA351" s="49">
        <v>0</v>
      </c>
      <c r="AB351" s="49">
        <v>14</v>
      </c>
      <c r="AC351" s="49">
        <v>0</v>
      </c>
      <c r="AD351" s="285">
        <v>0</v>
      </c>
      <c r="AE351" s="285">
        <v>0</v>
      </c>
      <c r="AF351" s="359">
        <v>14</v>
      </c>
      <c r="AG351" s="360">
        <v>0</v>
      </c>
      <c r="AH351" s="360">
        <v>14</v>
      </c>
      <c r="AI351" s="361">
        <v>14</v>
      </c>
      <c r="AJ351" s="360">
        <v>0</v>
      </c>
      <c r="AK351" s="360">
        <v>0</v>
      </c>
      <c r="AL351" s="360">
        <v>12.727599432040336</v>
      </c>
      <c r="AM351" s="360">
        <v>12.727599432040336</v>
      </c>
      <c r="AN351" s="360">
        <v>0</v>
      </c>
      <c r="AO351" s="360">
        <v>0</v>
      </c>
      <c r="AP351" s="360">
        <v>12.77435754543073</v>
      </c>
      <c r="AQ351" s="360">
        <v>12.77435754543073</v>
      </c>
      <c r="AR351" s="360">
        <v>0</v>
      </c>
      <c r="AS351" s="360">
        <v>0</v>
      </c>
      <c r="AT351" s="360">
        <v>0</v>
      </c>
      <c r="AU351" s="360">
        <v>11.570841950176677</v>
      </c>
      <c r="AV351" s="360">
        <v>12.135445662739263</v>
      </c>
      <c r="AW351" s="360">
        <v>12.727599432040336</v>
      </c>
      <c r="AX351" s="360">
        <v>13.348647573764344</v>
      </c>
      <c r="AY351" s="360">
        <v>14</v>
      </c>
      <c r="AZ351" s="360">
        <v>11.656015049893073</v>
      </c>
      <c r="BA351" s="360">
        <v>12.202381071014612</v>
      </c>
      <c r="BB351" s="360">
        <v>12.77435754543073</v>
      </c>
      <c r="BC351" s="360">
        <v>13.373144941861291</v>
      </c>
      <c r="BD351" s="360">
        <v>14</v>
      </c>
      <c r="BE351" s="360">
        <v>0</v>
      </c>
      <c r="BF351" s="360">
        <v>0</v>
      </c>
      <c r="BG351" s="360">
        <v>0</v>
      </c>
      <c r="BH351" s="360">
        <v>0</v>
      </c>
      <c r="BI351" s="360">
        <v>0</v>
      </c>
      <c r="BJ351" s="362">
        <v>14.34324717435028</v>
      </c>
      <c r="BK351" s="362">
        <v>14.694909964607664</v>
      </c>
      <c r="BL351" s="362">
        <v>15.055194701942188</v>
      </c>
      <c r="BM351" s="363">
        <v>14.956213402171045</v>
      </c>
      <c r="BN351" s="363">
        <v>14.857882861018329</v>
      </c>
      <c r="BO351" s="363">
        <v>14.810436831856352</v>
      </c>
      <c r="BP351" s="363">
        <v>14.763142313222779</v>
      </c>
      <c r="BQ351" s="363">
        <v>14.715998821295452</v>
      </c>
      <c r="BR351" s="363">
        <v>14.669005873797213</v>
      </c>
      <c r="BS351" s="363">
        <v>14.622162989990972</v>
      </c>
      <c r="BT351" s="363">
        <v>14.730322659254425</v>
      </c>
      <c r="BU351" s="363">
        <v>14.839282382112081</v>
      </c>
      <c r="BV351" s="363">
        <v>14.949048076534641</v>
      </c>
      <c r="BW351" s="363">
        <v>15.059625704267848</v>
      </c>
      <c r="BX351" s="363">
        <v>15.17102127115627</v>
      </c>
      <c r="BY351" s="435">
        <v>15.232172879870078</v>
      </c>
      <c r="BZ351" s="435">
        <v>15.293324488583883</v>
      </c>
      <c r="CA351" s="435">
        <v>15.35447609729769</v>
      </c>
      <c r="CB351" s="435">
        <v>15.415627706011495</v>
      </c>
      <c r="CC351" s="363">
        <v>15.476779314725302</v>
      </c>
      <c r="CD351" s="435">
        <v>15.526905559503517</v>
      </c>
      <c r="CE351" s="435">
        <v>15.577031804281731</v>
      </c>
      <c r="CF351" s="435">
        <v>15.627158049059943</v>
      </c>
      <c r="CG351" s="435">
        <v>15.677284293838158</v>
      </c>
      <c r="CH351" s="363">
        <v>15.727410538616372</v>
      </c>
      <c r="CI351" s="362">
        <v>14.34324717435028</v>
      </c>
      <c r="CJ351" s="362">
        <v>14.694909964607664</v>
      </c>
      <c r="CK351" s="362">
        <v>15.055194701942188</v>
      </c>
      <c r="CL351" s="363">
        <v>14.956213402171045</v>
      </c>
      <c r="CM351" s="363">
        <v>14.857882861018329</v>
      </c>
      <c r="CN351" s="363">
        <v>14.810436831856352</v>
      </c>
      <c r="CO351" s="363">
        <v>14.763142313222779</v>
      </c>
      <c r="CP351" s="363">
        <v>14.715998821295452</v>
      </c>
      <c r="CQ351" s="363">
        <v>14.669005873797213</v>
      </c>
      <c r="CR351" s="363">
        <v>14.622162989990972</v>
      </c>
      <c r="CS351" s="363">
        <v>14.730322659254425</v>
      </c>
      <c r="CT351" s="363">
        <v>14.839282382112081</v>
      </c>
      <c r="CU351" s="363">
        <v>14.949048076534641</v>
      </c>
      <c r="CV351" s="363">
        <v>15.059625704267848</v>
      </c>
      <c r="CW351" s="363">
        <v>15.17102127115627</v>
      </c>
      <c r="CX351" s="435">
        <v>15.232172879870078</v>
      </c>
      <c r="CY351" s="435">
        <v>15.293324488583883</v>
      </c>
      <c r="CZ351" s="435">
        <v>15.35447609729769</v>
      </c>
      <c r="DA351" s="435">
        <v>15.415627706011495</v>
      </c>
      <c r="DB351" s="363">
        <v>15.476779314725302</v>
      </c>
      <c r="DC351" s="435">
        <v>15.526905559503517</v>
      </c>
      <c r="DD351" s="435">
        <v>15.577031804281731</v>
      </c>
      <c r="DE351" s="435">
        <v>15.627158049059943</v>
      </c>
      <c r="DF351" s="435">
        <v>15.677284293838158</v>
      </c>
      <c r="DG351" s="363">
        <v>15.727410538616372</v>
      </c>
      <c r="DH351" s="362">
        <v>0</v>
      </c>
      <c r="DI351" s="362">
        <v>0</v>
      </c>
      <c r="DJ351" s="362">
        <v>0</v>
      </c>
      <c r="DK351" s="363">
        <v>0</v>
      </c>
      <c r="DL351" s="363">
        <v>0</v>
      </c>
      <c r="DM351" s="363">
        <v>0</v>
      </c>
      <c r="DN351" s="363">
        <v>0</v>
      </c>
      <c r="DO351" s="363">
        <v>0</v>
      </c>
      <c r="DP351" s="363">
        <v>0</v>
      </c>
      <c r="DQ351" s="363">
        <v>0</v>
      </c>
      <c r="DR351" s="363">
        <v>0</v>
      </c>
      <c r="DS351" s="363">
        <v>0</v>
      </c>
      <c r="DT351" s="363">
        <v>0</v>
      </c>
      <c r="DU351" s="363">
        <v>0</v>
      </c>
      <c r="DV351" s="363">
        <v>0</v>
      </c>
      <c r="DW351" s="435">
        <v>0</v>
      </c>
      <c r="DX351" s="435">
        <v>0</v>
      </c>
      <c r="DY351" s="435">
        <v>0</v>
      </c>
      <c r="DZ351" s="435">
        <v>0</v>
      </c>
      <c r="EA351" s="363">
        <v>0</v>
      </c>
      <c r="EB351" s="435">
        <v>0</v>
      </c>
      <c r="EC351" s="435">
        <v>0</v>
      </c>
      <c r="ED351" s="435">
        <v>0</v>
      </c>
      <c r="EE351" s="435">
        <v>0</v>
      </c>
      <c r="EF351" s="363">
        <v>0</v>
      </c>
      <c r="EG351" s="364">
        <v>0</v>
      </c>
      <c r="EH351" s="364">
        <v>0</v>
      </c>
      <c r="EI351" s="364">
        <v>0</v>
      </c>
      <c r="EJ351" s="365">
        <v>0</v>
      </c>
      <c r="EK351" s="365">
        <v>0</v>
      </c>
      <c r="EL351" s="365">
        <v>0</v>
      </c>
      <c r="EM351" s="365">
        <v>0</v>
      </c>
      <c r="EN351" s="365">
        <v>0</v>
      </c>
      <c r="EO351" s="365">
        <v>0</v>
      </c>
      <c r="EP351" s="365">
        <v>0</v>
      </c>
      <c r="EQ351" s="365">
        <v>0</v>
      </c>
      <c r="ER351" s="365">
        <v>0</v>
      </c>
      <c r="ES351" s="365">
        <v>0</v>
      </c>
      <c r="ET351" s="365">
        <v>0</v>
      </c>
      <c r="EU351" s="365">
        <v>0</v>
      </c>
      <c r="EV351" s="436">
        <v>0</v>
      </c>
      <c r="EW351" s="436">
        <v>0</v>
      </c>
      <c r="EX351" s="436">
        <v>0</v>
      </c>
      <c r="EY351" s="436">
        <v>0</v>
      </c>
      <c r="EZ351" s="365">
        <v>0</v>
      </c>
      <c r="FA351" s="436">
        <v>0</v>
      </c>
      <c r="FB351" s="436">
        <v>0</v>
      </c>
      <c r="FC351" s="436">
        <v>0</v>
      </c>
      <c r="FD351" s="436">
        <v>0</v>
      </c>
      <c r="FE351" s="365">
        <v>0</v>
      </c>
      <c r="FF351" s="364">
        <v>0</v>
      </c>
      <c r="FG351" s="364">
        <v>0</v>
      </c>
      <c r="FH351" s="364">
        <v>0</v>
      </c>
      <c r="FI351" s="365">
        <v>0</v>
      </c>
      <c r="FJ351" s="365">
        <v>0</v>
      </c>
      <c r="FK351" s="365">
        <v>0</v>
      </c>
      <c r="FL351" s="365">
        <v>0</v>
      </c>
      <c r="FM351" s="365">
        <v>0</v>
      </c>
      <c r="FN351" s="365">
        <v>0</v>
      </c>
      <c r="FO351" s="365">
        <v>0</v>
      </c>
      <c r="FP351" s="365">
        <v>0</v>
      </c>
      <c r="FQ351" s="365">
        <v>0</v>
      </c>
      <c r="FR351" s="365">
        <v>0</v>
      </c>
      <c r="FS351" s="365">
        <v>0</v>
      </c>
      <c r="FT351" s="365">
        <v>0</v>
      </c>
      <c r="FU351" s="436">
        <v>0</v>
      </c>
      <c r="FV351" s="436">
        <v>0</v>
      </c>
      <c r="FW351" s="436">
        <v>0</v>
      </c>
      <c r="FX351" s="436">
        <v>0</v>
      </c>
      <c r="FY351" s="365">
        <v>0</v>
      </c>
      <c r="FZ351" s="436">
        <v>0</v>
      </c>
      <c r="GA351" s="436">
        <v>0</v>
      </c>
      <c r="GB351" s="436">
        <v>0</v>
      </c>
      <c r="GC351" s="436">
        <v>0</v>
      </c>
      <c r="GD351" s="365">
        <v>0</v>
      </c>
    </row>
    <row r="352" spans="1:186" ht="15" x14ac:dyDescent="0.25">
      <c r="A352" s="357">
        <v>110</v>
      </c>
      <c r="B352" s="357">
        <v>100</v>
      </c>
      <c r="C352" s="357" t="s">
        <v>1262</v>
      </c>
      <c r="D352" s="2">
        <v>99712</v>
      </c>
      <c r="E352" s="268" t="s">
        <v>1527</v>
      </c>
      <c r="F352" s="358" t="s">
        <v>985</v>
      </c>
      <c r="G352" s="49">
        <v>67</v>
      </c>
      <c r="H352" s="49">
        <v>27</v>
      </c>
      <c r="I352" s="49">
        <v>27</v>
      </c>
      <c r="J352" s="49">
        <v>0</v>
      </c>
      <c r="K352" s="49">
        <v>0</v>
      </c>
      <c r="L352" s="49">
        <v>87</v>
      </c>
      <c r="M352" s="49">
        <v>87</v>
      </c>
      <c r="N352" s="49">
        <v>0</v>
      </c>
      <c r="O352" s="49">
        <v>0</v>
      </c>
      <c r="P352" s="49">
        <v>0</v>
      </c>
      <c r="Q352" s="49">
        <v>87</v>
      </c>
      <c r="R352" s="49">
        <v>0</v>
      </c>
      <c r="S352" s="49">
        <v>2990.6091954022991</v>
      </c>
      <c r="T352" s="49">
        <v>2990.6091954022991</v>
      </c>
      <c r="U352" s="49">
        <v>0</v>
      </c>
      <c r="V352" s="49">
        <v>0</v>
      </c>
      <c r="W352" s="49">
        <v>0</v>
      </c>
      <c r="X352" s="49">
        <v>2990.6091954022991</v>
      </c>
      <c r="Y352" s="434">
        <v>260183.00000000003</v>
      </c>
      <c r="Z352" s="434">
        <v>0</v>
      </c>
      <c r="AA352" s="49">
        <v>0</v>
      </c>
      <c r="AB352" s="49">
        <v>27</v>
      </c>
      <c r="AC352" s="49">
        <v>0</v>
      </c>
      <c r="AD352" s="285">
        <v>0</v>
      </c>
      <c r="AE352" s="285">
        <v>0</v>
      </c>
      <c r="AF352" s="359">
        <v>27</v>
      </c>
      <c r="AG352" s="360">
        <v>0</v>
      </c>
      <c r="AH352" s="360">
        <v>27</v>
      </c>
      <c r="AI352" s="361">
        <v>27</v>
      </c>
      <c r="AJ352" s="360">
        <v>0</v>
      </c>
      <c r="AK352" s="360">
        <v>0</v>
      </c>
      <c r="AL352" s="360">
        <v>24.54608461893493</v>
      </c>
      <c r="AM352" s="360">
        <v>24.54608461893493</v>
      </c>
      <c r="AN352" s="360">
        <v>0</v>
      </c>
      <c r="AO352" s="360">
        <v>0</v>
      </c>
      <c r="AP352" s="360">
        <v>24.636260980473551</v>
      </c>
      <c r="AQ352" s="360">
        <v>24.636260980473551</v>
      </c>
      <c r="AR352" s="360">
        <v>0</v>
      </c>
      <c r="AS352" s="360">
        <v>0</v>
      </c>
      <c r="AT352" s="360">
        <v>0</v>
      </c>
      <c r="AU352" s="360">
        <v>22.315195189626447</v>
      </c>
      <c r="AV352" s="360">
        <v>23.404073778140006</v>
      </c>
      <c r="AW352" s="360">
        <v>24.54608461893493</v>
      </c>
      <c r="AX352" s="360">
        <v>25.743820320831233</v>
      </c>
      <c r="AY352" s="360">
        <v>27</v>
      </c>
      <c r="AZ352" s="360">
        <v>22.479457596222353</v>
      </c>
      <c r="BA352" s="360">
        <v>23.533163494099608</v>
      </c>
      <c r="BB352" s="360">
        <v>24.636260980473551</v>
      </c>
      <c r="BC352" s="360">
        <v>25.791065245018203</v>
      </c>
      <c r="BD352" s="360">
        <v>27</v>
      </c>
      <c r="BE352" s="360">
        <v>0</v>
      </c>
      <c r="BF352" s="360">
        <v>0</v>
      </c>
      <c r="BG352" s="360">
        <v>0</v>
      </c>
      <c r="BH352" s="360">
        <v>0</v>
      </c>
      <c r="BI352" s="360">
        <v>0</v>
      </c>
      <c r="BJ352" s="362">
        <v>27.661976693389825</v>
      </c>
      <c r="BK352" s="362">
        <v>28.340183503171922</v>
      </c>
      <c r="BL352" s="362">
        <v>29.035018353745649</v>
      </c>
      <c r="BM352" s="363">
        <v>28.844125847044161</v>
      </c>
      <c r="BN352" s="363">
        <v>28.654488374821064</v>
      </c>
      <c r="BO352" s="363">
        <v>28.562985318580107</v>
      </c>
      <c r="BP352" s="363">
        <v>28.471774461215361</v>
      </c>
      <c r="BQ352" s="363">
        <v>28.380854869641226</v>
      </c>
      <c r="BR352" s="363">
        <v>28.290225613751765</v>
      </c>
      <c r="BS352" s="363">
        <v>28.19988576641116</v>
      </c>
      <c r="BT352" s="363">
        <v>28.408479414276393</v>
      </c>
      <c r="BU352" s="363">
        <v>28.618616022644726</v>
      </c>
      <c r="BV352" s="363">
        <v>28.830307004745379</v>
      </c>
      <c r="BW352" s="363">
        <v>29.043563858230851</v>
      </c>
      <c r="BX352" s="363">
        <v>29.258398165801378</v>
      </c>
      <c r="BY352" s="435">
        <v>29.376333411178006</v>
      </c>
      <c r="BZ352" s="435">
        <v>29.494268656554631</v>
      </c>
      <c r="CA352" s="435">
        <v>29.61220390193126</v>
      </c>
      <c r="CB352" s="435">
        <v>29.730139147307884</v>
      </c>
      <c r="CC352" s="363">
        <v>29.848074392684513</v>
      </c>
      <c r="CD352" s="435">
        <v>29.944746436185355</v>
      </c>
      <c r="CE352" s="435">
        <v>30.041418479686193</v>
      </c>
      <c r="CF352" s="435">
        <v>30.138090523187035</v>
      </c>
      <c r="CG352" s="435">
        <v>30.234762566687873</v>
      </c>
      <c r="CH352" s="363">
        <v>30.331434610188715</v>
      </c>
      <c r="CI352" s="362">
        <v>27.661976693389825</v>
      </c>
      <c r="CJ352" s="362">
        <v>28.340183503171922</v>
      </c>
      <c r="CK352" s="362">
        <v>29.035018353745649</v>
      </c>
      <c r="CL352" s="363">
        <v>28.844125847044161</v>
      </c>
      <c r="CM352" s="363">
        <v>28.654488374821064</v>
      </c>
      <c r="CN352" s="363">
        <v>28.562985318580107</v>
      </c>
      <c r="CO352" s="363">
        <v>28.471774461215361</v>
      </c>
      <c r="CP352" s="363">
        <v>28.380854869641226</v>
      </c>
      <c r="CQ352" s="363">
        <v>28.290225613751765</v>
      </c>
      <c r="CR352" s="363">
        <v>28.19988576641116</v>
      </c>
      <c r="CS352" s="363">
        <v>28.408479414276393</v>
      </c>
      <c r="CT352" s="363">
        <v>28.618616022644726</v>
      </c>
      <c r="CU352" s="363">
        <v>28.830307004745379</v>
      </c>
      <c r="CV352" s="363">
        <v>29.043563858230851</v>
      </c>
      <c r="CW352" s="363">
        <v>29.258398165801378</v>
      </c>
      <c r="CX352" s="435">
        <v>29.376333411178006</v>
      </c>
      <c r="CY352" s="435">
        <v>29.494268656554631</v>
      </c>
      <c r="CZ352" s="435">
        <v>29.61220390193126</v>
      </c>
      <c r="DA352" s="435">
        <v>29.730139147307884</v>
      </c>
      <c r="DB352" s="363">
        <v>29.848074392684513</v>
      </c>
      <c r="DC352" s="435">
        <v>29.944746436185355</v>
      </c>
      <c r="DD352" s="435">
        <v>30.041418479686193</v>
      </c>
      <c r="DE352" s="435">
        <v>30.138090523187035</v>
      </c>
      <c r="DF352" s="435">
        <v>30.234762566687873</v>
      </c>
      <c r="DG352" s="363">
        <v>30.331434610188715</v>
      </c>
      <c r="DH352" s="362">
        <v>0</v>
      </c>
      <c r="DI352" s="362">
        <v>0</v>
      </c>
      <c r="DJ352" s="362">
        <v>0</v>
      </c>
      <c r="DK352" s="363">
        <v>0</v>
      </c>
      <c r="DL352" s="363">
        <v>0</v>
      </c>
      <c r="DM352" s="363">
        <v>0</v>
      </c>
      <c r="DN352" s="363">
        <v>0</v>
      </c>
      <c r="DO352" s="363">
        <v>0</v>
      </c>
      <c r="DP352" s="363">
        <v>0</v>
      </c>
      <c r="DQ352" s="363">
        <v>0</v>
      </c>
      <c r="DR352" s="363">
        <v>0</v>
      </c>
      <c r="DS352" s="363">
        <v>0</v>
      </c>
      <c r="DT352" s="363">
        <v>0</v>
      </c>
      <c r="DU352" s="363">
        <v>0</v>
      </c>
      <c r="DV352" s="363">
        <v>0</v>
      </c>
      <c r="DW352" s="435">
        <v>0</v>
      </c>
      <c r="DX352" s="435">
        <v>0</v>
      </c>
      <c r="DY352" s="435">
        <v>0</v>
      </c>
      <c r="DZ352" s="435">
        <v>0</v>
      </c>
      <c r="EA352" s="363">
        <v>0</v>
      </c>
      <c r="EB352" s="435">
        <v>0</v>
      </c>
      <c r="EC352" s="435">
        <v>0</v>
      </c>
      <c r="ED352" s="435">
        <v>0</v>
      </c>
      <c r="EE352" s="435">
        <v>0</v>
      </c>
      <c r="EF352" s="363">
        <v>0</v>
      </c>
      <c r="EG352" s="364">
        <v>0</v>
      </c>
      <c r="EH352" s="364">
        <v>0</v>
      </c>
      <c r="EI352" s="364">
        <v>0</v>
      </c>
      <c r="EJ352" s="365">
        <v>0</v>
      </c>
      <c r="EK352" s="365">
        <v>0</v>
      </c>
      <c r="EL352" s="365">
        <v>0</v>
      </c>
      <c r="EM352" s="365">
        <v>0</v>
      </c>
      <c r="EN352" s="365">
        <v>0</v>
      </c>
      <c r="EO352" s="365">
        <v>0</v>
      </c>
      <c r="EP352" s="365">
        <v>0</v>
      </c>
      <c r="EQ352" s="365">
        <v>0</v>
      </c>
      <c r="ER352" s="365">
        <v>0</v>
      </c>
      <c r="ES352" s="365">
        <v>0</v>
      </c>
      <c r="ET352" s="365">
        <v>0</v>
      </c>
      <c r="EU352" s="365">
        <v>0</v>
      </c>
      <c r="EV352" s="436">
        <v>0</v>
      </c>
      <c r="EW352" s="436">
        <v>0</v>
      </c>
      <c r="EX352" s="436">
        <v>0</v>
      </c>
      <c r="EY352" s="436">
        <v>0</v>
      </c>
      <c r="EZ352" s="365">
        <v>0</v>
      </c>
      <c r="FA352" s="436">
        <v>0</v>
      </c>
      <c r="FB352" s="436">
        <v>0</v>
      </c>
      <c r="FC352" s="436">
        <v>0</v>
      </c>
      <c r="FD352" s="436">
        <v>0</v>
      </c>
      <c r="FE352" s="365">
        <v>0</v>
      </c>
      <c r="FF352" s="364">
        <v>0</v>
      </c>
      <c r="FG352" s="364">
        <v>0</v>
      </c>
      <c r="FH352" s="364">
        <v>0</v>
      </c>
      <c r="FI352" s="365">
        <v>0</v>
      </c>
      <c r="FJ352" s="365">
        <v>0</v>
      </c>
      <c r="FK352" s="365">
        <v>0</v>
      </c>
      <c r="FL352" s="365">
        <v>0</v>
      </c>
      <c r="FM352" s="365">
        <v>0</v>
      </c>
      <c r="FN352" s="365">
        <v>0</v>
      </c>
      <c r="FO352" s="365">
        <v>0</v>
      </c>
      <c r="FP352" s="365">
        <v>0</v>
      </c>
      <c r="FQ352" s="365">
        <v>0</v>
      </c>
      <c r="FR352" s="365">
        <v>0</v>
      </c>
      <c r="FS352" s="365">
        <v>0</v>
      </c>
      <c r="FT352" s="365">
        <v>0</v>
      </c>
      <c r="FU352" s="436">
        <v>0</v>
      </c>
      <c r="FV352" s="436">
        <v>0</v>
      </c>
      <c r="FW352" s="436">
        <v>0</v>
      </c>
      <c r="FX352" s="436">
        <v>0</v>
      </c>
      <c r="FY352" s="365">
        <v>0</v>
      </c>
      <c r="FZ352" s="436">
        <v>0</v>
      </c>
      <c r="GA352" s="436">
        <v>0</v>
      </c>
      <c r="GB352" s="436">
        <v>0</v>
      </c>
      <c r="GC352" s="436">
        <v>0</v>
      </c>
      <c r="GD352" s="365">
        <v>0</v>
      </c>
    </row>
    <row r="353" spans="1:186" ht="15" x14ac:dyDescent="0.25">
      <c r="A353" s="357">
        <v>111</v>
      </c>
      <c r="B353" s="357">
        <v>100</v>
      </c>
      <c r="C353" s="357" t="s">
        <v>1263</v>
      </c>
      <c r="D353" s="2">
        <v>99712</v>
      </c>
      <c r="E353" s="268" t="s">
        <v>1527</v>
      </c>
      <c r="F353" s="358" t="s">
        <v>985</v>
      </c>
      <c r="G353" s="49">
        <v>284</v>
      </c>
      <c r="H353" s="49">
        <v>118</v>
      </c>
      <c r="I353" s="49">
        <v>111</v>
      </c>
      <c r="J353" s="49">
        <v>7</v>
      </c>
      <c r="K353" s="49">
        <v>0</v>
      </c>
      <c r="L353" s="49">
        <v>124</v>
      </c>
      <c r="M353" s="49">
        <v>124</v>
      </c>
      <c r="N353" s="49">
        <v>0</v>
      </c>
      <c r="O353" s="49">
        <v>0</v>
      </c>
      <c r="P353" s="49">
        <v>0</v>
      </c>
      <c r="Q353" s="49">
        <v>124</v>
      </c>
      <c r="R353" s="49">
        <v>0</v>
      </c>
      <c r="S353" s="49">
        <v>2465.733870967742</v>
      </c>
      <c r="T353" s="49">
        <v>2465.733870967742</v>
      </c>
      <c r="U353" s="49">
        <v>0</v>
      </c>
      <c r="V353" s="49">
        <v>0</v>
      </c>
      <c r="W353" s="49">
        <v>0</v>
      </c>
      <c r="X353" s="49">
        <v>2465.733870967742</v>
      </c>
      <c r="Y353" s="434">
        <v>305751</v>
      </c>
      <c r="Z353" s="434">
        <v>0</v>
      </c>
      <c r="AA353" s="49">
        <v>0</v>
      </c>
      <c r="AB353" s="49">
        <v>118</v>
      </c>
      <c r="AC353" s="49">
        <v>0</v>
      </c>
      <c r="AD353" s="285">
        <v>0</v>
      </c>
      <c r="AE353" s="285">
        <v>0</v>
      </c>
      <c r="AF353" s="359">
        <v>118</v>
      </c>
      <c r="AG353" s="360">
        <v>0</v>
      </c>
      <c r="AH353" s="360">
        <v>111</v>
      </c>
      <c r="AI353" s="361">
        <v>111</v>
      </c>
      <c r="AJ353" s="360">
        <v>0</v>
      </c>
      <c r="AK353" s="360">
        <v>0</v>
      </c>
      <c r="AL353" s="360">
        <v>107.27548092719711</v>
      </c>
      <c r="AM353" s="360">
        <v>107.27548092719711</v>
      </c>
      <c r="AN353" s="360">
        <v>0</v>
      </c>
      <c r="AO353" s="360">
        <v>0</v>
      </c>
      <c r="AP353" s="360">
        <v>101.28240625305793</v>
      </c>
      <c r="AQ353" s="360">
        <v>101.28240625305793</v>
      </c>
      <c r="AR353" s="360">
        <v>0</v>
      </c>
      <c r="AS353" s="360">
        <v>0</v>
      </c>
      <c r="AT353" s="360">
        <v>0</v>
      </c>
      <c r="AU353" s="360">
        <v>97.525667865774835</v>
      </c>
      <c r="AV353" s="360">
        <v>102.28447058594521</v>
      </c>
      <c r="AW353" s="360">
        <v>107.27548092719711</v>
      </c>
      <c r="AX353" s="360">
        <v>112.51002955029946</v>
      </c>
      <c r="AY353" s="360">
        <v>118</v>
      </c>
      <c r="AZ353" s="360">
        <v>92.415547895580787</v>
      </c>
      <c r="BA353" s="360">
        <v>96.747449920187279</v>
      </c>
      <c r="BB353" s="360">
        <v>101.28240625305793</v>
      </c>
      <c r="BC353" s="360">
        <v>106.02993489618595</v>
      </c>
      <c r="BD353" s="360">
        <v>111</v>
      </c>
      <c r="BE353" s="360">
        <v>0</v>
      </c>
      <c r="BF353" s="360">
        <v>0</v>
      </c>
      <c r="BG353" s="360">
        <v>0</v>
      </c>
      <c r="BH353" s="360">
        <v>0</v>
      </c>
      <c r="BI353" s="360">
        <v>0</v>
      </c>
      <c r="BJ353" s="362">
        <v>119.61284693562548</v>
      </c>
      <c r="BK353" s="362">
        <v>121.24773857665566</v>
      </c>
      <c r="BL353" s="362">
        <v>122.90497623440886</v>
      </c>
      <c r="BM353" s="363">
        <v>122.0969299396337</v>
      </c>
      <c r="BN353" s="363">
        <v>121.29419619472024</v>
      </c>
      <c r="BO353" s="363">
        <v>120.9068645658694</v>
      </c>
      <c r="BP353" s="363">
        <v>120.52076981228065</v>
      </c>
      <c r="BQ353" s="363">
        <v>120.1359079842109</v>
      </c>
      <c r="BR353" s="363">
        <v>119.75227514452995</v>
      </c>
      <c r="BS353" s="363">
        <v>119.36986736868003</v>
      </c>
      <c r="BT353" s="363">
        <v>120.25284243765282</v>
      </c>
      <c r="BU353" s="363">
        <v>121.14234884480679</v>
      </c>
      <c r="BV353" s="363">
        <v>122.03843490224035</v>
      </c>
      <c r="BW353" s="363">
        <v>122.94114927941503</v>
      </c>
      <c r="BX353" s="363">
        <v>123.85054100579859</v>
      </c>
      <c r="BY353" s="435">
        <v>124.34975985779369</v>
      </c>
      <c r="BZ353" s="435">
        <v>124.84897870978878</v>
      </c>
      <c r="CA353" s="435">
        <v>125.34819756178389</v>
      </c>
      <c r="CB353" s="435">
        <v>125.84741641377899</v>
      </c>
      <c r="CC353" s="363">
        <v>126.34663526577408</v>
      </c>
      <c r="CD353" s="435">
        <v>126.75584717204002</v>
      </c>
      <c r="CE353" s="435">
        <v>127.16505907830596</v>
      </c>
      <c r="CF353" s="435">
        <v>127.57427098457188</v>
      </c>
      <c r="CG353" s="435">
        <v>127.98348289083782</v>
      </c>
      <c r="CH353" s="363">
        <v>128.39269479710376</v>
      </c>
      <c r="CI353" s="362">
        <v>112.51716957503753</v>
      </c>
      <c r="CJ353" s="362">
        <v>114.05507611871846</v>
      </c>
      <c r="CK353" s="362">
        <v>115.61400306796088</v>
      </c>
      <c r="CL353" s="363">
        <v>114.85389172287576</v>
      </c>
      <c r="CM353" s="363">
        <v>114.09877777638938</v>
      </c>
      <c r="CN353" s="363">
        <v>113.7344234475551</v>
      </c>
      <c r="CO353" s="363">
        <v>113.3712326200267</v>
      </c>
      <c r="CP353" s="363">
        <v>113.00920157836789</v>
      </c>
      <c r="CQ353" s="363">
        <v>112.64832661900698</v>
      </c>
      <c r="CR353" s="363">
        <v>112.28860405019901</v>
      </c>
      <c r="CS353" s="363">
        <v>113.11919924219885</v>
      </c>
      <c r="CT353" s="363">
        <v>113.95593832011485</v>
      </c>
      <c r="CU353" s="363">
        <v>114.79886673007356</v>
      </c>
      <c r="CV353" s="363">
        <v>115.64803025436498</v>
      </c>
      <c r="CW353" s="363">
        <v>116.50347501392919</v>
      </c>
      <c r="CX353" s="435">
        <v>116.97307918826357</v>
      </c>
      <c r="CY353" s="435">
        <v>117.44268336259793</v>
      </c>
      <c r="CZ353" s="435">
        <v>117.91228753693231</v>
      </c>
      <c r="DA353" s="435">
        <v>118.38189171126668</v>
      </c>
      <c r="DB353" s="363">
        <v>118.85149588560105</v>
      </c>
      <c r="DC353" s="435">
        <v>119.23643250929189</v>
      </c>
      <c r="DD353" s="435">
        <v>119.62136913298272</v>
      </c>
      <c r="DE353" s="435">
        <v>120.00630575667356</v>
      </c>
      <c r="DF353" s="435">
        <v>120.39124238036439</v>
      </c>
      <c r="DG353" s="363">
        <v>120.77617900405522</v>
      </c>
      <c r="DH353" s="362">
        <v>0</v>
      </c>
      <c r="DI353" s="362">
        <v>0</v>
      </c>
      <c r="DJ353" s="362">
        <v>0</v>
      </c>
      <c r="DK353" s="363">
        <v>0</v>
      </c>
      <c r="DL353" s="363">
        <v>0</v>
      </c>
      <c r="DM353" s="363">
        <v>0</v>
      </c>
      <c r="DN353" s="363">
        <v>0</v>
      </c>
      <c r="DO353" s="363">
        <v>0</v>
      </c>
      <c r="DP353" s="363">
        <v>0</v>
      </c>
      <c r="DQ353" s="363">
        <v>0</v>
      </c>
      <c r="DR353" s="363">
        <v>0</v>
      </c>
      <c r="DS353" s="363">
        <v>0</v>
      </c>
      <c r="DT353" s="363">
        <v>0</v>
      </c>
      <c r="DU353" s="363">
        <v>0</v>
      </c>
      <c r="DV353" s="363">
        <v>0</v>
      </c>
      <c r="DW353" s="435">
        <v>0</v>
      </c>
      <c r="DX353" s="435">
        <v>0</v>
      </c>
      <c r="DY353" s="435">
        <v>0</v>
      </c>
      <c r="DZ353" s="435">
        <v>0</v>
      </c>
      <c r="EA353" s="363">
        <v>0</v>
      </c>
      <c r="EB353" s="435">
        <v>0</v>
      </c>
      <c r="EC353" s="435">
        <v>0</v>
      </c>
      <c r="ED353" s="435">
        <v>0</v>
      </c>
      <c r="EE353" s="435">
        <v>0</v>
      </c>
      <c r="EF353" s="363">
        <v>0</v>
      </c>
      <c r="EG353" s="364">
        <v>0</v>
      </c>
      <c r="EH353" s="364">
        <v>0</v>
      </c>
      <c r="EI353" s="364">
        <v>0</v>
      </c>
      <c r="EJ353" s="365">
        <v>0</v>
      </c>
      <c r="EK353" s="365">
        <v>0</v>
      </c>
      <c r="EL353" s="365">
        <v>0</v>
      </c>
      <c r="EM353" s="365">
        <v>0</v>
      </c>
      <c r="EN353" s="365">
        <v>0</v>
      </c>
      <c r="EO353" s="365">
        <v>0</v>
      </c>
      <c r="EP353" s="365">
        <v>0</v>
      </c>
      <c r="EQ353" s="365">
        <v>0</v>
      </c>
      <c r="ER353" s="365">
        <v>0</v>
      </c>
      <c r="ES353" s="365">
        <v>0</v>
      </c>
      <c r="ET353" s="365">
        <v>0</v>
      </c>
      <c r="EU353" s="365">
        <v>0</v>
      </c>
      <c r="EV353" s="436">
        <v>0</v>
      </c>
      <c r="EW353" s="436">
        <v>0</v>
      </c>
      <c r="EX353" s="436">
        <v>0</v>
      </c>
      <c r="EY353" s="436">
        <v>0</v>
      </c>
      <c r="EZ353" s="365">
        <v>0</v>
      </c>
      <c r="FA353" s="436">
        <v>0</v>
      </c>
      <c r="FB353" s="436">
        <v>0</v>
      </c>
      <c r="FC353" s="436">
        <v>0</v>
      </c>
      <c r="FD353" s="436">
        <v>0</v>
      </c>
      <c r="FE353" s="365">
        <v>0</v>
      </c>
      <c r="FF353" s="364">
        <v>0</v>
      </c>
      <c r="FG353" s="364">
        <v>0</v>
      </c>
      <c r="FH353" s="364">
        <v>0</v>
      </c>
      <c r="FI353" s="365">
        <v>0</v>
      </c>
      <c r="FJ353" s="365">
        <v>0</v>
      </c>
      <c r="FK353" s="365">
        <v>0</v>
      </c>
      <c r="FL353" s="365">
        <v>0</v>
      </c>
      <c r="FM353" s="365">
        <v>0</v>
      </c>
      <c r="FN353" s="365">
        <v>0</v>
      </c>
      <c r="FO353" s="365">
        <v>0</v>
      </c>
      <c r="FP353" s="365">
        <v>0</v>
      </c>
      <c r="FQ353" s="365">
        <v>0</v>
      </c>
      <c r="FR353" s="365">
        <v>0</v>
      </c>
      <c r="FS353" s="365">
        <v>0</v>
      </c>
      <c r="FT353" s="365">
        <v>0</v>
      </c>
      <c r="FU353" s="436">
        <v>0</v>
      </c>
      <c r="FV353" s="436">
        <v>0</v>
      </c>
      <c r="FW353" s="436">
        <v>0</v>
      </c>
      <c r="FX353" s="436">
        <v>0</v>
      </c>
      <c r="FY353" s="365">
        <v>0</v>
      </c>
      <c r="FZ353" s="436">
        <v>0</v>
      </c>
      <c r="GA353" s="436">
        <v>0</v>
      </c>
      <c r="GB353" s="436">
        <v>0</v>
      </c>
      <c r="GC353" s="436">
        <v>0</v>
      </c>
      <c r="GD353" s="365">
        <v>0</v>
      </c>
    </row>
    <row r="354" spans="1:186" ht="15" x14ac:dyDescent="0.25">
      <c r="A354" s="357">
        <v>112</v>
      </c>
      <c r="B354" s="357">
        <v>100</v>
      </c>
      <c r="C354" s="357" t="s">
        <v>1264</v>
      </c>
      <c r="D354" s="2">
        <v>99712</v>
      </c>
      <c r="E354" s="268" t="s">
        <v>1527</v>
      </c>
      <c r="F354" s="358" t="s">
        <v>985</v>
      </c>
      <c r="G354" s="49">
        <v>550</v>
      </c>
      <c r="H354" s="49">
        <v>224</v>
      </c>
      <c r="I354" s="49">
        <v>206</v>
      </c>
      <c r="J354" s="49">
        <v>18</v>
      </c>
      <c r="K354" s="49">
        <v>0</v>
      </c>
      <c r="L354" s="49">
        <v>133</v>
      </c>
      <c r="M354" s="49">
        <v>133</v>
      </c>
      <c r="N354" s="49">
        <v>1</v>
      </c>
      <c r="O354" s="49">
        <v>0</v>
      </c>
      <c r="P354" s="49">
        <v>0</v>
      </c>
      <c r="Q354" s="49">
        <v>134</v>
      </c>
      <c r="R354" s="49">
        <v>0</v>
      </c>
      <c r="S354" s="49">
        <v>2457.1729323308273</v>
      </c>
      <c r="T354" s="49">
        <v>2457.1729323308273</v>
      </c>
      <c r="U354" s="49">
        <v>1297</v>
      </c>
      <c r="V354" s="49">
        <v>0</v>
      </c>
      <c r="W354" s="49">
        <v>0</v>
      </c>
      <c r="X354" s="49">
        <v>2448.5149253731342</v>
      </c>
      <c r="Y354" s="434">
        <v>326804</v>
      </c>
      <c r="Z354" s="434">
        <v>1297</v>
      </c>
      <c r="AA354" s="49">
        <v>0</v>
      </c>
      <c r="AB354" s="49">
        <v>224</v>
      </c>
      <c r="AC354" s="49">
        <v>0</v>
      </c>
      <c r="AD354" s="285">
        <v>1</v>
      </c>
      <c r="AE354" s="285">
        <v>0</v>
      </c>
      <c r="AF354" s="359">
        <v>225</v>
      </c>
      <c r="AG354" s="360">
        <v>0</v>
      </c>
      <c r="AH354" s="360">
        <v>206</v>
      </c>
      <c r="AI354" s="361">
        <v>206</v>
      </c>
      <c r="AJ354" s="360">
        <v>0</v>
      </c>
      <c r="AK354" s="360">
        <v>0</v>
      </c>
      <c r="AL354" s="360">
        <v>203.64159091264537</v>
      </c>
      <c r="AM354" s="360">
        <v>203.64159091264537</v>
      </c>
      <c r="AN354" s="360">
        <v>0</v>
      </c>
      <c r="AO354" s="360">
        <v>0</v>
      </c>
      <c r="AP354" s="360">
        <v>187.96554673990931</v>
      </c>
      <c r="AQ354" s="360">
        <v>187.96554673990931</v>
      </c>
      <c r="AR354" s="360">
        <v>0</v>
      </c>
      <c r="AS354" s="360">
        <v>0.92984135081383867</v>
      </c>
      <c r="AT354" s="360">
        <v>0</v>
      </c>
      <c r="AU354" s="360">
        <v>185.13347120282683</v>
      </c>
      <c r="AV354" s="360">
        <v>194.16713060382821</v>
      </c>
      <c r="AW354" s="360">
        <v>203.64159091264537</v>
      </c>
      <c r="AX354" s="360">
        <v>213.57836118022951</v>
      </c>
      <c r="AY354" s="360">
        <v>224</v>
      </c>
      <c r="AZ354" s="360">
        <v>171.50993573414092</v>
      </c>
      <c r="BA354" s="360">
        <v>179.54932147350073</v>
      </c>
      <c r="BB354" s="360">
        <v>187.96554673990931</v>
      </c>
      <c r="BC354" s="360">
        <v>196.77627557310186</v>
      </c>
      <c r="BD354" s="360">
        <v>206</v>
      </c>
      <c r="BE354" s="360">
        <v>0.86460493768330426</v>
      </c>
      <c r="BF354" s="360">
        <v>0.89663003695825327</v>
      </c>
      <c r="BG354" s="360">
        <v>0.92984135081383867</v>
      </c>
      <c r="BH354" s="360">
        <v>0.96428281681975381</v>
      </c>
      <c r="BI354" s="360">
        <v>1</v>
      </c>
      <c r="BJ354" s="362">
        <v>227.06167553881448</v>
      </c>
      <c r="BK354" s="362">
        <v>230.16519865399042</v>
      </c>
      <c r="BL354" s="362">
        <v>233.31114132633547</v>
      </c>
      <c r="BM354" s="363">
        <v>231.77722293625379</v>
      </c>
      <c r="BN354" s="363">
        <v>230.25338938658757</v>
      </c>
      <c r="BO354" s="363">
        <v>229.51811578605717</v>
      </c>
      <c r="BP354" s="363">
        <v>228.78519015212598</v>
      </c>
      <c r="BQ354" s="363">
        <v>228.05460498697664</v>
      </c>
      <c r="BR354" s="363">
        <v>227.32635281673481</v>
      </c>
      <c r="BS354" s="363">
        <v>226.60042619139261</v>
      </c>
      <c r="BT354" s="363">
        <v>228.2765822545274</v>
      </c>
      <c r="BU354" s="363">
        <v>229.96513679014168</v>
      </c>
      <c r="BV354" s="363">
        <v>231.66618150933763</v>
      </c>
      <c r="BW354" s="363">
        <v>233.3798088016014</v>
      </c>
      <c r="BX354" s="363">
        <v>235.10611173982107</v>
      </c>
      <c r="BY354" s="435">
        <v>236.05378142496431</v>
      </c>
      <c r="BZ354" s="435">
        <v>237.00145111010755</v>
      </c>
      <c r="CA354" s="435">
        <v>237.94912079525076</v>
      </c>
      <c r="CB354" s="435">
        <v>238.896790480394</v>
      </c>
      <c r="CC354" s="363">
        <v>239.84446016553724</v>
      </c>
      <c r="CD354" s="435">
        <v>240.62126920794037</v>
      </c>
      <c r="CE354" s="435">
        <v>241.3980782503435</v>
      </c>
      <c r="CF354" s="435">
        <v>242.17488729274663</v>
      </c>
      <c r="CG354" s="435">
        <v>242.95169633514976</v>
      </c>
      <c r="CH354" s="363">
        <v>243.72850537755289</v>
      </c>
      <c r="CI354" s="362">
        <v>208.81564804015974</v>
      </c>
      <c r="CJ354" s="362">
        <v>211.66978090500905</v>
      </c>
      <c r="CK354" s="362">
        <v>214.56292461261211</v>
      </c>
      <c r="CL354" s="363">
        <v>213.15226752173342</v>
      </c>
      <c r="CM354" s="363">
        <v>211.75088488230824</v>
      </c>
      <c r="CN354" s="363">
        <v>211.07469576753473</v>
      </c>
      <c r="CO354" s="363">
        <v>210.400665943473</v>
      </c>
      <c r="CP354" s="363">
        <v>209.72878851480888</v>
      </c>
      <c r="CQ354" s="363">
        <v>209.0590566082472</v>
      </c>
      <c r="CR354" s="363">
        <v>208.39146337244142</v>
      </c>
      <c r="CS354" s="363">
        <v>209.93292832336004</v>
      </c>
      <c r="CT354" s="363">
        <v>211.48579544093391</v>
      </c>
      <c r="CU354" s="363">
        <v>213.05014906662302</v>
      </c>
      <c r="CV354" s="363">
        <v>214.62607416575847</v>
      </c>
      <c r="CW354" s="363">
        <v>216.21365633215689</v>
      </c>
      <c r="CX354" s="435">
        <v>217.0851739890297</v>
      </c>
      <c r="CY354" s="435">
        <v>217.95669164590248</v>
      </c>
      <c r="CZ354" s="435">
        <v>218.82820930277529</v>
      </c>
      <c r="DA354" s="435">
        <v>219.69972695964807</v>
      </c>
      <c r="DB354" s="363">
        <v>220.57124461652089</v>
      </c>
      <c r="DC354" s="435">
        <v>221.28563150373091</v>
      </c>
      <c r="DD354" s="435">
        <v>222.00001839094094</v>
      </c>
      <c r="DE354" s="435">
        <v>222.71440527815093</v>
      </c>
      <c r="DF354" s="435">
        <v>223.42879216536096</v>
      </c>
      <c r="DG354" s="363">
        <v>224.14317905257099</v>
      </c>
      <c r="DH354" s="362">
        <v>1.0136681943697075</v>
      </c>
      <c r="DI354" s="362">
        <v>1.0275232082767429</v>
      </c>
      <c r="DJ354" s="362">
        <v>1.0415675952068548</v>
      </c>
      <c r="DK354" s="363">
        <v>1.034719745251133</v>
      </c>
      <c r="DL354" s="363">
        <v>1.0279169169044089</v>
      </c>
      <c r="DM354" s="363">
        <v>1.0246344454734695</v>
      </c>
      <c r="DN354" s="363">
        <v>1.0213624560362766</v>
      </c>
      <c r="DO354" s="363">
        <v>1.0181009151204314</v>
      </c>
      <c r="DP354" s="363">
        <v>1.0148497893604234</v>
      </c>
      <c r="DQ354" s="363">
        <v>1.0116090454972884</v>
      </c>
      <c r="DR354" s="363">
        <v>1.0190918850648545</v>
      </c>
      <c r="DS354" s="363">
        <v>1.0266300749559898</v>
      </c>
      <c r="DT354" s="363">
        <v>1.0342240245952572</v>
      </c>
      <c r="DU354" s="363">
        <v>1.0418741464357206</v>
      </c>
      <c r="DV354" s="363">
        <v>1.049580855981344</v>
      </c>
      <c r="DW354" s="435">
        <v>1.0538115242185906</v>
      </c>
      <c r="DX354" s="435">
        <v>1.0580421924558372</v>
      </c>
      <c r="DY354" s="435">
        <v>1.0622728606930838</v>
      </c>
      <c r="DZ354" s="435">
        <v>1.0665035289303304</v>
      </c>
      <c r="EA354" s="363">
        <v>1.070734197167577</v>
      </c>
      <c r="EB354" s="435">
        <v>1.0742020946783053</v>
      </c>
      <c r="EC354" s="435">
        <v>1.0776699921890336</v>
      </c>
      <c r="ED354" s="435">
        <v>1.0811378896997617</v>
      </c>
      <c r="EE354" s="435">
        <v>1.0846057872104899</v>
      </c>
      <c r="EF354" s="363">
        <v>1.0880736847212182</v>
      </c>
      <c r="EG354" s="364">
        <v>0</v>
      </c>
      <c r="EH354" s="364">
        <v>0</v>
      </c>
      <c r="EI354" s="364">
        <v>0</v>
      </c>
      <c r="EJ354" s="365">
        <v>0</v>
      </c>
      <c r="EK354" s="365">
        <v>0</v>
      </c>
      <c r="EL354" s="365">
        <v>0</v>
      </c>
      <c r="EM354" s="365">
        <v>0</v>
      </c>
      <c r="EN354" s="365">
        <v>0</v>
      </c>
      <c r="EO354" s="365">
        <v>0</v>
      </c>
      <c r="EP354" s="365">
        <v>0</v>
      </c>
      <c r="EQ354" s="365">
        <v>0</v>
      </c>
      <c r="ER354" s="365">
        <v>0</v>
      </c>
      <c r="ES354" s="365">
        <v>0</v>
      </c>
      <c r="ET354" s="365">
        <v>0</v>
      </c>
      <c r="EU354" s="365">
        <v>0</v>
      </c>
      <c r="EV354" s="436">
        <v>0</v>
      </c>
      <c r="EW354" s="436">
        <v>0</v>
      </c>
      <c r="EX354" s="436">
        <v>0</v>
      </c>
      <c r="EY354" s="436">
        <v>0</v>
      </c>
      <c r="EZ354" s="365">
        <v>0</v>
      </c>
      <c r="FA354" s="436">
        <v>0</v>
      </c>
      <c r="FB354" s="436">
        <v>0</v>
      </c>
      <c r="FC354" s="436">
        <v>0</v>
      </c>
      <c r="FD354" s="436">
        <v>0</v>
      </c>
      <c r="FE354" s="365">
        <v>0</v>
      </c>
      <c r="FF354" s="364">
        <v>0</v>
      </c>
      <c r="FG354" s="364">
        <v>0</v>
      </c>
      <c r="FH354" s="364">
        <v>0</v>
      </c>
      <c r="FI354" s="365">
        <v>0</v>
      </c>
      <c r="FJ354" s="365">
        <v>0</v>
      </c>
      <c r="FK354" s="365">
        <v>0</v>
      </c>
      <c r="FL354" s="365">
        <v>0</v>
      </c>
      <c r="FM354" s="365">
        <v>0</v>
      </c>
      <c r="FN354" s="365">
        <v>0</v>
      </c>
      <c r="FO354" s="365">
        <v>0</v>
      </c>
      <c r="FP354" s="365">
        <v>0</v>
      </c>
      <c r="FQ354" s="365">
        <v>0</v>
      </c>
      <c r="FR354" s="365">
        <v>0</v>
      </c>
      <c r="FS354" s="365">
        <v>0</v>
      </c>
      <c r="FT354" s="365">
        <v>0</v>
      </c>
      <c r="FU354" s="436">
        <v>0</v>
      </c>
      <c r="FV354" s="436">
        <v>0</v>
      </c>
      <c r="FW354" s="436">
        <v>0</v>
      </c>
      <c r="FX354" s="436">
        <v>0</v>
      </c>
      <c r="FY354" s="365">
        <v>0</v>
      </c>
      <c r="FZ354" s="436">
        <v>0</v>
      </c>
      <c r="GA354" s="436">
        <v>0</v>
      </c>
      <c r="GB354" s="436">
        <v>0</v>
      </c>
      <c r="GC354" s="436">
        <v>0</v>
      </c>
      <c r="GD354" s="365">
        <v>0</v>
      </c>
    </row>
    <row r="355" spans="1:186" ht="15" x14ac:dyDescent="0.25">
      <c r="A355" s="357">
        <v>113</v>
      </c>
      <c r="B355" s="357">
        <v>100</v>
      </c>
      <c r="C355" s="357" t="s">
        <v>1265</v>
      </c>
      <c r="D355" s="2">
        <v>99712</v>
      </c>
      <c r="E355" s="268" t="s">
        <v>1527</v>
      </c>
      <c r="F355" s="358" t="s">
        <v>985</v>
      </c>
      <c r="G355" s="49">
        <v>168</v>
      </c>
      <c r="H355" s="49">
        <v>76</v>
      </c>
      <c r="I355" s="49">
        <v>70</v>
      </c>
      <c r="J355" s="49">
        <v>6</v>
      </c>
      <c r="K355" s="49">
        <v>0</v>
      </c>
      <c r="L355" s="49">
        <v>81</v>
      </c>
      <c r="M355" s="49">
        <v>81</v>
      </c>
      <c r="N355" s="49">
        <v>0</v>
      </c>
      <c r="O355" s="49">
        <v>0</v>
      </c>
      <c r="P355" s="49">
        <v>0</v>
      </c>
      <c r="Q355" s="49">
        <v>81</v>
      </c>
      <c r="R355" s="49">
        <v>0</v>
      </c>
      <c r="S355" s="49">
        <v>1491.679012345679</v>
      </c>
      <c r="T355" s="49">
        <v>1491.679012345679</v>
      </c>
      <c r="U355" s="49">
        <v>0</v>
      </c>
      <c r="V355" s="49">
        <v>0</v>
      </c>
      <c r="W355" s="49">
        <v>0</v>
      </c>
      <c r="X355" s="49">
        <v>1491.679012345679</v>
      </c>
      <c r="Y355" s="434">
        <v>120826</v>
      </c>
      <c r="Z355" s="434">
        <v>0</v>
      </c>
      <c r="AA355" s="49">
        <v>0</v>
      </c>
      <c r="AB355" s="49">
        <v>76</v>
      </c>
      <c r="AC355" s="49">
        <v>0</v>
      </c>
      <c r="AD355" s="285">
        <v>0</v>
      </c>
      <c r="AE355" s="285">
        <v>0</v>
      </c>
      <c r="AF355" s="359">
        <v>76</v>
      </c>
      <c r="AG355" s="360">
        <v>0</v>
      </c>
      <c r="AH355" s="360">
        <v>70</v>
      </c>
      <c r="AI355" s="361">
        <v>70</v>
      </c>
      <c r="AJ355" s="360">
        <v>0</v>
      </c>
      <c r="AK355" s="360">
        <v>0</v>
      </c>
      <c r="AL355" s="360">
        <v>69.092682631076102</v>
      </c>
      <c r="AM355" s="360">
        <v>69.092682631076102</v>
      </c>
      <c r="AN355" s="360">
        <v>0</v>
      </c>
      <c r="AO355" s="360">
        <v>0</v>
      </c>
      <c r="AP355" s="360">
        <v>63.871787727153645</v>
      </c>
      <c r="AQ355" s="360">
        <v>63.871787727153645</v>
      </c>
      <c r="AR355" s="360">
        <v>0</v>
      </c>
      <c r="AS355" s="360">
        <v>0</v>
      </c>
      <c r="AT355" s="360">
        <v>0</v>
      </c>
      <c r="AU355" s="360">
        <v>62.813142015244814</v>
      </c>
      <c r="AV355" s="360">
        <v>65.878133597727427</v>
      </c>
      <c r="AW355" s="360">
        <v>69.092682631076102</v>
      </c>
      <c r="AX355" s="360">
        <v>72.464086829006433</v>
      </c>
      <c r="AY355" s="360">
        <v>76</v>
      </c>
      <c r="AZ355" s="360">
        <v>58.280075249465362</v>
      </c>
      <c r="BA355" s="360">
        <v>61.011905355073061</v>
      </c>
      <c r="BB355" s="360">
        <v>63.871787727153645</v>
      </c>
      <c r="BC355" s="360">
        <v>66.865724709306448</v>
      </c>
      <c r="BD355" s="360">
        <v>70</v>
      </c>
      <c r="BE355" s="360">
        <v>0</v>
      </c>
      <c r="BF355" s="360">
        <v>0</v>
      </c>
      <c r="BG355" s="360">
        <v>0</v>
      </c>
      <c r="BH355" s="360">
        <v>0</v>
      </c>
      <c r="BI355" s="360">
        <v>0</v>
      </c>
      <c r="BJ355" s="362">
        <v>76.719666597861675</v>
      </c>
      <c r="BK355" s="362">
        <v>77.446147932724372</v>
      </c>
      <c r="BL355" s="362">
        <v>78.179508535359062</v>
      </c>
      <c r="BM355" s="363">
        <v>77.665512567621718</v>
      </c>
      <c r="BN355" s="363">
        <v>77.154895897858978</v>
      </c>
      <c r="BO355" s="363">
        <v>76.908515341826771</v>
      </c>
      <c r="BP355" s="363">
        <v>76.662921558658212</v>
      </c>
      <c r="BQ355" s="363">
        <v>76.418112035932907</v>
      </c>
      <c r="BR355" s="363">
        <v>76.174084269253385</v>
      </c>
      <c r="BS355" s="363">
        <v>75.930835762219573</v>
      </c>
      <c r="BT355" s="363">
        <v>76.492493711769228</v>
      </c>
      <c r="BU355" s="363">
        <v>77.058306227103998</v>
      </c>
      <c r="BV355" s="363">
        <v>77.628304039413337</v>
      </c>
      <c r="BW355" s="363">
        <v>78.202518107204355</v>
      </c>
      <c r="BX355" s="363">
        <v>78.780979617983149</v>
      </c>
      <c r="BY355" s="435">
        <v>79.098531320903021</v>
      </c>
      <c r="BZ355" s="435">
        <v>79.416083023822893</v>
      </c>
      <c r="CA355" s="435">
        <v>79.733634726742778</v>
      </c>
      <c r="CB355" s="435">
        <v>80.05118642966265</v>
      </c>
      <c r="CC355" s="363">
        <v>80.368738132582521</v>
      </c>
      <c r="CD355" s="435">
        <v>80.629036671330638</v>
      </c>
      <c r="CE355" s="435">
        <v>80.889335210078741</v>
      </c>
      <c r="CF355" s="435">
        <v>81.149633748826858</v>
      </c>
      <c r="CG355" s="435">
        <v>81.409932287574961</v>
      </c>
      <c r="CH355" s="363">
        <v>81.670230826323078</v>
      </c>
      <c r="CI355" s="362">
        <v>70.662850813819972</v>
      </c>
      <c r="CJ355" s="362">
        <v>71.331978359088239</v>
      </c>
      <c r="CK355" s="362">
        <v>72.007442072041243</v>
      </c>
      <c r="CL355" s="363">
        <v>71.534024733335798</v>
      </c>
      <c r="CM355" s="363">
        <v>71.063719905922753</v>
      </c>
      <c r="CN355" s="363">
        <v>70.8367904464194</v>
      </c>
      <c r="CO355" s="363">
        <v>70.610585646132577</v>
      </c>
      <c r="CP355" s="363">
        <v>70.385103190990833</v>
      </c>
      <c r="CQ355" s="363">
        <v>70.160340774312331</v>
      </c>
      <c r="CR355" s="363">
        <v>69.936296096781192</v>
      </c>
      <c r="CS355" s="363">
        <v>70.453612629261144</v>
      </c>
      <c r="CT355" s="363">
        <v>70.974755735490518</v>
      </c>
      <c r="CU355" s="363">
        <v>71.499753720512288</v>
      </c>
      <c r="CV355" s="363">
        <v>72.02863509874085</v>
      </c>
      <c r="CW355" s="363">
        <v>72.561428595510804</v>
      </c>
      <c r="CX355" s="435">
        <v>72.853910427147525</v>
      </c>
      <c r="CY355" s="435">
        <v>73.146392258784246</v>
      </c>
      <c r="CZ355" s="435">
        <v>73.438874090420981</v>
      </c>
      <c r="DA355" s="435">
        <v>73.731355922057702</v>
      </c>
      <c r="DB355" s="363">
        <v>74.023837753694423</v>
      </c>
      <c r="DC355" s="435">
        <v>74.263586407804524</v>
      </c>
      <c r="DD355" s="435">
        <v>74.503335061914626</v>
      </c>
      <c r="DE355" s="435">
        <v>74.743083716024728</v>
      </c>
      <c r="DF355" s="435">
        <v>74.98283237013483</v>
      </c>
      <c r="DG355" s="363">
        <v>75.222581024244931</v>
      </c>
      <c r="DH355" s="362">
        <v>0</v>
      </c>
      <c r="DI355" s="362">
        <v>0</v>
      </c>
      <c r="DJ355" s="362">
        <v>0</v>
      </c>
      <c r="DK355" s="363">
        <v>0</v>
      </c>
      <c r="DL355" s="363">
        <v>0</v>
      </c>
      <c r="DM355" s="363">
        <v>0</v>
      </c>
      <c r="DN355" s="363">
        <v>0</v>
      </c>
      <c r="DO355" s="363">
        <v>0</v>
      </c>
      <c r="DP355" s="363">
        <v>0</v>
      </c>
      <c r="DQ355" s="363">
        <v>0</v>
      </c>
      <c r="DR355" s="363">
        <v>0</v>
      </c>
      <c r="DS355" s="363">
        <v>0</v>
      </c>
      <c r="DT355" s="363">
        <v>0</v>
      </c>
      <c r="DU355" s="363">
        <v>0</v>
      </c>
      <c r="DV355" s="363">
        <v>0</v>
      </c>
      <c r="DW355" s="435">
        <v>0</v>
      </c>
      <c r="DX355" s="435">
        <v>0</v>
      </c>
      <c r="DY355" s="435">
        <v>0</v>
      </c>
      <c r="DZ355" s="435">
        <v>0</v>
      </c>
      <c r="EA355" s="363">
        <v>0</v>
      </c>
      <c r="EB355" s="435">
        <v>0</v>
      </c>
      <c r="EC355" s="435">
        <v>0</v>
      </c>
      <c r="ED355" s="435">
        <v>0</v>
      </c>
      <c r="EE355" s="435">
        <v>0</v>
      </c>
      <c r="EF355" s="363">
        <v>0</v>
      </c>
      <c r="EG355" s="364">
        <v>0</v>
      </c>
      <c r="EH355" s="364">
        <v>0</v>
      </c>
      <c r="EI355" s="364">
        <v>0</v>
      </c>
      <c r="EJ355" s="365">
        <v>0</v>
      </c>
      <c r="EK355" s="365">
        <v>0</v>
      </c>
      <c r="EL355" s="365">
        <v>0</v>
      </c>
      <c r="EM355" s="365">
        <v>0</v>
      </c>
      <c r="EN355" s="365">
        <v>0</v>
      </c>
      <c r="EO355" s="365">
        <v>0</v>
      </c>
      <c r="EP355" s="365">
        <v>0</v>
      </c>
      <c r="EQ355" s="365">
        <v>0</v>
      </c>
      <c r="ER355" s="365">
        <v>0</v>
      </c>
      <c r="ES355" s="365">
        <v>0</v>
      </c>
      <c r="ET355" s="365">
        <v>0</v>
      </c>
      <c r="EU355" s="365">
        <v>0</v>
      </c>
      <c r="EV355" s="436">
        <v>0</v>
      </c>
      <c r="EW355" s="436">
        <v>0</v>
      </c>
      <c r="EX355" s="436">
        <v>0</v>
      </c>
      <c r="EY355" s="436">
        <v>0</v>
      </c>
      <c r="EZ355" s="365">
        <v>0</v>
      </c>
      <c r="FA355" s="436">
        <v>0</v>
      </c>
      <c r="FB355" s="436">
        <v>0</v>
      </c>
      <c r="FC355" s="436">
        <v>0</v>
      </c>
      <c r="FD355" s="436">
        <v>0</v>
      </c>
      <c r="FE355" s="365">
        <v>0</v>
      </c>
      <c r="FF355" s="364">
        <v>0</v>
      </c>
      <c r="FG355" s="364">
        <v>0</v>
      </c>
      <c r="FH355" s="364">
        <v>0</v>
      </c>
      <c r="FI355" s="365">
        <v>0</v>
      </c>
      <c r="FJ355" s="365">
        <v>0</v>
      </c>
      <c r="FK355" s="365">
        <v>0</v>
      </c>
      <c r="FL355" s="365">
        <v>0</v>
      </c>
      <c r="FM355" s="365">
        <v>0</v>
      </c>
      <c r="FN355" s="365">
        <v>0</v>
      </c>
      <c r="FO355" s="365">
        <v>0</v>
      </c>
      <c r="FP355" s="365">
        <v>0</v>
      </c>
      <c r="FQ355" s="365">
        <v>0</v>
      </c>
      <c r="FR355" s="365">
        <v>0</v>
      </c>
      <c r="FS355" s="365">
        <v>0</v>
      </c>
      <c r="FT355" s="365">
        <v>0</v>
      </c>
      <c r="FU355" s="436">
        <v>0</v>
      </c>
      <c r="FV355" s="436">
        <v>0</v>
      </c>
      <c r="FW355" s="436">
        <v>0</v>
      </c>
      <c r="FX355" s="436">
        <v>0</v>
      </c>
      <c r="FY355" s="365">
        <v>0</v>
      </c>
      <c r="FZ355" s="436">
        <v>0</v>
      </c>
      <c r="GA355" s="436">
        <v>0</v>
      </c>
      <c r="GB355" s="436">
        <v>0</v>
      </c>
      <c r="GC355" s="436">
        <v>0</v>
      </c>
      <c r="GD355" s="365">
        <v>0</v>
      </c>
    </row>
    <row r="356" spans="1:186" ht="15" x14ac:dyDescent="0.25">
      <c r="A356" s="357">
        <v>114</v>
      </c>
      <c r="B356" s="357">
        <v>100</v>
      </c>
      <c r="C356" s="357" t="s">
        <v>1266</v>
      </c>
      <c r="D356" s="2">
        <v>99712</v>
      </c>
      <c r="E356" s="268" t="s">
        <v>1527</v>
      </c>
      <c r="F356" s="358" t="s">
        <v>985</v>
      </c>
      <c r="G356" s="49">
        <v>92</v>
      </c>
      <c r="H356" s="49">
        <v>54</v>
      </c>
      <c r="I356" s="49">
        <v>45</v>
      </c>
      <c r="J356" s="49">
        <v>9</v>
      </c>
      <c r="K356" s="49">
        <v>0</v>
      </c>
      <c r="L356" s="49">
        <v>53</v>
      </c>
      <c r="M356" s="49">
        <v>53</v>
      </c>
      <c r="N356" s="49">
        <v>0</v>
      </c>
      <c r="O356" s="49">
        <v>0</v>
      </c>
      <c r="P356" s="49">
        <v>0</v>
      </c>
      <c r="Q356" s="49">
        <v>53</v>
      </c>
      <c r="R356" s="49">
        <v>0</v>
      </c>
      <c r="S356" s="49">
        <v>2582.5094339622642</v>
      </c>
      <c r="T356" s="49">
        <v>2582.5094339622642</v>
      </c>
      <c r="U356" s="49">
        <v>0</v>
      </c>
      <c r="V356" s="49">
        <v>0</v>
      </c>
      <c r="W356" s="49">
        <v>0</v>
      </c>
      <c r="X356" s="49">
        <v>2582.5094339622642</v>
      </c>
      <c r="Y356" s="434">
        <v>136873</v>
      </c>
      <c r="Z356" s="434">
        <v>0</v>
      </c>
      <c r="AA356" s="49">
        <v>0</v>
      </c>
      <c r="AB356" s="49">
        <v>54</v>
      </c>
      <c r="AC356" s="49">
        <v>0</v>
      </c>
      <c r="AD356" s="285">
        <v>0</v>
      </c>
      <c r="AE356" s="285">
        <v>0</v>
      </c>
      <c r="AF356" s="359">
        <v>54</v>
      </c>
      <c r="AG356" s="360">
        <v>0</v>
      </c>
      <c r="AH356" s="360">
        <v>45</v>
      </c>
      <c r="AI356" s="361">
        <v>45</v>
      </c>
      <c r="AJ356" s="360">
        <v>0</v>
      </c>
      <c r="AK356" s="360">
        <v>0</v>
      </c>
      <c r="AL356" s="360">
        <v>49.092169237869861</v>
      </c>
      <c r="AM356" s="360">
        <v>49.092169237869861</v>
      </c>
      <c r="AN356" s="360">
        <v>0</v>
      </c>
      <c r="AO356" s="360">
        <v>0</v>
      </c>
      <c r="AP356" s="360">
        <v>41.060434967455919</v>
      </c>
      <c r="AQ356" s="360">
        <v>41.060434967455919</v>
      </c>
      <c r="AR356" s="360">
        <v>0</v>
      </c>
      <c r="AS356" s="360">
        <v>0</v>
      </c>
      <c r="AT356" s="360">
        <v>0</v>
      </c>
      <c r="AU356" s="360">
        <v>44.630390379252894</v>
      </c>
      <c r="AV356" s="360">
        <v>46.808147556280012</v>
      </c>
      <c r="AW356" s="360">
        <v>49.092169237869861</v>
      </c>
      <c r="AX356" s="360">
        <v>51.487640641662466</v>
      </c>
      <c r="AY356" s="360">
        <v>54</v>
      </c>
      <c r="AZ356" s="360">
        <v>37.465762660370586</v>
      </c>
      <c r="BA356" s="360">
        <v>39.221939156832683</v>
      </c>
      <c r="BB356" s="360">
        <v>41.060434967455919</v>
      </c>
      <c r="BC356" s="360">
        <v>42.985108741697005</v>
      </c>
      <c r="BD356" s="360">
        <v>45</v>
      </c>
      <c r="BE356" s="360">
        <v>0</v>
      </c>
      <c r="BF356" s="360">
        <v>0</v>
      </c>
      <c r="BG356" s="360">
        <v>0</v>
      </c>
      <c r="BH356" s="360">
        <v>0</v>
      </c>
      <c r="BI356" s="360">
        <v>0</v>
      </c>
      <c r="BJ356" s="362">
        <v>54.511342056375405</v>
      </c>
      <c r="BK356" s="362">
        <v>55.027526162725216</v>
      </c>
      <c r="BL356" s="362">
        <v>55.548598169860391</v>
      </c>
      <c r="BM356" s="363">
        <v>55.183390508573325</v>
      </c>
      <c r="BN356" s="363">
        <v>54.820583927426121</v>
      </c>
      <c r="BO356" s="363">
        <v>54.645524058666389</v>
      </c>
      <c r="BP356" s="363">
        <v>54.471023212730842</v>
      </c>
      <c r="BQ356" s="363">
        <v>54.297079604478647</v>
      </c>
      <c r="BR356" s="363">
        <v>54.123691454469515</v>
      </c>
      <c r="BS356" s="363">
        <v>53.950856988945496</v>
      </c>
      <c r="BT356" s="363">
        <v>54.349929742572883</v>
      </c>
      <c r="BU356" s="363">
        <v>54.751954424521266</v>
      </c>
      <c r="BV356" s="363">
        <v>55.156952870109478</v>
      </c>
      <c r="BW356" s="363">
        <v>55.564947076171514</v>
      </c>
      <c r="BX356" s="363">
        <v>55.975959202251197</v>
      </c>
      <c r="BY356" s="435">
        <v>56.201588043799525</v>
      </c>
      <c r="BZ356" s="435">
        <v>56.427216885347853</v>
      </c>
      <c r="CA356" s="435">
        <v>56.652845726896189</v>
      </c>
      <c r="CB356" s="435">
        <v>56.878474568444517</v>
      </c>
      <c r="CC356" s="363">
        <v>57.104103409992845</v>
      </c>
      <c r="CD356" s="435">
        <v>57.289052371734925</v>
      </c>
      <c r="CE356" s="435">
        <v>57.474001333477005</v>
      </c>
      <c r="CF356" s="435">
        <v>57.658950295219078</v>
      </c>
      <c r="CG356" s="435">
        <v>57.843899256961159</v>
      </c>
      <c r="CH356" s="363">
        <v>58.028848218703239</v>
      </c>
      <c r="CI356" s="362">
        <v>45.426118380312836</v>
      </c>
      <c r="CJ356" s="362">
        <v>45.85627180227101</v>
      </c>
      <c r="CK356" s="362">
        <v>46.290498474883655</v>
      </c>
      <c r="CL356" s="363">
        <v>45.986158757144437</v>
      </c>
      <c r="CM356" s="363">
        <v>45.683819939521761</v>
      </c>
      <c r="CN356" s="363">
        <v>45.537936715555325</v>
      </c>
      <c r="CO356" s="363">
        <v>45.392519343942368</v>
      </c>
      <c r="CP356" s="363">
        <v>45.247566337065535</v>
      </c>
      <c r="CQ356" s="363">
        <v>45.103076212057928</v>
      </c>
      <c r="CR356" s="363">
        <v>44.95904749078791</v>
      </c>
      <c r="CS356" s="363">
        <v>45.291608118810728</v>
      </c>
      <c r="CT356" s="363">
        <v>45.626628687101054</v>
      </c>
      <c r="CU356" s="363">
        <v>45.964127391757891</v>
      </c>
      <c r="CV356" s="363">
        <v>46.304122563476263</v>
      </c>
      <c r="CW356" s="363">
        <v>46.646632668542658</v>
      </c>
      <c r="CX356" s="435">
        <v>46.834656703166267</v>
      </c>
      <c r="CY356" s="435">
        <v>47.022680737789877</v>
      </c>
      <c r="CZ356" s="435">
        <v>47.210704772413479</v>
      </c>
      <c r="DA356" s="435">
        <v>47.398728807037088</v>
      </c>
      <c r="DB356" s="363">
        <v>47.586752841660697</v>
      </c>
      <c r="DC356" s="435">
        <v>47.740876976445762</v>
      </c>
      <c r="DD356" s="435">
        <v>47.895001111230833</v>
      </c>
      <c r="DE356" s="435">
        <v>48.049125246015898</v>
      </c>
      <c r="DF356" s="435">
        <v>48.203249380800969</v>
      </c>
      <c r="DG356" s="363">
        <v>48.357373515586033</v>
      </c>
      <c r="DH356" s="362">
        <v>0</v>
      </c>
      <c r="DI356" s="362">
        <v>0</v>
      </c>
      <c r="DJ356" s="362">
        <v>0</v>
      </c>
      <c r="DK356" s="363">
        <v>0</v>
      </c>
      <c r="DL356" s="363">
        <v>0</v>
      </c>
      <c r="DM356" s="363">
        <v>0</v>
      </c>
      <c r="DN356" s="363">
        <v>0</v>
      </c>
      <c r="DO356" s="363">
        <v>0</v>
      </c>
      <c r="DP356" s="363">
        <v>0</v>
      </c>
      <c r="DQ356" s="363">
        <v>0</v>
      </c>
      <c r="DR356" s="363">
        <v>0</v>
      </c>
      <c r="DS356" s="363">
        <v>0</v>
      </c>
      <c r="DT356" s="363">
        <v>0</v>
      </c>
      <c r="DU356" s="363">
        <v>0</v>
      </c>
      <c r="DV356" s="363">
        <v>0</v>
      </c>
      <c r="DW356" s="435">
        <v>0</v>
      </c>
      <c r="DX356" s="435">
        <v>0</v>
      </c>
      <c r="DY356" s="435">
        <v>0</v>
      </c>
      <c r="DZ356" s="435">
        <v>0</v>
      </c>
      <c r="EA356" s="363">
        <v>0</v>
      </c>
      <c r="EB356" s="435">
        <v>0</v>
      </c>
      <c r="EC356" s="435">
        <v>0</v>
      </c>
      <c r="ED356" s="435">
        <v>0</v>
      </c>
      <c r="EE356" s="435">
        <v>0</v>
      </c>
      <c r="EF356" s="363">
        <v>0</v>
      </c>
      <c r="EG356" s="364">
        <v>0</v>
      </c>
      <c r="EH356" s="364">
        <v>0</v>
      </c>
      <c r="EI356" s="364">
        <v>0</v>
      </c>
      <c r="EJ356" s="365">
        <v>0</v>
      </c>
      <c r="EK356" s="365">
        <v>0</v>
      </c>
      <c r="EL356" s="365">
        <v>0</v>
      </c>
      <c r="EM356" s="365">
        <v>0</v>
      </c>
      <c r="EN356" s="365">
        <v>0</v>
      </c>
      <c r="EO356" s="365">
        <v>0</v>
      </c>
      <c r="EP356" s="365">
        <v>0</v>
      </c>
      <c r="EQ356" s="365">
        <v>0</v>
      </c>
      <c r="ER356" s="365">
        <v>0</v>
      </c>
      <c r="ES356" s="365">
        <v>0</v>
      </c>
      <c r="ET356" s="365">
        <v>0</v>
      </c>
      <c r="EU356" s="365">
        <v>0</v>
      </c>
      <c r="EV356" s="436">
        <v>0</v>
      </c>
      <c r="EW356" s="436">
        <v>0</v>
      </c>
      <c r="EX356" s="436">
        <v>0</v>
      </c>
      <c r="EY356" s="436">
        <v>0</v>
      </c>
      <c r="EZ356" s="365">
        <v>0</v>
      </c>
      <c r="FA356" s="436">
        <v>0</v>
      </c>
      <c r="FB356" s="436">
        <v>0</v>
      </c>
      <c r="FC356" s="436">
        <v>0</v>
      </c>
      <c r="FD356" s="436">
        <v>0</v>
      </c>
      <c r="FE356" s="365">
        <v>0</v>
      </c>
      <c r="FF356" s="364">
        <v>0</v>
      </c>
      <c r="FG356" s="364">
        <v>0</v>
      </c>
      <c r="FH356" s="364">
        <v>0</v>
      </c>
      <c r="FI356" s="365">
        <v>0</v>
      </c>
      <c r="FJ356" s="365">
        <v>0</v>
      </c>
      <c r="FK356" s="365">
        <v>0</v>
      </c>
      <c r="FL356" s="365">
        <v>0</v>
      </c>
      <c r="FM356" s="365">
        <v>0</v>
      </c>
      <c r="FN356" s="365">
        <v>0</v>
      </c>
      <c r="FO356" s="365">
        <v>0</v>
      </c>
      <c r="FP356" s="365">
        <v>0</v>
      </c>
      <c r="FQ356" s="365">
        <v>0</v>
      </c>
      <c r="FR356" s="365">
        <v>0</v>
      </c>
      <c r="FS356" s="365">
        <v>0</v>
      </c>
      <c r="FT356" s="365">
        <v>0</v>
      </c>
      <c r="FU356" s="436">
        <v>0</v>
      </c>
      <c r="FV356" s="436">
        <v>0</v>
      </c>
      <c r="FW356" s="436">
        <v>0</v>
      </c>
      <c r="FX356" s="436">
        <v>0</v>
      </c>
      <c r="FY356" s="365">
        <v>0</v>
      </c>
      <c r="FZ356" s="436">
        <v>0</v>
      </c>
      <c r="GA356" s="436">
        <v>0</v>
      </c>
      <c r="GB356" s="436">
        <v>0</v>
      </c>
      <c r="GC356" s="436">
        <v>0</v>
      </c>
      <c r="GD356" s="365">
        <v>0</v>
      </c>
    </row>
    <row r="357" spans="1:186" ht="15" x14ac:dyDescent="0.25">
      <c r="A357" s="357">
        <v>115</v>
      </c>
      <c r="B357" s="357">
        <v>100</v>
      </c>
      <c r="C357" s="357" t="s">
        <v>1267</v>
      </c>
      <c r="D357" s="2">
        <v>99712</v>
      </c>
      <c r="E357" s="268" t="s">
        <v>1527</v>
      </c>
      <c r="F357" s="358" t="s">
        <v>985</v>
      </c>
      <c r="G357" s="49">
        <v>639</v>
      </c>
      <c r="H357" s="49">
        <v>257</v>
      </c>
      <c r="I357" s="49">
        <v>242</v>
      </c>
      <c r="J357" s="49">
        <v>15</v>
      </c>
      <c r="K357" s="49">
        <v>0</v>
      </c>
      <c r="L357" s="49">
        <v>90</v>
      </c>
      <c r="M357" s="49">
        <v>90</v>
      </c>
      <c r="N357" s="49">
        <v>0</v>
      </c>
      <c r="O357" s="49">
        <v>0</v>
      </c>
      <c r="P357" s="49">
        <v>0</v>
      </c>
      <c r="Q357" s="49">
        <v>90</v>
      </c>
      <c r="R357" s="49">
        <v>0</v>
      </c>
      <c r="S357" s="49">
        <v>2400.2666666666669</v>
      </c>
      <c r="T357" s="49">
        <v>2400.2666666666669</v>
      </c>
      <c r="U357" s="49">
        <v>0</v>
      </c>
      <c r="V357" s="49">
        <v>0</v>
      </c>
      <c r="W357" s="49">
        <v>0</v>
      </c>
      <c r="X357" s="49">
        <v>2400.2666666666669</v>
      </c>
      <c r="Y357" s="434">
        <v>216024.00000000003</v>
      </c>
      <c r="Z357" s="434">
        <v>0</v>
      </c>
      <c r="AA357" s="49">
        <v>0</v>
      </c>
      <c r="AB357" s="49">
        <v>257</v>
      </c>
      <c r="AC357" s="49">
        <v>0</v>
      </c>
      <c r="AD357" s="285">
        <v>0</v>
      </c>
      <c r="AE357" s="285">
        <v>0</v>
      </c>
      <c r="AF357" s="359">
        <v>257</v>
      </c>
      <c r="AG357" s="360">
        <v>0</v>
      </c>
      <c r="AH357" s="360">
        <v>242</v>
      </c>
      <c r="AI357" s="361">
        <v>242</v>
      </c>
      <c r="AJ357" s="360">
        <v>0</v>
      </c>
      <c r="AK357" s="360">
        <v>0</v>
      </c>
      <c r="AL357" s="360">
        <v>233.64236100245472</v>
      </c>
      <c r="AM357" s="360">
        <v>233.64236100245472</v>
      </c>
      <c r="AN357" s="360">
        <v>0</v>
      </c>
      <c r="AO357" s="360">
        <v>0</v>
      </c>
      <c r="AP357" s="360">
        <v>220.81389471387405</v>
      </c>
      <c r="AQ357" s="360">
        <v>220.81389471387405</v>
      </c>
      <c r="AR357" s="360">
        <v>0</v>
      </c>
      <c r="AS357" s="360">
        <v>0</v>
      </c>
      <c r="AT357" s="360">
        <v>0</v>
      </c>
      <c r="AU357" s="360">
        <v>212.40759865681468</v>
      </c>
      <c r="AV357" s="360">
        <v>222.77210966599932</v>
      </c>
      <c r="AW357" s="360">
        <v>233.64236100245472</v>
      </c>
      <c r="AX357" s="360">
        <v>245.04303046124545</v>
      </c>
      <c r="AY357" s="360">
        <v>257</v>
      </c>
      <c r="AZ357" s="360">
        <v>201.48254586243738</v>
      </c>
      <c r="BA357" s="360">
        <v>210.92687279896685</v>
      </c>
      <c r="BB357" s="360">
        <v>220.81389471387405</v>
      </c>
      <c r="BC357" s="360">
        <v>231.16436256645946</v>
      </c>
      <c r="BD357" s="360">
        <v>242</v>
      </c>
      <c r="BE357" s="360">
        <v>0</v>
      </c>
      <c r="BF357" s="360">
        <v>0</v>
      </c>
      <c r="BG357" s="360">
        <v>0</v>
      </c>
      <c r="BH357" s="360">
        <v>0</v>
      </c>
      <c r="BI357" s="360">
        <v>0</v>
      </c>
      <c r="BJ357" s="362">
        <v>259.43360941645329</v>
      </c>
      <c r="BK357" s="362">
        <v>261.89026340408111</v>
      </c>
      <c r="BL357" s="362">
        <v>264.37018017878</v>
      </c>
      <c r="BM357" s="363">
        <v>262.63206223524713</v>
      </c>
      <c r="BN357" s="363">
        <v>260.90537165460211</v>
      </c>
      <c r="BO357" s="363">
        <v>260.07221635328261</v>
      </c>
      <c r="BP357" s="363">
        <v>259.24172158651533</v>
      </c>
      <c r="BQ357" s="363">
        <v>258.41387885835206</v>
      </c>
      <c r="BR357" s="363">
        <v>257.58867969997527</v>
      </c>
      <c r="BS357" s="363">
        <v>256.76611566961094</v>
      </c>
      <c r="BT357" s="363">
        <v>258.66540636743019</v>
      </c>
      <c r="BU357" s="363">
        <v>260.57874605744377</v>
      </c>
      <c r="BV357" s="363">
        <v>262.50623865959511</v>
      </c>
      <c r="BW357" s="363">
        <v>264.44798886251999</v>
      </c>
      <c r="BX357" s="363">
        <v>266.40410212923251</v>
      </c>
      <c r="BY357" s="435">
        <v>267.47792828252733</v>
      </c>
      <c r="BZ357" s="435">
        <v>268.55175443582215</v>
      </c>
      <c r="CA357" s="435">
        <v>269.62558058911702</v>
      </c>
      <c r="CB357" s="435">
        <v>270.69940674241184</v>
      </c>
      <c r="CC357" s="363">
        <v>271.77323289570666</v>
      </c>
      <c r="CD357" s="435">
        <v>272.65345295436805</v>
      </c>
      <c r="CE357" s="435">
        <v>273.53367301302944</v>
      </c>
      <c r="CF357" s="435">
        <v>274.41389307169078</v>
      </c>
      <c r="CG357" s="435">
        <v>275.29411313035217</v>
      </c>
      <c r="CH357" s="363">
        <v>276.17433318901357</v>
      </c>
      <c r="CI357" s="362">
        <v>244.29156995634904</v>
      </c>
      <c r="CJ357" s="362">
        <v>246.60483946999076</v>
      </c>
      <c r="CK357" s="362">
        <v>248.94001402048545</v>
      </c>
      <c r="CL357" s="363">
        <v>247.30334264953231</v>
      </c>
      <c r="CM357" s="363">
        <v>245.67743167476149</v>
      </c>
      <c r="CN357" s="363">
        <v>244.89290411476421</v>
      </c>
      <c r="CO357" s="363">
        <v>244.11088180520119</v>
      </c>
      <c r="CP357" s="363">
        <v>243.33135674599689</v>
      </c>
      <c r="CQ357" s="363">
        <v>242.55432096262263</v>
      </c>
      <c r="CR357" s="363">
        <v>241.77976650601499</v>
      </c>
      <c r="CS357" s="363">
        <v>243.56820366115994</v>
      </c>
      <c r="CT357" s="363">
        <v>245.36986982841012</v>
      </c>
      <c r="CU357" s="363">
        <v>247.18486286234247</v>
      </c>
      <c r="CV357" s="363">
        <v>249.01328134136125</v>
      </c>
      <c r="CW357" s="363">
        <v>250.85522457305166</v>
      </c>
      <c r="CX357" s="435">
        <v>251.86637604813862</v>
      </c>
      <c r="CY357" s="435">
        <v>252.87752752322558</v>
      </c>
      <c r="CZ357" s="435">
        <v>253.88867899831251</v>
      </c>
      <c r="DA357" s="435">
        <v>254.89983047339948</v>
      </c>
      <c r="DB357" s="363">
        <v>255.91098194848644</v>
      </c>
      <c r="DC357" s="435">
        <v>256.7398272955528</v>
      </c>
      <c r="DD357" s="435">
        <v>257.56867264261916</v>
      </c>
      <c r="DE357" s="435">
        <v>258.39751798968547</v>
      </c>
      <c r="DF357" s="435">
        <v>259.22636333675183</v>
      </c>
      <c r="DG357" s="363">
        <v>260.05520868381819</v>
      </c>
      <c r="DH357" s="362">
        <v>0</v>
      </c>
      <c r="DI357" s="362">
        <v>0</v>
      </c>
      <c r="DJ357" s="362">
        <v>0</v>
      </c>
      <c r="DK357" s="363">
        <v>0</v>
      </c>
      <c r="DL357" s="363">
        <v>0</v>
      </c>
      <c r="DM357" s="363">
        <v>0</v>
      </c>
      <c r="DN357" s="363">
        <v>0</v>
      </c>
      <c r="DO357" s="363">
        <v>0</v>
      </c>
      <c r="DP357" s="363">
        <v>0</v>
      </c>
      <c r="DQ357" s="363">
        <v>0</v>
      </c>
      <c r="DR357" s="363">
        <v>0</v>
      </c>
      <c r="DS357" s="363">
        <v>0</v>
      </c>
      <c r="DT357" s="363">
        <v>0</v>
      </c>
      <c r="DU357" s="363">
        <v>0</v>
      </c>
      <c r="DV357" s="363">
        <v>0</v>
      </c>
      <c r="DW357" s="435">
        <v>0</v>
      </c>
      <c r="DX357" s="435">
        <v>0</v>
      </c>
      <c r="DY357" s="435">
        <v>0</v>
      </c>
      <c r="DZ357" s="435">
        <v>0</v>
      </c>
      <c r="EA357" s="363">
        <v>0</v>
      </c>
      <c r="EB357" s="435">
        <v>0</v>
      </c>
      <c r="EC357" s="435">
        <v>0</v>
      </c>
      <c r="ED357" s="435">
        <v>0</v>
      </c>
      <c r="EE357" s="435">
        <v>0</v>
      </c>
      <c r="EF357" s="363">
        <v>0</v>
      </c>
      <c r="EG357" s="364">
        <v>0</v>
      </c>
      <c r="EH357" s="364">
        <v>0</v>
      </c>
      <c r="EI357" s="364">
        <v>0</v>
      </c>
      <c r="EJ357" s="365">
        <v>0</v>
      </c>
      <c r="EK357" s="365">
        <v>0</v>
      </c>
      <c r="EL357" s="365">
        <v>0</v>
      </c>
      <c r="EM357" s="365">
        <v>0</v>
      </c>
      <c r="EN357" s="365">
        <v>0</v>
      </c>
      <c r="EO357" s="365">
        <v>0</v>
      </c>
      <c r="EP357" s="365">
        <v>0</v>
      </c>
      <c r="EQ357" s="365">
        <v>0</v>
      </c>
      <c r="ER357" s="365">
        <v>0</v>
      </c>
      <c r="ES357" s="365">
        <v>0</v>
      </c>
      <c r="ET357" s="365">
        <v>0</v>
      </c>
      <c r="EU357" s="365">
        <v>0</v>
      </c>
      <c r="EV357" s="436">
        <v>0</v>
      </c>
      <c r="EW357" s="436">
        <v>0</v>
      </c>
      <c r="EX357" s="436">
        <v>0</v>
      </c>
      <c r="EY357" s="436">
        <v>0</v>
      </c>
      <c r="EZ357" s="365">
        <v>0</v>
      </c>
      <c r="FA357" s="436">
        <v>0</v>
      </c>
      <c r="FB357" s="436">
        <v>0</v>
      </c>
      <c r="FC357" s="436">
        <v>0</v>
      </c>
      <c r="FD357" s="436">
        <v>0</v>
      </c>
      <c r="FE357" s="365">
        <v>0</v>
      </c>
      <c r="FF357" s="364">
        <v>0</v>
      </c>
      <c r="FG357" s="364">
        <v>0</v>
      </c>
      <c r="FH357" s="364">
        <v>0</v>
      </c>
      <c r="FI357" s="365">
        <v>0</v>
      </c>
      <c r="FJ357" s="365">
        <v>0</v>
      </c>
      <c r="FK357" s="365">
        <v>0</v>
      </c>
      <c r="FL357" s="365">
        <v>0</v>
      </c>
      <c r="FM357" s="365">
        <v>0</v>
      </c>
      <c r="FN357" s="365">
        <v>0</v>
      </c>
      <c r="FO357" s="365">
        <v>0</v>
      </c>
      <c r="FP357" s="365">
        <v>0</v>
      </c>
      <c r="FQ357" s="365">
        <v>0</v>
      </c>
      <c r="FR357" s="365">
        <v>0</v>
      </c>
      <c r="FS357" s="365">
        <v>0</v>
      </c>
      <c r="FT357" s="365">
        <v>0</v>
      </c>
      <c r="FU357" s="436">
        <v>0</v>
      </c>
      <c r="FV357" s="436">
        <v>0</v>
      </c>
      <c r="FW357" s="436">
        <v>0</v>
      </c>
      <c r="FX357" s="436">
        <v>0</v>
      </c>
      <c r="FY357" s="365">
        <v>0</v>
      </c>
      <c r="FZ357" s="436">
        <v>0</v>
      </c>
      <c r="GA357" s="436">
        <v>0</v>
      </c>
      <c r="GB357" s="436">
        <v>0</v>
      </c>
      <c r="GC357" s="436">
        <v>0</v>
      </c>
      <c r="GD357" s="365">
        <v>0</v>
      </c>
    </row>
    <row r="358" spans="1:186" ht="15" x14ac:dyDescent="0.25">
      <c r="A358" s="357">
        <v>116</v>
      </c>
      <c r="B358" s="357">
        <v>100</v>
      </c>
      <c r="C358" s="357" t="s">
        <v>1268</v>
      </c>
      <c r="D358" s="2">
        <v>99712</v>
      </c>
      <c r="E358" s="268" t="s">
        <v>1527</v>
      </c>
      <c r="F358" s="358" t="s">
        <v>985</v>
      </c>
      <c r="G358" s="49">
        <v>5</v>
      </c>
      <c r="H358" s="49">
        <v>1</v>
      </c>
      <c r="I358" s="49">
        <v>1</v>
      </c>
      <c r="J358" s="49">
        <v>0</v>
      </c>
      <c r="K358" s="49">
        <v>0</v>
      </c>
      <c r="L358" s="49">
        <v>57</v>
      </c>
      <c r="M358" s="49">
        <v>57</v>
      </c>
      <c r="N358" s="49">
        <v>0</v>
      </c>
      <c r="O358" s="49">
        <v>0</v>
      </c>
      <c r="P358" s="49">
        <v>0</v>
      </c>
      <c r="Q358" s="49">
        <v>57</v>
      </c>
      <c r="R358" s="49">
        <v>0</v>
      </c>
      <c r="S358" s="49">
        <v>2782.9122807017543</v>
      </c>
      <c r="T358" s="49">
        <v>2782.9122807017543</v>
      </c>
      <c r="U358" s="49">
        <v>0</v>
      </c>
      <c r="V358" s="49">
        <v>0</v>
      </c>
      <c r="W358" s="49">
        <v>0</v>
      </c>
      <c r="X358" s="49">
        <v>2782.9122807017543</v>
      </c>
      <c r="Y358" s="434">
        <v>158626</v>
      </c>
      <c r="Z358" s="434">
        <v>0</v>
      </c>
      <c r="AA358" s="49">
        <v>0</v>
      </c>
      <c r="AB358" s="49">
        <v>1</v>
      </c>
      <c r="AC358" s="49">
        <v>0</v>
      </c>
      <c r="AD358" s="285">
        <v>0</v>
      </c>
      <c r="AE358" s="285">
        <v>0</v>
      </c>
      <c r="AF358" s="359">
        <v>1</v>
      </c>
      <c r="AG358" s="360">
        <v>0</v>
      </c>
      <c r="AH358" s="360">
        <v>1</v>
      </c>
      <c r="AI358" s="361">
        <v>1</v>
      </c>
      <c r="AJ358" s="360">
        <v>0</v>
      </c>
      <c r="AK358" s="360">
        <v>0</v>
      </c>
      <c r="AL358" s="360">
        <v>0.90911424514573824</v>
      </c>
      <c r="AM358" s="360">
        <v>0.90911424514573824</v>
      </c>
      <c r="AN358" s="360">
        <v>0</v>
      </c>
      <c r="AO358" s="360">
        <v>0</v>
      </c>
      <c r="AP358" s="360">
        <v>0.91245411038790925</v>
      </c>
      <c r="AQ358" s="360">
        <v>0.91245411038790925</v>
      </c>
      <c r="AR358" s="360">
        <v>0</v>
      </c>
      <c r="AS358" s="360">
        <v>0</v>
      </c>
      <c r="AT358" s="360">
        <v>0</v>
      </c>
      <c r="AU358" s="360">
        <v>0.82648871072690544</v>
      </c>
      <c r="AV358" s="360">
        <v>0.86681754733851879</v>
      </c>
      <c r="AW358" s="360">
        <v>0.90911424514573824</v>
      </c>
      <c r="AX358" s="360">
        <v>0.95347482669745309</v>
      </c>
      <c r="AY358" s="360">
        <v>1</v>
      </c>
      <c r="AZ358" s="360">
        <v>0.83257250356379087</v>
      </c>
      <c r="BA358" s="360">
        <v>0.87159864792961517</v>
      </c>
      <c r="BB358" s="360">
        <v>0.91245411038790925</v>
      </c>
      <c r="BC358" s="360">
        <v>0.9552246387043779</v>
      </c>
      <c r="BD358" s="360">
        <v>1</v>
      </c>
      <c r="BE358" s="360">
        <v>0</v>
      </c>
      <c r="BF358" s="360">
        <v>0</v>
      </c>
      <c r="BG358" s="360">
        <v>0</v>
      </c>
      <c r="BH358" s="360">
        <v>0</v>
      </c>
      <c r="BI358" s="360">
        <v>0</v>
      </c>
      <c r="BJ358" s="362">
        <v>1.0094692973402852</v>
      </c>
      <c r="BK358" s="362">
        <v>1.0190282622726892</v>
      </c>
      <c r="BL358" s="362">
        <v>1.0286777438863035</v>
      </c>
      <c r="BM358" s="363">
        <v>1.0219146390476541</v>
      </c>
      <c r="BN358" s="363">
        <v>1.0151959986560393</v>
      </c>
      <c r="BO358" s="363">
        <v>1.0119541492345627</v>
      </c>
      <c r="BP358" s="363">
        <v>1.0087226520876083</v>
      </c>
      <c r="BQ358" s="363">
        <v>1.0055014741570119</v>
      </c>
      <c r="BR358" s="363">
        <v>1.0022905824901762</v>
      </c>
      <c r="BS358" s="363">
        <v>0.9990899442397313</v>
      </c>
      <c r="BT358" s="363">
        <v>1.0064801804180163</v>
      </c>
      <c r="BU358" s="363">
        <v>1.013925081935579</v>
      </c>
      <c r="BV358" s="363">
        <v>1.0214250531501754</v>
      </c>
      <c r="BW358" s="363">
        <v>1.0289805014105837</v>
      </c>
      <c r="BX358" s="363">
        <v>1.0365918370787257</v>
      </c>
      <c r="BY358" s="435">
        <v>1.0407701489592505</v>
      </c>
      <c r="BZ358" s="435">
        <v>1.044948460839775</v>
      </c>
      <c r="CA358" s="435">
        <v>1.0491267727202997</v>
      </c>
      <c r="CB358" s="435">
        <v>1.0533050846008243</v>
      </c>
      <c r="CC358" s="363">
        <v>1.057483396481349</v>
      </c>
      <c r="CD358" s="435">
        <v>1.0609083772543504</v>
      </c>
      <c r="CE358" s="435">
        <v>1.064333358027352</v>
      </c>
      <c r="CF358" s="435">
        <v>1.0677583388003533</v>
      </c>
      <c r="CG358" s="435">
        <v>1.0711833195733549</v>
      </c>
      <c r="CH358" s="363">
        <v>1.0746083003463562</v>
      </c>
      <c r="CI358" s="362">
        <v>1.0094692973402852</v>
      </c>
      <c r="CJ358" s="362">
        <v>1.0190282622726892</v>
      </c>
      <c r="CK358" s="362">
        <v>1.0286777438863035</v>
      </c>
      <c r="CL358" s="363">
        <v>1.0219146390476541</v>
      </c>
      <c r="CM358" s="363">
        <v>1.0151959986560393</v>
      </c>
      <c r="CN358" s="363">
        <v>1.0119541492345627</v>
      </c>
      <c r="CO358" s="363">
        <v>1.0087226520876083</v>
      </c>
      <c r="CP358" s="363">
        <v>1.0055014741570119</v>
      </c>
      <c r="CQ358" s="363">
        <v>1.0022905824901762</v>
      </c>
      <c r="CR358" s="363">
        <v>0.9990899442397313</v>
      </c>
      <c r="CS358" s="363">
        <v>1.0064801804180163</v>
      </c>
      <c r="CT358" s="363">
        <v>1.013925081935579</v>
      </c>
      <c r="CU358" s="363">
        <v>1.0214250531501754</v>
      </c>
      <c r="CV358" s="363">
        <v>1.0289805014105837</v>
      </c>
      <c r="CW358" s="363">
        <v>1.0365918370787257</v>
      </c>
      <c r="CX358" s="435">
        <v>1.0407701489592505</v>
      </c>
      <c r="CY358" s="435">
        <v>1.044948460839775</v>
      </c>
      <c r="CZ358" s="435">
        <v>1.0491267727202997</v>
      </c>
      <c r="DA358" s="435">
        <v>1.0533050846008243</v>
      </c>
      <c r="DB358" s="363">
        <v>1.057483396481349</v>
      </c>
      <c r="DC358" s="435">
        <v>1.0609083772543504</v>
      </c>
      <c r="DD358" s="435">
        <v>1.064333358027352</v>
      </c>
      <c r="DE358" s="435">
        <v>1.0677583388003533</v>
      </c>
      <c r="DF358" s="435">
        <v>1.0711833195733549</v>
      </c>
      <c r="DG358" s="363">
        <v>1.0746083003463562</v>
      </c>
      <c r="DH358" s="362">
        <v>0</v>
      </c>
      <c r="DI358" s="362">
        <v>0</v>
      </c>
      <c r="DJ358" s="362">
        <v>0</v>
      </c>
      <c r="DK358" s="363">
        <v>0</v>
      </c>
      <c r="DL358" s="363">
        <v>0</v>
      </c>
      <c r="DM358" s="363">
        <v>0</v>
      </c>
      <c r="DN358" s="363">
        <v>0</v>
      </c>
      <c r="DO358" s="363">
        <v>0</v>
      </c>
      <c r="DP358" s="363">
        <v>0</v>
      </c>
      <c r="DQ358" s="363">
        <v>0</v>
      </c>
      <c r="DR358" s="363">
        <v>0</v>
      </c>
      <c r="DS358" s="363">
        <v>0</v>
      </c>
      <c r="DT358" s="363">
        <v>0</v>
      </c>
      <c r="DU358" s="363">
        <v>0</v>
      </c>
      <c r="DV358" s="363">
        <v>0</v>
      </c>
      <c r="DW358" s="435">
        <v>0</v>
      </c>
      <c r="DX358" s="435">
        <v>0</v>
      </c>
      <c r="DY358" s="435">
        <v>0</v>
      </c>
      <c r="DZ358" s="435">
        <v>0</v>
      </c>
      <c r="EA358" s="363">
        <v>0</v>
      </c>
      <c r="EB358" s="435">
        <v>0</v>
      </c>
      <c r="EC358" s="435">
        <v>0</v>
      </c>
      <c r="ED358" s="435">
        <v>0</v>
      </c>
      <c r="EE358" s="435">
        <v>0</v>
      </c>
      <c r="EF358" s="363">
        <v>0</v>
      </c>
      <c r="EG358" s="364">
        <v>0</v>
      </c>
      <c r="EH358" s="364">
        <v>0</v>
      </c>
      <c r="EI358" s="364">
        <v>0</v>
      </c>
      <c r="EJ358" s="365">
        <v>0</v>
      </c>
      <c r="EK358" s="365">
        <v>0</v>
      </c>
      <c r="EL358" s="365">
        <v>0</v>
      </c>
      <c r="EM358" s="365">
        <v>0</v>
      </c>
      <c r="EN358" s="365">
        <v>0</v>
      </c>
      <c r="EO358" s="365">
        <v>0</v>
      </c>
      <c r="EP358" s="365">
        <v>0</v>
      </c>
      <c r="EQ358" s="365">
        <v>0</v>
      </c>
      <c r="ER358" s="365">
        <v>0</v>
      </c>
      <c r="ES358" s="365">
        <v>0</v>
      </c>
      <c r="ET358" s="365">
        <v>0</v>
      </c>
      <c r="EU358" s="365">
        <v>0</v>
      </c>
      <c r="EV358" s="436">
        <v>0</v>
      </c>
      <c r="EW358" s="436">
        <v>0</v>
      </c>
      <c r="EX358" s="436">
        <v>0</v>
      </c>
      <c r="EY358" s="436">
        <v>0</v>
      </c>
      <c r="EZ358" s="365">
        <v>0</v>
      </c>
      <c r="FA358" s="436">
        <v>0</v>
      </c>
      <c r="FB358" s="436">
        <v>0</v>
      </c>
      <c r="FC358" s="436">
        <v>0</v>
      </c>
      <c r="FD358" s="436">
        <v>0</v>
      </c>
      <c r="FE358" s="365">
        <v>0</v>
      </c>
      <c r="FF358" s="364">
        <v>0</v>
      </c>
      <c r="FG358" s="364">
        <v>0</v>
      </c>
      <c r="FH358" s="364">
        <v>0</v>
      </c>
      <c r="FI358" s="365">
        <v>0</v>
      </c>
      <c r="FJ358" s="365">
        <v>0</v>
      </c>
      <c r="FK358" s="365">
        <v>0</v>
      </c>
      <c r="FL358" s="365">
        <v>0</v>
      </c>
      <c r="FM358" s="365">
        <v>0</v>
      </c>
      <c r="FN358" s="365">
        <v>0</v>
      </c>
      <c r="FO358" s="365">
        <v>0</v>
      </c>
      <c r="FP358" s="365">
        <v>0</v>
      </c>
      <c r="FQ358" s="365">
        <v>0</v>
      </c>
      <c r="FR358" s="365">
        <v>0</v>
      </c>
      <c r="FS358" s="365">
        <v>0</v>
      </c>
      <c r="FT358" s="365">
        <v>0</v>
      </c>
      <c r="FU358" s="436">
        <v>0</v>
      </c>
      <c r="FV358" s="436">
        <v>0</v>
      </c>
      <c r="FW358" s="436">
        <v>0</v>
      </c>
      <c r="FX358" s="436">
        <v>0</v>
      </c>
      <c r="FY358" s="365">
        <v>0</v>
      </c>
      <c r="FZ358" s="436">
        <v>0</v>
      </c>
      <c r="GA358" s="436">
        <v>0</v>
      </c>
      <c r="GB358" s="436">
        <v>0</v>
      </c>
      <c r="GC358" s="436">
        <v>0</v>
      </c>
      <c r="GD358" s="365">
        <v>0</v>
      </c>
    </row>
    <row r="359" spans="1:186" ht="15" x14ac:dyDescent="0.25">
      <c r="A359" s="357">
        <v>122</v>
      </c>
      <c r="B359" s="357">
        <v>100</v>
      </c>
      <c r="C359" s="357" t="s">
        <v>1269</v>
      </c>
      <c r="D359" s="2">
        <v>99712</v>
      </c>
      <c r="E359" s="268" t="s">
        <v>19</v>
      </c>
      <c r="F359" s="358" t="s">
        <v>915</v>
      </c>
      <c r="G359" s="49">
        <v>510</v>
      </c>
      <c r="H359" s="49">
        <v>233</v>
      </c>
      <c r="I359" s="49">
        <v>205</v>
      </c>
      <c r="J359" s="49">
        <v>28</v>
      </c>
      <c r="K359" s="49">
        <v>0</v>
      </c>
      <c r="L359" s="49">
        <v>0</v>
      </c>
      <c r="M359" s="49">
        <v>0</v>
      </c>
      <c r="N359" s="49">
        <v>0</v>
      </c>
      <c r="O359" s="49">
        <v>0</v>
      </c>
      <c r="P359" s="49">
        <v>0</v>
      </c>
      <c r="Q359" s="49">
        <v>0</v>
      </c>
      <c r="R359" s="49">
        <v>0</v>
      </c>
      <c r="S359" s="49">
        <v>834.49503068156923</v>
      </c>
      <c r="T359" s="49">
        <v>834.49503068156923</v>
      </c>
      <c r="U359" s="49">
        <v>1408.3846153846155</v>
      </c>
      <c r="V359" s="49">
        <v>0</v>
      </c>
      <c r="W359" s="49">
        <v>0</v>
      </c>
      <c r="X359" s="49">
        <v>1365.173957061457</v>
      </c>
      <c r="Y359" s="434">
        <v>0</v>
      </c>
      <c r="Z359" s="434">
        <v>0</v>
      </c>
      <c r="AA359" s="49">
        <v>5.3385741510741509</v>
      </c>
      <c r="AB359" s="49">
        <v>227.35867117117118</v>
      </c>
      <c r="AC359" s="49">
        <v>0.30275467775467774</v>
      </c>
      <c r="AD359" s="285">
        <v>0</v>
      </c>
      <c r="AE359" s="285">
        <v>0</v>
      </c>
      <c r="AF359" s="359">
        <v>233</v>
      </c>
      <c r="AG359" s="360">
        <v>4.6970287595287594</v>
      </c>
      <c r="AH359" s="360">
        <v>200.03659909909911</v>
      </c>
      <c r="AI359" s="361">
        <v>204.73362785862787</v>
      </c>
      <c r="AJ359" s="360">
        <v>0.26637214137214138</v>
      </c>
      <c r="AK359" s="360">
        <v>4.8533738095083265</v>
      </c>
      <c r="AL359" s="360">
        <v>206.6950067191174</v>
      </c>
      <c r="AM359" s="360">
        <v>211.54838052862573</v>
      </c>
      <c r="AN359" s="360">
        <v>0.27523859033128506</v>
      </c>
      <c r="AO359" s="360">
        <v>4.2858231982422392</v>
      </c>
      <c r="AP359" s="360">
        <v>182.52421707599132</v>
      </c>
      <c r="AQ359" s="360">
        <v>186.81004027423356</v>
      </c>
      <c r="AR359" s="360">
        <v>0.24305235528783967</v>
      </c>
      <c r="AS359" s="360">
        <v>0</v>
      </c>
      <c r="AT359" s="360">
        <v>0</v>
      </c>
      <c r="AU359" s="360">
        <v>192.32164627608495</v>
      </c>
      <c r="AV359" s="360">
        <v>201.7060554626583</v>
      </c>
      <c r="AW359" s="360">
        <v>211.54838052862573</v>
      </c>
      <c r="AX359" s="360">
        <v>221.87096565660261</v>
      </c>
      <c r="AY359" s="360">
        <v>232.69724532224532</v>
      </c>
      <c r="AZ359" s="360">
        <v>170.45558910995527</v>
      </c>
      <c r="BA359" s="360">
        <v>178.44555322730503</v>
      </c>
      <c r="BB359" s="360">
        <v>186.81004027423356</v>
      </c>
      <c r="BC359" s="360">
        <v>195.56660570189436</v>
      </c>
      <c r="BD359" s="360">
        <v>204.73362785862787</v>
      </c>
      <c r="BE359" s="360">
        <v>0</v>
      </c>
      <c r="BF359" s="360">
        <v>0</v>
      </c>
      <c r="BG359" s="360">
        <v>0</v>
      </c>
      <c r="BH359" s="360">
        <v>0</v>
      </c>
      <c r="BI359" s="360">
        <v>0</v>
      </c>
      <c r="BJ359" s="362">
        <v>234.85176561078194</v>
      </c>
      <c r="BK359" s="362">
        <v>237.02623438503136</v>
      </c>
      <c r="BL359" s="362">
        <v>239.22083634600767</v>
      </c>
      <c r="BM359" s="363">
        <v>237.64806430402186</v>
      </c>
      <c r="BN359" s="363">
        <v>236.08563254816593</v>
      </c>
      <c r="BO359" s="363">
        <v>235.33173470744515</v>
      </c>
      <c r="BP359" s="363">
        <v>234.58024430655078</v>
      </c>
      <c r="BQ359" s="363">
        <v>233.83115365774825</v>
      </c>
      <c r="BR359" s="363">
        <v>233.08445509785233</v>
      </c>
      <c r="BS359" s="363">
        <v>232.3401409881489</v>
      </c>
      <c r="BT359" s="363">
        <v>234.0587535369971</v>
      </c>
      <c r="BU359" s="363">
        <v>235.79007860758389</v>
      </c>
      <c r="BV359" s="363">
        <v>237.53421023402362</v>
      </c>
      <c r="BW359" s="363">
        <v>239.29124314599804</v>
      </c>
      <c r="BX359" s="363">
        <v>241.06127277390104</v>
      </c>
      <c r="BY359" s="435">
        <v>242.03294662269778</v>
      </c>
      <c r="BZ359" s="435">
        <v>243.00462047149452</v>
      </c>
      <c r="CA359" s="435">
        <v>243.97629432029129</v>
      </c>
      <c r="CB359" s="435">
        <v>244.94796816908803</v>
      </c>
      <c r="CC359" s="363">
        <v>245.91964201788477</v>
      </c>
      <c r="CD359" s="435">
        <v>246.71612737965708</v>
      </c>
      <c r="CE359" s="435">
        <v>247.51261274142939</v>
      </c>
      <c r="CF359" s="435">
        <v>248.30909810320171</v>
      </c>
      <c r="CG359" s="435">
        <v>249.10558346497402</v>
      </c>
      <c r="CH359" s="363">
        <v>249.90206882674633</v>
      </c>
      <c r="CI359" s="362">
        <v>206.62923583781244</v>
      </c>
      <c r="CJ359" s="362">
        <v>208.54239505979155</v>
      </c>
      <c r="CK359" s="362">
        <v>210.47326802974925</v>
      </c>
      <c r="CL359" s="363">
        <v>209.08949863658577</v>
      </c>
      <c r="CM359" s="363">
        <v>207.71482692006018</v>
      </c>
      <c r="CN359" s="363">
        <v>207.05152624474789</v>
      </c>
      <c r="CO359" s="363">
        <v>206.39034370318848</v>
      </c>
      <c r="CP359" s="363">
        <v>205.73127253149525</v>
      </c>
      <c r="CQ359" s="363">
        <v>205.0743059873808</v>
      </c>
      <c r="CR359" s="363">
        <v>204.41943735008812</v>
      </c>
      <c r="CS359" s="363">
        <v>205.9315213522936</v>
      </c>
      <c r="CT359" s="363">
        <v>207.45479019122189</v>
      </c>
      <c r="CU359" s="363">
        <v>208.98932660075039</v>
      </c>
      <c r="CV359" s="363">
        <v>210.53521392673647</v>
      </c>
      <c r="CW359" s="363">
        <v>212.09253613154382</v>
      </c>
      <c r="CX359" s="435">
        <v>212.9474423075238</v>
      </c>
      <c r="CY359" s="435">
        <v>213.80234848350378</v>
      </c>
      <c r="CZ359" s="435">
        <v>214.65725465948375</v>
      </c>
      <c r="DA359" s="435">
        <v>215.51216083546373</v>
      </c>
      <c r="DB359" s="363">
        <v>216.36706701144371</v>
      </c>
      <c r="DC359" s="435">
        <v>217.06783739411892</v>
      </c>
      <c r="DD359" s="435">
        <v>217.76860777679411</v>
      </c>
      <c r="DE359" s="435">
        <v>218.46937815946933</v>
      </c>
      <c r="DF359" s="435">
        <v>219.17014854214452</v>
      </c>
      <c r="DG359" s="363">
        <v>219.87091892481973</v>
      </c>
      <c r="DH359" s="362">
        <v>0</v>
      </c>
      <c r="DI359" s="362">
        <v>0</v>
      </c>
      <c r="DJ359" s="362">
        <v>0</v>
      </c>
      <c r="DK359" s="363">
        <v>0</v>
      </c>
      <c r="DL359" s="363">
        <v>0</v>
      </c>
      <c r="DM359" s="363">
        <v>0</v>
      </c>
      <c r="DN359" s="363">
        <v>0</v>
      </c>
      <c r="DO359" s="363">
        <v>0</v>
      </c>
      <c r="DP359" s="363">
        <v>0</v>
      </c>
      <c r="DQ359" s="363">
        <v>0</v>
      </c>
      <c r="DR359" s="363">
        <v>0</v>
      </c>
      <c r="DS359" s="363">
        <v>0</v>
      </c>
      <c r="DT359" s="363">
        <v>0</v>
      </c>
      <c r="DU359" s="363">
        <v>0</v>
      </c>
      <c r="DV359" s="363">
        <v>0</v>
      </c>
      <c r="DW359" s="435">
        <v>0</v>
      </c>
      <c r="DX359" s="435">
        <v>0</v>
      </c>
      <c r="DY359" s="435">
        <v>0</v>
      </c>
      <c r="DZ359" s="435">
        <v>0</v>
      </c>
      <c r="EA359" s="363">
        <v>0</v>
      </c>
      <c r="EB359" s="435">
        <v>0</v>
      </c>
      <c r="EC359" s="435">
        <v>0</v>
      </c>
      <c r="ED359" s="435">
        <v>0</v>
      </c>
      <c r="EE359" s="435">
        <v>0</v>
      </c>
      <c r="EF359" s="363">
        <v>0</v>
      </c>
      <c r="EG359" s="364">
        <v>0.30555785273325775</v>
      </c>
      <c r="EH359" s="364">
        <v>0.30838698202580189</v>
      </c>
      <c r="EI359" s="364">
        <v>0.31124230594068131</v>
      </c>
      <c r="EJ359" s="365">
        <v>0.30919602433518323</v>
      </c>
      <c r="EK359" s="365">
        <v>0.30716319613344512</v>
      </c>
      <c r="EL359" s="365">
        <v>0.30618232462587186</v>
      </c>
      <c r="EM359" s="365">
        <v>0.30520458535850997</v>
      </c>
      <c r="EN359" s="365">
        <v>0.30422996832910254</v>
      </c>
      <c r="EO359" s="365">
        <v>0.30325846356733321</v>
      </c>
      <c r="EP359" s="365">
        <v>0.30229006113472406</v>
      </c>
      <c r="EQ359" s="365">
        <v>0.30452609099271027</v>
      </c>
      <c r="ER359" s="365">
        <v>0.30677866069162618</v>
      </c>
      <c r="ES359" s="365">
        <v>0.30904789257614312</v>
      </c>
      <c r="ET359" s="365">
        <v>0.31133390989591209</v>
      </c>
      <c r="EU359" s="365">
        <v>0.31363683681225735</v>
      </c>
      <c r="EV359" s="436">
        <v>0.31490104947007252</v>
      </c>
      <c r="EW359" s="436">
        <v>0.3161652621278877</v>
      </c>
      <c r="EX359" s="436">
        <v>0.31742947478570294</v>
      </c>
      <c r="EY359" s="436">
        <v>0.31869368744351811</v>
      </c>
      <c r="EZ359" s="365">
        <v>0.31995790010133329</v>
      </c>
      <c r="FA359" s="436">
        <v>0.32099418082182812</v>
      </c>
      <c r="FB359" s="436">
        <v>0.3220304615423229</v>
      </c>
      <c r="FC359" s="436">
        <v>0.32306674226281773</v>
      </c>
      <c r="FD359" s="436">
        <v>0.32410302298331251</v>
      </c>
      <c r="FE359" s="365">
        <v>0.32513930370380734</v>
      </c>
      <c r="FF359" s="364">
        <v>0</v>
      </c>
      <c r="FG359" s="364">
        <v>0</v>
      </c>
      <c r="FH359" s="364">
        <v>0</v>
      </c>
      <c r="FI359" s="365">
        <v>0</v>
      </c>
      <c r="FJ359" s="365">
        <v>0</v>
      </c>
      <c r="FK359" s="365">
        <v>0</v>
      </c>
      <c r="FL359" s="365">
        <v>0</v>
      </c>
      <c r="FM359" s="365">
        <v>0</v>
      </c>
      <c r="FN359" s="365">
        <v>0</v>
      </c>
      <c r="FO359" s="365">
        <v>0</v>
      </c>
      <c r="FP359" s="365">
        <v>0</v>
      </c>
      <c r="FQ359" s="365">
        <v>0</v>
      </c>
      <c r="FR359" s="365">
        <v>0</v>
      </c>
      <c r="FS359" s="365">
        <v>0</v>
      </c>
      <c r="FT359" s="365">
        <v>0</v>
      </c>
      <c r="FU359" s="436">
        <v>0</v>
      </c>
      <c r="FV359" s="436">
        <v>0</v>
      </c>
      <c r="FW359" s="436">
        <v>0</v>
      </c>
      <c r="FX359" s="436">
        <v>0</v>
      </c>
      <c r="FY359" s="365">
        <v>0</v>
      </c>
      <c r="FZ359" s="436">
        <v>0</v>
      </c>
      <c r="GA359" s="436">
        <v>0</v>
      </c>
      <c r="GB359" s="436">
        <v>0</v>
      </c>
      <c r="GC359" s="436">
        <v>0</v>
      </c>
      <c r="GD359" s="365">
        <v>0</v>
      </c>
    </row>
    <row r="360" spans="1:186" ht="15" x14ac:dyDescent="0.25">
      <c r="A360" s="357">
        <v>153</v>
      </c>
      <c r="B360" s="357">
        <v>100</v>
      </c>
      <c r="C360" s="357" t="s">
        <v>1270</v>
      </c>
      <c r="D360" s="2">
        <v>99712</v>
      </c>
      <c r="E360" s="268" t="s">
        <v>19</v>
      </c>
      <c r="F360" s="358" t="s">
        <v>915</v>
      </c>
      <c r="G360" s="49">
        <v>0</v>
      </c>
      <c r="H360" s="49">
        <v>1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49">
        <v>0</v>
      </c>
      <c r="O360" s="49">
        <v>0</v>
      </c>
      <c r="P360" s="49">
        <v>0</v>
      </c>
      <c r="Q360" s="49">
        <v>0</v>
      </c>
      <c r="R360" s="49">
        <v>0</v>
      </c>
      <c r="S360" s="49">
        <v>834.49503068156923</v>
      </c>
      <c r="T360" s="49">
        <v>834.49503068156923</v>
      </c>
      <c r="U360" s="49">
        <v>1408.3846153846155</v>
      </c>
      <c r="V360" s="49">
        <v>0</v>
      </c>
      <c r="W360" s="49">
        <v>0</v>
      </c>
      <c r="X360" s="49">
        <v>1365.173957061457</v>
      </c>
      <c r="Y360" s="434">
        <v>0</v>
      </c>
      <c r="Z360" s="434">
        <v>0</v>
      </c>
      <c r="AA360" s="49">
        <v>2.2912335412335411E-2</v>
      </c>
      <c r="AB360" s="49">
        <v>0.97578828828828834</v>
      </c>
      <c r="AC360" s="49">
        <v>1.2993762993762994E-3</v>
      </c>
      <c r="AD360" s="285">
        <v>0</v>
      </c>
      <c r="AE360" s="285">
        <v>0</v>
      </c>
      <c r="AF360" s="359">
        <v>1</v>
      </c>
      <c r="AG360" s="360">
        <v>0</v>
      </c>
      <c r="AH360" s="360">
        <v>0</v>
      </c>
      <c r="AI360" s="361">
        <v>0</v>
      </c>
      <c r="AJ360" s="360">
        <v>0</v>
      </c>
      <c r="AK360" s="360">
        <v>2.0829930512911272E-2</v>
      </c>
      <c r="AL360" s="360">
        <v>0.8871030331292592</v>
      </c>
      <c r="AM360" s="360">
        <v>0.90793296364217047</v>
      </c>
      <c r="AN360" s="360">
        <v>1.1812815035677471E-3</v>
      </c>
      <c r="AO360" s="360">
        <v>0</v>
      </c>
      <c r="AP360" s="360">
        <v>0</v>
      </c>
      <c r="AQ360" s="360">
        <v>0</v>
      </c>
      <c r="AR360" s="360">
        <v>0</v>
      </c>
      <c r="AS360" s="360">
        <v>0</v>
      </c>
      <c r="AT360" s="360">
        <v>0</v>
      </c>
      <c r="AU360" s="360">
        <v>0.82541479088448488</v>
      </c>
      <c r="AV360" s="360">
        <v>0.86569122516162356</v>
      </c>
      <c r="AW360" s="360">
        <v>0.90793296364217047</v>
      </c>
      <c r="AX360" s="360">
        <v>0.95223590410559056</v>
      </c>
      <c r="AY360" s="360">
        <v>0.99870062370062374</v>
      </c>
      <c r="AZ360" s="360">
        <v>0</v>
      </c>
      <c r="BA360" s="360">
        <v>0</v>
      </c>
      <c r="BB360" s="360">
        <v>0</v>
      </c>
      <c r="BC360" s="360">
        <v>0</v>
      </c>
      <c r="BD360" s="360">
        <v>0</v>
      </c>
      <c r="BE360" s="360">
        <v>0</v>
      </c>
      <c r="BF360" s="360">
        <v>0</v>
      </c>
      <c r="BG360" s="360">
        <v>0</v>
      </c>
      <c r="BH360" s="360">
        <v>0</v>
      </c>
      <c r="BI360" s="360">
        <v>0</v>
      </c>
      <c r="BJ360" s="362">
        <v>1.0113419507725885</v>
      </c>
      <c r="BK360" s="362">
        <v>1.0241432889092785</v>
      </c>
      <c r="BL360" s="362">
        <v>1.0371066634946347</v>
      </c>
      <c r="BM360" s="363">
        <v>1.0302881422077084</v>
      </c>
      <c r="BN360" s="363">
        <v>1.0235144497066504</v>
      </c>
      <c r="BO360" s="363">
        <v>1.02024603677846</v>
      </c>
      <c r="BP360" s="363">
        <v>1.016988060950667</v>
      </c>
      <c r="BQ360" s="363">
        <v>1.0137404888942305</v>
      </c>
      <c r="BR360" s="363">
        <v>1.0105032873865416</v>
      </c>
      <c r="BS360" s="363">
        <v>1.0072764233110814</v>
      </c>
      <c r="BT360" s="363">
        <v>1.0147272146117101</v>
      </c>
      <c r="BU360" s="363">
        <v>1.0222331191759084</v>
      </c>
      <c r="BV360" s="363">
        <v>1.0297945446747143</v>
      </c>
      <c r="BW360" s="363">
        <v>1.0374119017946952</v>
      </c>
      <c r="BX360" s="363">
        <v>1.045085604260253</v>
      </c>
      <c r="BY360" s="435">
        <v>1.0492981529609564</v>
      </c>
      <c r="BZ360" s="435">
        <v>1.0535107016616601</v>
      </c>
      <c r="CA360" s="435">
        <v>1.0577232503623635</v>
      </c>
      <c r="CB360" s="435">
        <v>1.0619357990630671</v>
      </c>
      <c r="CC360" s="363">
        <v>1.0661483477637705</v>
      </c>
      <c r="CD360" s="435">
        <v>1.0696013926100616</v>
      </c>
      <c r="CE360" s="435">
        <v>1.0730544374563526</v>
      </c>
      <c r="CF360" s="435">
        <v>1.0765074823026435</v>
      </c>
      <c r="CG360" s="435">
        <v>1.0799605271489345</v>
      </c>
      <c r="CH360" s="363">
        <v>1.0834135719952256</v>
      </c>
      <c r="CI360" s="362">
        <v>0</v>
      </c>
      <c r="CJ360" s="362">
        <v>0</v>
      </c>
      <c r="CK360" s="362">
        <v>0</v>
      </c>
      <c r="CL360" s="363">
        <v>0</v>
      </c>
      <c r="CM360" s="363">
        <v>0</v>
      </c>
      <c r="CN360" s="363">
        <v>0</v>
      </c>
      <c r="CO360" s="363">
        <v>0</v>
      </c>
      <c r="CP360" s="363">
        <v>0</v>
      </c>
      <c r="CQ360" s="363">
        <v>0</v>
      </c>
      <c r="CR360" s="363">
        <v>0</v>
      </c>
      <c r="CS360" s="363">
        <v>0</v>
      </c>
      <c r="CT360" s="363">
        <v>0</v>
      </c>
      <c r="CU360" s="363">
        <v>0</v>
      </c>
      <c r="CV360" s="363">
        <v>0</v>
      </c>
      <c r="CW360" s="363">
        <v>0</v>
      </c>
      <c r="CX360" s="435">
        <v>0</v>
      </c>
      <c r="CY360" s="435">
        <v>0</v>
      </c>
      <c r="CZ360" s="435">
        <v>0</v>
      </c>
      <c r="DA360" s="435">
        <v>0</v>
      </c>
      <c r="DB360" s="363">
        <v>0</v>
      </c>
      <c r="DC360" s="435">
        <v>0</v>
      </c>
      <c r="DD360" s="435">
        <v>0</v>
      </c>
      <c r="DE360" s="435">
        <v>0</v>
      </c>
      <c r="DF360" s="435">
        <v>0</v>
      </c>
      <c r="DG360" s="363">
        <v>0</v>
      </c>
      <c r="DH360" s="362">
        <v>0</v>
      </c>
      <c r="DI360" s="362">
        <v>0</v>
      </c>
      <c r="DJ360" s="362">
        <v>0</v>
      </c>
      <c r="DK360" s="363">
        <v>0</v>
      </c>
      <c r="DL360" s="363">
        <v>0</v>
      </c>
      <c r="DM360" s="363">
        <v>0</v>
      </c>
      <c r="DN360" s="363">
        <v>0</v>
      </c>
      <c r="DO360" s="363">
        <v>0</v>
      </c>
      <c r="DP360" s="363">
        <v>0</v>
      </c>
      <c r="DQ360" s="363">
        <v>0</v>
      </c>
      <c r="DR360" s="363">
        <v>0</v>
      </c>
      <c r="DS360" s="363">
        <v>0</v>
      </c>
      <c r="DT360" s="363">
        <v>0</v>
      </c>
      <c r="DU360" s="363">
        <v>0</v>
      </c>
      <c r="DV360" s="363">
        <v>0</v>
      </c>
      <c r="DW360" s="435">
        <v>0</v>
      </c>
      <c r="DX360" s="435">
        <v>0</v>
      </c>
      <c r="DY360" s="435">
        <v>0</v>
      </c>
      <c r="DZ360" s="435">
        <v>0</v>
      </c>
      <c r="EA360" s="363">
        <v>0</v>
      </c>
      <c r="EB360" s="435">
        <v>0</v>
      </c>
      <c r="EC360" s="435">
        <v>0</v>
      </c>
      <c r="ED360" s="435">
        <v>0</v>
      </c>
      <c r="EE360" s="435">
        <v>0</v>
      </c>
      <c r="EF360" s="363">
        <v>0</v>
      </c>
      <c r="EG360" s="364">
        <v>1.3158235112836177E-3</v>
      </c>
      <c r="EH360" s="364">
        <v>1.3324789082868574E-3</v>
      </c>
      <c r="EI360" s="364">
        <v>1.3493451255459728E-3</v>
      </c>
      <c r="EJ360" s="365">
        <v>1.3404737733641796E-3</v>
      </c>
      <c r="EK360" s="365">
        <v>1.3316607464307186E-3</v>
      </c>
      <c r="EL360" s="365">
        <v>1.3274083226365602E-3</v>
      </c>
      <c r="EM360" s="365">
        <v>1.3231694782079974E-3</v>
      </c>
      <c r="EN360" s="365">
        <v>1.3189441697817206E-3</v>
      </c>
      <c r="EO360" s="365">
        <v>1.314732354132893E-3</v>
      </c>
      <c r="EP360" s="365">
        <v>1.310533988174709E-3</v>
      </c>
      <c r="EQ360" s="365">
        <v>1.3202279659272835E-3</v>
      </c>
      <c r="ER360" s="365">
        <v>1.3299936497214527E-3</v>
      </c>
      <c r="ES360" s="365">
        <v>1.3398315699644995E-3</v>
      </c>
      <c r="ET360" s="365">
        <v>1.3497422609871133E-3</v>
      </c>
      <c r="EU360" s="365">
        <v>1.3597262610724082E-3</v>
      </c>
      <c r="EV360" s="436">
        <v>1.3652070686455328E-3</v>
      </c>
      <c r="EW360" s="436">
        <v>1.3706878762186573E-3</v>
      </c>
      <c r="EX360" s="436">
        <v>1.376168683791782E-3</v>
      </c>
      <c r="EY360" s="436">
        <v>1.3816494913649064E-3</v>
      </c>
      <c r="EZ360" s="365">
        <v>1.3871302989380311E-3</v>
      </c>
      <c r="FA360" s="436">
        <v>1.3916229412048681E-3</v>
      </c>
      <c r="FB360" s="436">
        <v>1.3961155834717053E-3</v>
      </c>
      <c r="FC360" s="436">
        <v>1.4006082257385422E-3</v>
      </c>
      <c r="FD360" s="436">
        <v>1.4051008680053794E-3</v>
      </c>
      <c r="FE360" s="365">
        <v>1.4095935102722164E-3</v>
      </c>
      <c r="FF360" s="364">
        <v>0</v>
      </c>
      <c r="FG360" s="364">
        <v>0</v>
      </c>
      <c r="FH360" s="364">
        <v>0</v>
      </c>
      <c r="FI360" s="365">
        <v>0</v>
      </c>
      <c r="FJ360" s="365">
        <v>0</v>
      </c>
      <c r="FK360" s="365">
        <v>0</v>
      </c>
      <c r="FL360" s="365">
        <v>0</v>
      </c>
      <c r="FM360" s="365">
        <v>0</v>
      </c>
      <c r="FN360" s="365">
        <v>0</v>
      </c>
      <c r="FO360" s="365">
        <v>0</v>
      </c>
      <c r="FP360" s="365">
        <v>0</v>
      </c>
      <c r="FQ360" s="365">
        <v>0</v>
      </c>
      <c r="FR360" s="365">
        <v>0</v>
      </c>
      <c r="FS360" s="365">
        <v>0</v>
      </c>
      <c r="FT360" s="365">
        <v>0</v>
      </c>
      <c r="FU360" s="436">
        <v>0</v>
      </c>
      <c r="FV360" s="436">
        <v>0</v>
      </c>
      <c r="FW360" s="436">
        <v>0</v>
      </c>
      <c r="FX360" s="436">
        <v>0</v>
      </c>
      <c r="FY360" s="365">
        <v>0</v>
      </c>
      <c r="FZ360" s="436">
        <v>0</v>
      </c>
      <c r="GA360" s="436">
        <v>0</v>
      </c>
      <c r="GB360" s="436">
        <v>0</v>
      </c>
      <c r="GC360" s="436">
        <v>0</v>
      </c>
      <c r="GD360" s="365">
        <v>0</v>
      </c>
    </row>
    <row r="361" spans="1:186" ht="15" x14ac:dyDescent="0.25">
      <c r="A361" s="357">
        <v>98</v>
      </c>
      <c r="B361" s="357">
        <v>101</v>
      </c>
      <c r="C361" s="357" t="s">
        <v>1271</v>
      </c>
      <c r="D361" s="2">
        <v>99709</v>
      </c>
      <c r="E361" s="268" t="s">
        <v>19</v>
      </c>
      <c r="F361" s="358" t="s">
        <v>915</v>
      </c>
      <c r="G361" s="49">
        <v>45</v>
      </c>
      <c r="H361" s="49">
        <v>17</v>
      </c>
      <c r="I361" s="49">
        <v>16</v>
      </c>
      <c r="J361" s="49">
        <v>1</v>
      </c>
      <c r="K361" s="49">
        <v>0</v>
      </c>
      <c r="L361" s="49">
        <v>36</v>
      </c>
      <c r="M361" s="49">
        <v>36</v>
      </c>
      <c r="N361" s="49">
        <v>0</v>
      </c>
      <c r="O361" s="49">
        <v>0</v>
      </c>
      <c r="P361" s="49">
        <v>0</v>
      </c>
      <c r="Q361" s="49">
        <v>36</v>
      </c>
      <c r="R361" s="49">
        <v>0</v>
      </c>
      <c r="S361" s="49">
        <v>2361.4166666666665</v>
      </c>
      <c r="T361" s="49">
        <v>2361.4166666666665</v>
      </c>
      <c r="U361" s="49">
        <v>0</v>
      </c>
      <c r="V361" s="49">
        <v>0</v>
      </c>
      <c r="W361" s="49">
        <v>0</v>
      </c>
      <c r="X361" s="49">
        <v>2361.4166666666665</v>
      </c>
      <c r="Y361" s="434">
        <v>85011</v>
      </c>
      <c r="Z361" s="434">
        <v>0</v>
      </c>
      <c r="AA361" s="49">
        <v>0</v>
      </c>
      <c r="AB361" s="49">
        <v>17</v>
      </c>
      <c r="AC361" s="49">
        <v>0</v>
      </c>
      <c r="AD361" s="285">
        <v>0</v>
      </c>
      <c r="AE361" s="285">
        <v>0</v>
      </c>
      <c r="AF361" s="359">
        <v>17</v>
      </c>
      <c r="AG361" s="360">
        <v>0</v>
      </c>
      <c r="AH361" s="360">
        <v>16</v>
      </c>
      <c r="AI361" s="361">
        <v>16</v>
      </c>
      <c r="AJ361" s="360">
        <v>0</v>
      </c>
      <c r="AK361" s="360">
        <v>0</v>
      </c>
      <c r="AL361" s="360">
        <v>16.186692715131567</v>
      </c>
      <c r="AM361" s="360">
        <v>16.186692715131567</v>
      </c>
      <c r="AN361" s="360">
        <v>0</v>
      </c>
      <c r="AO361" s="360">
        <v>0</v>
      </c>
      <c r="AP361" s="360">
        <v>15.263274062367621</v>
      </c>
      <c r="AQ361" s="360">
        <v>15.263274062367621</v>
      </c>
      <c r="AR361" s="360">
        <v>0</v>
      </c>
      <c r="AS361" s="360">
        <v>0</v>
      </c>
      <c r="AT361" s="360">
        <v>0</v>
      </c>
      <c r="AU361" s="360">
        <v>15.412295356123142</v>
      </c>
      <c r="AV361" s="360">
        <v>15.794748778135553</v>
      </c>
      <c r="AW361" s="360">
        <v>16.186692715131567</v>
      </c>
      <c r="AX361" s="360">
        <v>16.588362672585763</v>
      </c>
      <c r="AY361" s="360">
        <v>17</v>
      </c>
      <c r="AZ361" s="360">
        <v>14.560470943934011</v>
      </c>
      <c r="BA361" s="360">
        <v>14.907731500614217</v>
      </c>
      <c r="BB361" s="360">
        <v>15.263274062367621</v>
      </c>
      <c r="BC361" s="360">
        <v>15.627296151218289</v>
      </c>
      <c r="BD361" s="360">
        <v>16</v>
      </c>
      <c r="BE361" s="360">
        <v>0</v>
      </c>
      <c r="BF361" s="360">
        <v>0</v>
      </c>
      <c r="BG361" s="360">
        <v>0</v>
      </c>
      <c r="BH361" s="360">
        <v>0</v>
      </c>
      <c r="BI361" s="360">
        <v>0</v>
      </c>
      <c r="BJ361" s="362">
        <v>17.08708469318994</v>
      </c>
      <c r="BK361" s="362">
        <v>17.174615488955645</v>
      </c>
      <c r="BL361" s="362">
        <v>17.26259467251511</v>
      </c>
      <c r="BM361" s="363">
        <v>17.149100686423552</v>
      </c>
      <c r="BN361" s="363">
        <v>17.036352873495602</v>
      </c>
      <c r="BO361" s="363">
        <v>16.981950284458485</v>
      </c>
      <c r="BP361" s="363">
        <v>16.927721420497146</v>
      </c>
      <c r="BQ361" s="363">
        <v>16.87366572685119</v>
      </c>
      <c r="BR361" s="363">
        <v>16.819782650531742</v>
      </c>
      <c r="BS361" s="363">
        <v>16.766071640315811</v>
      </c>
      <c r="BT361" s="363">
        <v>16.890089732899323</v>
      </c>
      <c r="BU361" s="363">
        <v>17.015025183324195</v>
      </c>
      <c r="BV361" s="363">
        <v>17.140884777256872</v>
      </c>
      <c r="BW361" s="363">
        <v>17.267675350557152</v>
      </c>
      <c r="BX361" s="363">
        <v>17.395403789649464</v>
      </c>
      <c r="BY361" s="435">
        <v>17.465521476979173</v>
      </c>
      <c r="BZ361" s="435">
        <v>17.535639164308883</v>
      </c>
      <c r="CA361" s="435">
        <v>17.605756851638592</v>
      </c>
      <c r="CB361" s="435">
        <v>17.675874538968301</v>
      </c>
      <c r="CC361" s="363">
        <v>17.745992226298011</v>
      </c>
      <c r="CD361" s="435">
        <v>17.803468005468769</v>
      </c>
      <c r="CE361" s="435">
        <v>17.860943784639524</v>
      </c>
      <c r="CF361" s="435">
        <v>17.918419563810282</v>
      </c>
      <c r="CG361" s="435">
        <v>17.975895342981037</v>
      </c>
      <c r="CH361" s="363">
        <v>18.033371122151795</v>
      </c>
      <c r="CI361" s="362">
        <v>16.081962064178768</v>
      </c>
      <c r="CJ361" s="362">
        <v>16.164343989605314</v>
      </c>
      <c r="CK361" s="362">
        <v>16.247147927073044</v>
      </c>
      <c r="CL361" s="363">
        <v>16.140330057810399</v>
      </c>
      <c r="CM361" s="363">
        <v>16.03421446917233</v>
      </c>
      <c r="CN361" s="363">
        <v>15.983012032431514</v>
      </c>
      <c r="CO361" s="363">
        <v>15.931973101644374</v>
      </c>
      <c r="CP361" s="363">
        <v>15.881097154683472</v>
      </c>
      <c r="CQ361" s="363">
        <v>15.830383671088697</v>
      </c>
      <c r="CR361" s="363">
        <v>15.779832132061939</v>
      </c>
      <c r="CS361" s="363">
        <v>15.896555042728775</v>
      </c>
      <c r="CT361" s="363">
        <v>16.014141349011009</v>
      </c>
      <c r="CU361" s="363">
        <v>16.13259743741823</v>
      </c>
      <c r="CV361" s="363">
        <v>16.251929741700849</v>
      </c>
      <c r="CW361" s="363">
        <v>16.372144743199492</v>
      </c>
      <c r="CX361" s="435">
        <v>16.438137860686279</v>
      </c>
      <c r="CY361" s="435">
        <v>16.504130978173063</v>
      </c>
      <c r="CZ361" s="435">
        <v>16.57012409565985</v>
      </c>
      <c r="DA361" s="435">
        <v>16.636117213146633</v>
      </c>
      <c r="DB361" s="363">
        <v>16.70211033063342</v>
      </c>
      <c r="DC361" s="435">
        <v>16.756205181617663</v>
      </c>
      <c r="DD361" s="435">
        <v>16.810300032601905</v>
      </c>
      <c r="DE361" s="435">
        <v>16.864394883586147</v>
      </c>
      <c r="DF361" s="435">
        <v>16.91848973457039</v>
      </c>
      <c r="DG361" s="363">
        <v>16.972584585554632</v>
      </c>
      <c r="DH361" s="362">
        <v>0</v>
      </c>
      <c r="DI361" s="362">
        <v>0</v>
      </c>
      <c r="DJ361" s="362">
        <v>0</v>
      </c>
      <c r="DK361" s="363">
        <v>0</v>
      </c>
      <c r="DL361" s="363">
        <v>0</v>
      </c>
      <c r="DM361" s="363">
        <v>0</v>
      </c>
      <c r="DN361" s="363">
        <v>0</v>
      </c>
      <c r="DO361" s="363">
        <v>0</v>
      </c>
      <c r="DP361" s="363">
        <v>0</v>
      </c>
      <c r="DQ361" s="363">
        <v>0</v>
      </c>
      <c r="DR361" s="363">
        <v>0</v>
      </c>
      <c r="DS361" s="363">
        <v>0</v>
      </c>
      <c r="DT361" s="363">
        <v>0</v>
      </c>
      <c r="DU361" s="363">
        <v>0</v>
      </c>
      <c r="DV361" s="363">
        <v>0</v>
      </c>
      <c r="DW361" s="435">
        <v>0</v>
      </c>
      <c r="DX361" s="435">
        <v>0</v>
      </c>
      <c r="DY361" s="435">
        <v>0</v>
      </c>
      <c r="DZ361" s="435">
        <v>0</v>
      </c>
      <c r="EA361" s="363">
        <v>0</v>
      </c>
      <c r="EB361" s="435">
        <v>0</v>
      </c>
      <c r="EC361" s="435">
        <v>0</v>
      </c>
      <c r="ED361" s="435">
        <v>0</v>
      </c>
      <c r="EE361" s="435">
        <v>0</v>
      </c>
      <c r="EF361" s="363">
        <v>0</v>
      </c>
      <c r="EG361" s="364">
        <v>0</v>
      </c>
      <c r="EH361" s="364">
        <v>0</v>
      </c>
      <c r="EI361" s="364">
        <v>0</v>
      </c>
      <c r="EJ361" s="365">
        <v>0</v>
      </c>
      <c r="EK361" s="365">
        <v>0</v>
      </c>
      <c r="EL361" s="365">
        <v>0</v>
      </c>
      <c r="EM361" s="365">
        <v>0</v>
      </c>
      <c r="EN361" s="365">
        <v>0</v>
      </c>
      <c r="EO361" s="365">
        <v>0</v>
      </c>
      <c r="EP361" s="365">
        <v>0</v>
      </c>
      <c r="EQ361" s="365">
        <v>0</v>
      </c>
      <c r="ER361" s="365">
        <v>0</v>
      </c>
      <c r="ES361" s="365">
        <v>0</v>
      </c>
      <c r="ET361" s="365">
        <v>0</v>
      </c>
      <c r="EU361" s="365">
        <v>0</v>
      </c>
      <c r="EV361" s="436">
        <v>0</v>
      </c>
      <c r="EW361" s="436">
        <v>0</v>
      </c>
      <c r="EX361" s="436">
        <v>0</v>
      </c>
      <c r="EY361" s="436">
        <v>0</v>
      </c>
      <c r="EZ361" s="365">
        <v>0</v>
      </c>
      <c r="FA361" s="436">
        <v>0</v>
      </c>
      <c r="FB361" s="436">
        <v>0</v>
      </c>
      <c r="FC361" s="436">
        <v>0</v>
      </c>
      <c r="FD361" s="436">
        <v>0</v>
      </c>
      <c r="FE361" s="365">
        <v>0</v>
      </c>
      <c r="FF361" s="364">
        <v>0</v>
      </c>
      <c r="FG361" s="364">
        <v>0</v>
      </c>
      <c r="FH361" s="364">
        <v>0</v>
      </c>
      <c r="FI361" s="365">
        <v>0</v>
      </c>
      <c r="FJ361" s="365">
        <v>0</v>
      </c>
      <c r="FK361" s="365">
        <v>0</v>
      </c>
      <c r="FL361" s="365">
        <v>0</v>
      </c>
      <c r="FM361" s="365">
        <v>0</v>
      </c>
      <c r="FN361" s="365">
        <v>0</v>
      </c>
      <c r="FO361" s="365">
        <v>0</v>
      </c>
      <c r="FP361" s="365">
        <v>0</v>
      </c>
      <c r="FQ361" s="365">
        <v>0</v>
      </c>
      <c r="FR361" s="365">
        <v>0</v>
      </c>
      <c r="FS361" s="365">
        <v>0</v>
      </c>
      <c r="FT361" s="365">
        <v>0</v>
      </c>
      <c r="FU361" s="436">
        <v>0</v>
      </c>
      <c r="FV361" s="436">
        <v>0</v>
      </c>
      <c r="FW361" s="436">
        <v>0</v>
      </c>
      <c r="FX361" s="436">
        <v>0</v>
      </c>
      <c r="FY361" s="365">
        <v>0</v>
      </c>
      <c r="FZ361" s="436">
        <v>0</v>
      </c>
      <c r="GA361" s="436">
        <v>0</v>
      </c>
      <c r="GB361" s="436">
        <v>0</v>
      </c>
      <c r="GC361" s="436">
        <v>0</v>
      </c>
      <c r="GD361" s="365">
        <v>0</v>
      </c>
    </row>
    <row r="362" spans="1:186" ht="15" x14ac:dyDescent="0.25">
      <c r="A362" s="357">
        <v>100</v>
      </c>
      <c r="B362" s="357">
        <v>101</v>
      </c>
      <c r="C362" s="357" t="s">
        <v>1272</v>
      </c>
      <c r="D362" s="2">
        <v>99709</v>
      </c>
      <c r="E362" s="268" t="s">
        <v>1527</v>
      </c>
      <c r="F362" s="358" t="s">
        <v>985</v>
      </c>
      <c r="G362" s="49">
        <v>4</v>
      </c>
      <c r="H362" s="49">
        <v>1</v>
      </c>
      <c r="I362" s="49">
        <v>1</v>
      </c>
      <c r="J362" s="49">
        <v>0</v>
      </c>
      <c r="K362" s="49">
        <v>0</v>
      </c>
      <c r="L362" s="49">
        <v>37</v>
      </c>
      <c r="M362" s="49">
        <v>37</v>
      </c>
      <c r="N362" s="49">
        <v>0</v>
      </c>
      <c r="O362" s="49">
        <v>0</v>
      </c>
      <c r="P362" s="49">
        <v>0</v>
      </c>
      <c r="Q362" s="49">
        <v>37</v>
      </c>
      <c r="R362" s="49">
        <v>0</v>
      </c>
      <c r="S362" s="49">
        <v>2028</v>
      </c>
      <c r="T362" s="49">
        <v>2028</v>
      </c>
      <c r="U362" s="49">
        <v>0</v>
      </c>
      <c r="V362" s="49">
        <v>0</v>
      </c>
      <c r="W362" s="49">
        <v>0</v>
      </c>
      <c r="X362" s="49">
        <v>2028</v>
      </c>
      <c r="Y362" s="434">
        <v>75036</v>
      </c>
      <c r="Z362" s="434">
        <v>0</v>
      </c>
      <c r="AA362" s="49">
        <v>0</v>
      </c>
      <c r="AB362" s="49">
        <v>1</v>
      </c>
      <c r="AC362" s="49">
        <v>0</v>
      </c>
      <c r="AD362" s="285">
        <v>0</v>
      </c>
      <c r="AE362" s="285">
        <v>0</v>
      </c>
      <c r="AF362" s="359">
        <v>1</v>
      </c>
      <c r="AG362" s="360">
        <v>0</v>
      </c>
      <c r="AH362" s="360">
        <v>1</v>
      </c>
      <c r="AI362" s="361">
        <v>1</v>
      </c>
      <c r="AJ362" s="360">
        <v>0</v>
      </c>
      <c r="AK362" s="360">
        <v>0</v>
      </c>
      <c r="AL362" s="360">
        <v>0.95215839500773936</v>
      </c>
      <c r="AM362" s="360">
        <v>0.95215839500773936</v>
      </c>
      <c r="AN362" s="360">
        <v>0</v>
      </c>
      <c r="AO362" s="360">
        <v>0</v>
      </c>
      <c r="AP362" s="360">
        <v>0.95395462889797633</v>
      </c>
      <c r="AQ362" s="360">
        <v>0.95395462889797633</v>
      </c>
      <c r="AR362" s="360">
        <v>0</v>
      </c>
      <c r="AS362" s="360">
        <v>0</v>
      </c>
      <c r="AT362" s="360">
        <v>0</v>
      </c>
      <c r="AU362" s="360">
        <v>0.90660560918371424</v>
      </c>
      <c r="AV362" s="360">
        <v>0.92910286930209141</v>
      </c>
      <c r="AW362" s="360">
        <v>0.95215839500773936</v>
      </c>
      <c r="AX362" s="360">
        <v>0.97578603956386833</v>
      </c>
      <c r="AY362" s="360">
        <v>1</v>
      </c>
      <c r="AZ362" s="360">
        <v>0.91002943399587566</v>
      </c>
      <c r="BA362" s="360">
        <v>0.93173321878838855</v>
      </c>
      <c r="BB362" s="360">
        <v>0.95395462889797633</v>
      </c>
      <c r="BC362" s="360">
        <v>0.97670600945114305</v>
      </c>
      <c r="BD362" s="360">
        <v>1</v>
      </c>
      <c r="BE362" s="360">
        <v>0</v>
      </c>
      <c r="BF362" s="360">
        <v>0</v>
      </c>
      <c r="BG362" s="360">
        <v>0</v>
      </c>
      <c r="BH362" s="360">
        <v>0</v>
      </c>
      <c r="BI362" s="360">
        <v>0</v>
      </c>
      <c r="BJ362" s="362">
        <v>1.005122629011173</v>
      </c>
      <c r="BK362" s="362">
        <v>1.0102714993503321</v>
      </c>
      <c r="BL362" s="362">
        <v>1.0154467454420653</v>
      </c>
      <c r="BM362" s="363">
        <v>1.0087706286131499</v>
      </c>
      <c r="BN362" s="363">
        <v>1.0021384043232706</v>
      </c>
      <c r="BO362" s="363">
        <v>0.99893825202696962</v>
      </c>
      <c r="BP362" s="363">
        <v>0.99574831885277337</v>
      </c>
      <c r="BQ362" s="363">
        <v>0.99256857216771699</v>
      </c>
      <c r="BR362" s="363">
        <v>0.98939897944304356</v>
      </c>
      <c r="BS362" s="363">
        <v>0.98623950825387119</v>
      </c>
      <c r="BT362" s="363">
        <v>0.99353469017054841</v>
      </c>
      <c r="BU362" s="363">
        <v>1.0008838343131881</v>
      </c>
      <c r="BV362" s="363">
        <v>1.0082873398386394</v>
      </c>
      <c r="BW362" s="363">
        <v>1.0157456088563031</v>
      </c>
      <c r="BX362" s="363">
        <v>1.0232590464499682</v>
      </c>
      <c r="BY362" s="435">
        <v>1.0273836162928924</v>
      </c>
      <c r="BZ362" s="435">
        <v>1.0315081861358164</v>
      </c>
      <c r="CA362" s="435">
        <v>1.0356327559787406</v>
      </c>
      <c r="CB362" s="435">
        <v>1.0397573258216646</v>
      </c>
      <c r="CC362" s="363">
        <v>1.0438818956645888</v>
      </c>
      <c r="CD362" s="435">
        <v>1.0472628238511039</v>
      </c>
      <c r="CE362" s="435">
        <v>1.0506437520376191</v>
      </c>
      <c r="CF362" s="435">
        <v>1.0540246802241342</v>
      </c>
      <c r="CG362" s="435">
        <v>1.0574056084106493</v>
      </c>
      <c r="CH362" s="363">
        <v>1.0607865365971645</v>
      </c>
      <c r="CI362" s="362">
        <v>1.005122629011173</v>
      </c>
      <c r="CJ362" s="362">
        <v>1.0102714993503321</v>
      </c>
      <c r="CK362" s="362">
        <v>1.0154467454420653</v>
      </c>
      <c r="CL362" s="363">
        <v>1.0087706286131499</v>
      </c>
      <c r="CM362" s="363">
        <v>1.0021384043232706</v>
      </c>
      <c r="CN362" s="363">
        <v>0.99893825202696962</v>
      </c>
      <c r="CO362" s="363">
        <v>0.99574831885277337</v>
      </c>
      <c r="CP362" s="363">
        <v>0.99256857216771699</v>
      </c>
      <c r="CQ362" s="363">
        <v>0.98939897944304356</v>
      </c>
      <c r="CR362" s="363">
        <v>0.98623950825387119</v>
      </c>
      <c r="CS362" s="363">
        <v>0.99353469017054841</v>
      </c>
      <c r="CT362" s="363">
        <v>1.0008838343131881</v>
      </c>
      <c r="CU362" s="363">
        <v>1.0082873398386394</v>
      </c>
      <c r="CV362" s="363">
        <v>1.0157456088563031</v>
      </c>
      <c r="CW362" s="363">
        <v>1.0232590464499682</v>
      </c>
      <c r="CX362" s="435">
        <v>1.0273836162928924</v>
      </c>
      <c r="CY362" s="435">
        <v>1.0315081861358164</v>
      </c>
      <c r="CZ362" s="435">
        <v>1.0356327559787406</v>
      </c>
      <c r="DA362" s="435">
        <v>1.0397573258216646</v>
      </c>
      <c r="DB362" s="363">
        <v>1.0438818956645888</v>
      </c>
      <c r="DC362" s="435">
        <v>1.0472628238511039</v>
      </c>
      <c r="DD362" s="435">
        <v>1.0506437520376191</v>
      </c>
      <c r="DE362" s="435">
        <v>1.0540246802241342</v>
      </c>
      <c r="DF362" s="435">
        <v>1.0574056084106493</v>
      </c>
      <c r="DG362" s="363">
        <v>1.0607865365971645</v>
      </c>
      <c r="DH362" s="362">
        <v>0</v>
      </c>
      <c r="DI362" s="362">
        <v>0</v>
      </c>
      <c r="DJ362" s="362">
        <v>0</v>
      </c>
      <c r="DK362" s="363">
        <v>0</v>
      </c>
      <c r="DL362" s="363">
        <v>0</v>
      </c>
      <c r="DM362" s="363">
        <v>0</v>
      </c>
      <c r="DN362" s="363">
        <v>0</v>
      </c>
      <c r="DO362" s="363">
        <v>0</v>
      </c>
      <c r="DP362" s="363">
        <v>0</v>
      </c>
      <c r="DQ362" s="363">
        <v>0</v>
      </c>
      <c r="DR362" s="363">
        <v>0</v>
      </c>
      <c r="DS362" s="363">
        <v>0</v>
      </c>
      <c r="DT362" s="363">
        <v>0</v>
      </c>
      <c r="DU362" s="363">
        <v>0</v>
      </c>
      <c r="DV362" s="363">
        <v>0</v>
      </c>
      <c r="DW362" s="435">
        <v>0</v>
      </c>
      <c r="DX362" s="435">
        <v>0</v>
      </c>
      <c r="DY362" s="435">
        <v>0</v>
      </c>
      <c r="DZ362" s="435">
        <v>0</v>
      </c>
      <c r="EA362" s="363">
        <v>0</v>
      </c>
      <c r="EB362" s="435">
        <v>0</v>
      </c>
      <c r="EC362" s="435">
        <v>0</v>
      </c>
      <c r="ED362" s="435">
        <v>0</v>
      </c>
      <c r="EE362" s="435">
        <v>0</v>
      </c>
      <c r="EF362" s="363">
        <v>0</v>
      </c>
      <c r="EG362" s="364">
        <v>0</v>
      </c>
      <c r="EH362" s="364">
        <v>0</v>
      </c>
      <c r="EI362" s="364">
        <v>0</v>
      </c>
      <c r="EJ362" s="365">
        <v>0</v>
      </c>
      <c r="EK362" s="365">
        <v>0</v>
      </c>
      <c r="EL362" s="365">
        <v>0</v>
      </c>
      <c r="EM362" s="365">
        <v>0</v>
      </c>
      <c r="EN362" s="365">
        <v>0</v>
      </c>
      <c r="EO362" s="365">
        <v>0</v>
      </c>
      <c r="EP362" s="365">
        <v>0</v>
      </c>
      <c r="EQ362" s="365">
        <v>0</v>
      </c>
      <c r="ER362" s="365">
        <v>0</v>
      </c>
      <c r="ES362" s="365">
        <v>0</v>
      </c>
      <c r="ET362" s="365">
        <v>0</v>
      </c>
      <c r="EU362" s="365">
        <v>0</v>
      </c>
      <c r="EV362" s="436">
        <v>0</v>
      </c>
      <c r="EW362" s="436">
        <v>0</v>
      </c>
      <c r="EX362" s="436">
        <v>0</v>
      </c>
      <c r="EY362" s="436">
        <v>0</v>
      </c>
      <c r="EZ362" s="365">
        <v>0</v>
      </c>
      <c r="FA362" s="436">
        <v>0</v>
      </c>
      <c r="FB362" s="436">
        <v>0</v>
      </c>
      <c r="FC362" s="436">
        <v>0</v>
      </c>
      <c r="FD362" s="436">
        <v>0</v>
      </c>
      <c r="FE362" s="365">
        <v>0</v>
      </c>
      <c r="FF362" s="364">
        <v>0</v>
      </c>
      <c r="FG362" s="364">
        <v>0</v>
      </c>
      <c r="FH362" s="364">
        <v>0</v>
      </c>
      <c r="FI362" s="365">
        <v>0</v>
      </c>
      <c r="FJ362" s="365">
        <v>0</v>
      </c>
      <c r="FK362" s="365">
        <v>0</v>
      </c>
      <c r="FL362" s="365">
        <v>0</v>
      </c>
      <c r="FM362" s="365">
        <v>0</v>
      </c>
      <c r="FN362" s="365">
        <v>0</v>
      </c>
      <c r="FO362" s="365">
        <v>0</v>
      </c>
      <c r="FP362" s="365">
        <v>0</v>
      </c>
      <c r="FQ362" s="365">
        <v>0</v>
      </c>
      <c r="FR362" s="365">
        <v>0</v>
      </c>
      <c r="FS362" s="365">
        <v>0</v>
      </c>
      <c r="FT362" s="365">
        <v>0</v>
      </c>
      <c r="FU362" s="436">
        <v>0</v>
      </c>
      <c r="FV362" s="436">
        <v>0</v>
      </c>
      <c r="FW362" s="436">
        <v>0</v>
      </c>
      <c r="FX362" s="436">
        <v>0</v>
      </c>
      <c r="FY362" s="365">
        <v>0</v>
      </c>
      <c r="FZ362" s="436">
        <v>0</v>
      </c>
      <c r="GA362" s="436">
        <v>0</v>
      </c>
      <c r="GB362" s="436">
        <v>0</v>
      </c>
      <c r="GC362" s="436">
        <v>0</v>
      </c>
      <c r="GD362" s="365">
        <v>0</v>
      </c>
    </row>
    <row r="363" spans="1:186" ht="15" x14ac:dyDescent="0.25">
      <c r="A363" s="357">
        <v>101</v>
      </c>
      <c r="B363" s="357">
        <v>101</v>
      </c>
      <c r="C363" s="357" t="s">
        <v>1273</v>
      </c>
      <c r="D363" s="2">
        <v>99709</v>
      </c>
      <c r="E363" s="268" t="s">
        <v>1527</v>
      </c>
      <c r="F363" s="358" t="s">
        <v>985</v>
      </c>
      <c r="G363" s="49">
        <v>43</v>
      </c>
      <c r="H363" s="49">
        <v>17</v>
      </c>
      <c r="I363" s="49">
        <v>15</v>
      </c>
      <c r="J363" s="49">
        <v>2</v>
      </c>
      <c r="K363" s="49">
        <v>0</v>
      </c>
      <c r="L363" s="49">
        <v>57</v>
      </c>
      <c r="M363" s="49">
        <v>57</v>
      </c>
      <c r="N363" s="49">
        <v>0</v>
      </c>
      <c r="O363" s="49">
        <v>0</v>
      </c>
      <c r="P363" s="49">
        <v>0</v>
      </c>
      <c r="Q363" s="49">
        <v>57</v>
      </c>
      <c r="R363" s="49">
        <v>0</v>
      </c>
      <c r="S363" s="49">
        <v>2176.7368421052633</v>
      </c>
      <c r="T363" s="49">
        <v>2176.7368421052633</v>
      </c>
      <c r="U363" s="49">
        <v>0</v>
      </c>
      <c r="V363" s="49">
        <v>0</v>
      </c>
      <c r="W363" s="49">
        <v>0</v>
      </c>
      <c r="X363" s="49">
        <v>2176.7368421052633</v>
      </c>
      <c r="Y363" s="434">
        <v>124074.00000000001</v>
      </c>
      <c r="Z363" s="434">
        <v>0</v>
      </c>
      <c r="AA363" s="49">
        <v>0</v>
      </c>
      <c r="AB363" s="49">
        <v>17</v>
      </c>
      <c r="AC363" s="49">
        <v>0</v>
      </c>
      <c r="AD363" s="285">
        <v>0</v>
      </c>
      <c r="AE363" s="285">
        <v>0</v>
      </c>
      <c r="AF363" s="359">
        <v>17</v>
      </c>
      <c r="AG363" s="360">
        <v>0</v>
      </c>
      <c r="AH363" s="360">
        <v>15</v>
      </c>
      <c r="AI363" s="361">
        <v>15</v>
      </c>
      <c r="AJ363" s="360">
        <v>0</v>
      </c>
      <c r="AK363" s="360">
        <v>0</v>
      </c>
      <c r="AL363" s="360">
        <v>16.186692715131567</v>
      </c>
      <c r="AM363" s="360">
        <v>16.186692715131567</v>
      </c>
      <c r="AN363" s="360">
        <v>0</v>
      </c>
      <c r="AO363" s="360">
        <v>0</v>
      </c>
      <c r="AP363" s="360">
        <v>14.309319433469645</v>
      </c>
      <c r="AQ363" s="360">
        <v>14.309319433469645</v>
      </c>
      <c r="AR363" s="360">
        <v>0</v>
      </c>
      <c r="AS363" s="360">
        <v>0</v>
      </c>
      <c r="AT363" s="360">
        <v>0</v>
      </c>
      <c r="AU363" s="360">
        <v>15.412295356123142</v>
      </c>
      <c r="AV363" s="360">
        <v>15.794748778135553</v>
      </c>
      <c r="AW363" s="360">
        <v>16.186692715131567</v>
      </c>
      <c r="AX363" s="360">
        <v>16.588362672585763</v>
      </c>
      <c r="AY363" s="360">
        <v>17</v>
      </c>
      <c r="AZ363" s="360">
        <v>13.650441509938135</v>
      </c>
      <c r="BA363" s="360">
        <v>13.975998281825829</v>
      </c>
      <c r="BB363" s="360">
        <v>14.309319433469645</v>
      </c>
      <c r="BC363" s="360">
        <v>14.650590141767145</v>
      </c>
      <c r="BD363" s="360">
        <v>15</v>
      </c>
      <c r="BE363" s="360">
        <v>0</v>
      </c>
      <c r="BF363" s="360">
        <v>0</v>
      </c>
      <c r="BG363" s="360">
        <v>0</v>
      </c>
      <c r="BH363" s="360">
        <v>0</v>
      </c>
      <c r="BI363" s="360">
        <v>0</v>
      </c>
      <c r="BJ363" s="362">
        <v>17.08708469318994</v>
      </c>
      <c r="BK363" s="362">
        <v>17.174615488955645</v>
      </c>
      <c r="BL363" s="362">
        <v>17.26259467251511</v>
      </c>
      <c r="BM363" s="363">
        <v>17.149100686423552</v>
      </c>
      <c r="BN363" s="363">
        <v>17.036352873495602</v>
      </c>
      <c r="BO363" s="363">
        <v>16.981950284458485</v>
      </c>
      <c r="BP363" s="363">
        <v>16.927721420497146</v>
      </c>
      <c r="BQ363" s="363">
        <v>16.87366572685119</v>
      </c>
      <c r="BR363" s="363">
        <v>16.819782650531742</v>
      </c>
      <c r="BS363" s="363">
        <v>16.766071640315811</v>
      </c>
      <c r="BT363" s="363">
        <v>16.890089732899323</v>
      </c>
      <c r="BU363" s="363">
        <v>17.015025183324195</v>
      </c>
      <c r="BV363" s="363">
        <v>17.140884777256872</v>
      </c>
      <c r="BW363" s="363">
        <v>17.267675350557152</v>
      </c>
      <c r="BX363" s="363">
        <v>17.395403789649464</v>
      </c>
      <c r="BY363" s="435">
        <v>17.465521476979173</v>
      </c>
      <c r="BZ363" s="435">
        <v>17.535639164308883</v>
      </c>
      <c r="CA363" s="435">
        <v>17.605756851638592</v>
      </c>
      <c r="CB363" s="435">
        <v>17.675874538968301</v>
      </c>
      <c r="CC363" s="363">
        <v>17.745992226298011</v>
      </c>
      <c r="CD363" s="435">
        <v>17.803468005468769</v>
      </c>
      <c r="CE363" s="435">
        <v>17.860943784639524</v>
      </c>
      <c r="CF363" s="435">
        <v>17.918419563810282</v>
      </c>
      <c r="CG363" s="435">
        <v>17.975895342981037</v>
      </c>
      <c r="CH363" s="363">
        <v>18.033371122151795</v>
      </c>
      <c r="CI363" s="362">
        <v>15.076839435167596</v>
      </c>
      <c r="CJ363" s="362">
        <v>15.154072490254983</v>
      </c>
      <c r="CK363" s="362">
        <v>15.231701181630978</v>
      </c>
      <c r="CL363" s="363">
        <v>15.13155942919725</v>
      </c>
      <c r="CM363" s="363">
        <v>15.032076064849059</v>
      </c>
      <c r="CN363" s="363">
        <v>14.984073780404543</v>
      </c>
      <c r="CO363" s="363">
        <v>14.9362247827916</v>
      </c>
      <c r="CP363" s="363">
        <v>14.888528582515754</v>
      </c>
      <c r="CQ363" s="363">
        <v>14.840984691645653</v>
      </c>
      <c r="CR363" s="363">
        <v>14.793592623808067</v>
      </c>
      <c r="CS363" s="363">
        <v>14.903020352558226</v>
      </c>
      <c r="CT363" s="363">
        <v>15.013257514697818</v>
      </c>
      <c r="CU363" s="363">
        <v>15.12431009757959</v>
      </c>
      <c r="CV363" s="363">
        <v>15.236184132844546</v>
      </c>
      <c r="CW363" s="363">
        <v>15.348885696749523</v>
      </c>
      <c r="CX363" s="435">
        <v>15.410754244393384</v>
      </c>
      <c r="CY363" s="435">
        <v>15.472622792037246</v>
      </c>
      <c r="CZ363" s="435">
        <v>15.534491339681109</v>
      </c>
      <c r="DA363" s="435">
        <v>15.59635988732497</v>
      </c>
      <c r="DB363" s="363">
        <v>15.658228434968832</v>
      </c>
      <c r="DC363" s="435">
        <v>15.708942357766558</v>
      </c>
      <c r="DD363" s="435">
        <v>15.759656280564284</v>
      </c>
      <c r="DE363" s="435">
        <v>15.810370203362012</v>
      </c>
      <c r="DF363" s="435">
        <v>15.861084126159739</v>
      </c>
      <c r="DG363" s="363">
        <v>15.911798048957465</v>
      </c>
      <c r="DH363" s="362">
        <v>0</v>
      </c>
      <c r="DI363" s="362">
        <v>0</v>
      </c>
      <c r="DJ363" s="362">
        <v>0</v>
      </c>
      <c r="DK363" s="363">
        <v>0</v>
      </c>
      <c r="DL363" s="363">
        <v>0</v>
      </c>
      <c r="DM363" s="363">
        <v>0</v>
      </c>
      <c r="DN363" s="363">
        <v>0</v>
      </c>
      <c r="DO363" s="363">
        <v>0</v>
      </c>
      <c r="DP363" s="363">
        <v>0</v>
      </c>
      <c r="DQ363" s="363">
        <v>0</v>
      </c>
      <c r="DR363" s="363">
        <v>0</v>
      </c>
      <c r="DS363" s="363">
        <v>0</v>
      </c>
      <c r="DT363" s="363">
        <v>0</v>
      </c>
      <c r="DU363" s="363">
        <v>0</v>
      </c>
      <c r="DV363" s="363">
        <v>0</v>
      </c>
      <c r="DW363" s="435">
        <v>0</v>
      </c>
      <c r="DX363" s="435">
        <v>0</v>
      </c>
      <c r="DY363" s="435">
        <v>0</v>
      </c>
      <c r="DZ363" s="435">
        <v>0</v>
      </c>
      <c r="EA363" s="363">
        <v>0</v>
      </c>
      <c r="EB363" s="435">
        <v>0</v>
      </c>
      <c r="EC363" s="435">
        <v>0</v>
      </c>
      <c r="ED363" s="435">
        <v>0</v>
      </c>
      <c r="EE363" s="435">
        <v>0</v>
      </c>
      <c r="EF363" s="363">
        <v>0</v>
      </c>
      <c r="EG363" s="364">
        <v>0</v>
      </c>
      <c r="EH363" s="364">
        <v>0</v>
      </c>
      <c r="EI363" s="364">
        <v>0</v>
      </c>
      <c r="EJ363" s="365">
        <v>0</v>
      </c>
      <c r="EK363" s="365">
        <v>0</v>
      </c>
      <c r="EL363" s="365">
        <v>0</v>
      </c>
      <c r="EM363" s="365">
        <v>0</v>
      </c>
      <c r="EN363" s="365">
        <v>0</v>
      </c>
      <c r="EO363" s="365">
        <v>0</v>
      </c>
      <c r="EP363" s="365">
        <v>0</v>
      </c>
      <c r="EQ363" s="365">
        <v>0</v>
      </c>
      <c r="ER363" s="365">
        <v>0</v>
      </c>
      <c r="ES363" s="365">
        <v>0</v>
      </c>
      <c r="ET363" s="365">
        <v>0</v>
      </c>
      <c r="EU363" s="365">
        <v>0</v>
      </c>
      <c r="EV363" s="436">
        <v>0</v>
      </c>
      <c r="EW363" s="436">
        <v>0</v>
      </c>
      <c r="EX363" s="436">
        <v>0</v>
      </c>
      <c r="EY363" s="436">
        <v>0</v>
      </c>
      <c r="EZ363" s="365">
        <v>0</v>
      </c>
      <c r="FA363" s="436">
        <v>0</v>
      </c>
      <c r="FB363" s="436">
        <v>0</v>
      </c>
      <c r="FC363" s="436">
        <v>0</v>
      </c>
      <c r="FD363" s="436">
        <v>0</v>
      </c>
      <c r="FE363" s="365">
        <v>0</v>
      </c>
      <c r="FF363" s="364">
        <v>0</v>
      </c>
      <c r="FG363" s="364">
        <v>0</v>
      </c>
      <c r="FH363" s="364">
        <v>0</v>
      </c>
      <c r="FI363" s="365">
        <v>0</v>
      </c>
      <c r="FJ363" s="365">
        <v>0</v>
      </c>
      <c r="FK363" s="365">
        <v>0</v>
      </c>
      <c r="FL363" s="365">
        <v>0</v>
      </c>
      <c r="FM363" s="365">
        <v>0</v>
      </c>
      <c r="FN363" s="365">
        <v>0</v>
      </c>
      <c r="FO363" s="365">
        <v>0</v>
      </c>
      <c r="FP363" s="365">
        <v>0</v>
      </c>
      <c r="FQ363" s="365">
        <v>0</v>
      </c>
      <c r="FR363" s="365">
        <v>0</v>
      </c>
      <c r="FS363" s="365">
        <v>0</v>
      </c>
      <c r="FT363" s="365">
        <v>0</v>
      </c>
      <c r="FU363" s="436">
        <v>0</v>
      </c>
      <c r="FV363" s="436">
        <v>0</v>
      </c>
      <c r="FW363" s="436">
        <v>0</v>
      </c>
      <c r="FX363" s="436">
        <v>0</v>
      </c>
      <c r="FY363" s="365">
        <v>0</v>
      </c>
      <c r="FZ363" s="436">
        <v>0</v>
      </c>
      <c r="GA363" s="436">
        <v>0</v>
      </c>
      <c r="GB363" s="436">
        <v>0</v>
      </c>
      <c r="GC363" s="436">
        <v>0</v>
      </c>
      <c r="GD363" s="365">
        <v>0</v>
      </c>
    </row>
    <row r="364" spans="1:186" ht="15" x14ac:dyDescent="0.25">
      <c r="A364" s="357">
        <v>104</v>
      </c>
      <c r="B364" s="357">
        <v>101</v>
      </c>
      <c r="C364" s="357" t="s">
        <v>1274</v>
      </c>
      <c r="D364" s="2">
        <v>99709</v>
      </c>
      <c r="E364" s="268" t="s">
        <v>1527</v>
      </c>
      <c r="F364" s="358" t="s">
        <v>985</v>
      </c>
      <c r="G364" s="49">
        <v>74</v>
      </c>
      <c r="H364" s="49">
        <v>33</v>
      </c>
      <c r="I364" s="49">
        <v>31</v>
      </c>
      <c r="J364" s="49">
        <v>2</v>
      </c>
      <c r="K364" s="49">
        <v>1</v>
      </c>
      <c r="L364" s="49">
        <v>110</v>
      </c>
      <c r="M364" s="49">
        <v>111</v>
      </c>
      <c r="N364" s="49">
        <v>3</v>
      </c>
      <c r="O364" s="49">
        <v>0</v>
      </c>
      <c r="P364" s="49">
        <v>0</v>
      </c>
      <c r="Q364" s="49">
        <v>114</v>
      </c>
      <c r="R364" s="49">
        <v>3452</v>
      </c>
      <c r="S364" s="49">
        <v>2332.909090909091</v>
      </c>
      <c r="T364" s="49">
        <v>2342.9909909909911</v>
      </c>
      <c r="U364" s="49">
        <v>5083.333333333333</v>
      </c>
      <c r="V364" s="49">
        <v>0</v>
      </c>
      <c r="W364" s="49">
        <v>0</v>
      </c>
      <c r="X364" s="49">
        <v>2415.1052631578946</v>
      </c>
      <c r="Y364" s="434">
        <v>260072</v>
      </c>
      <c r="Z364" s="434">
        <v>15250</v>
      </c>
      <c r="AA364" s="49">
        <v>0.29729729729729731</v>
      </c>
      <c r="AB364" s="49">
        <v>32.702702702702702</v>
      </c>
      <c r="AC364" s="49">
        <v>0</v>
      </c>
      <c r="AD364" s="285">
        <v>3</v>
      </c>
      <c r="AE364" s="285">
        <v>0</v>
      </c>
      <c r="AF364" s="359">
        <v>36</v>
      </c>
      <c r="AG364" s="360">
        <v>0.27927927927927931</v>
      </c>
      <c r="AH364" s="360">
        <v>30.72072072072072</v>
      </c>
      <c r="AI364" s="361">
        <v>31</v>
      </c>
      <c r="AJ364" s="360">
        <v>0</v>
      </c>
      <c r="AK364" s="360">
        <v>0.28307411743473332</v>
      </c>
      <c r="AL364" s="360">
        <v>31.138152917820666</v>
      </c>
      <c r="AM364" s="360">
        <v>31.421227035255399</v>
      </c>
      <c r="AN364" s="360">
        <v>0</v>
      </c>
      <c r="AO364" s="360">
        <v>0.26641976122375921</v>
      </c>
      <c r="AP364" s="360">
        <v>29.306173734613505</v>
      </c>
      <c r="AQ364" s="360">
        <v>29.572593495837264</v>
      </c>
      <c r="AR364" s="360">
        <v>0</v>
      </c>
      <c r="AS364" s="360">
        <v>2.8789972155037225</v>
      </c>
      <c r="AT364" s="360">
        <v>0</v>
      </c>
      <c r="AU364" s="360">
        <v>29.91798510306257</v>
      </c>
      <c r="AV364" s="360">
        <v>30.660394686969013</v>
      </c>
      <c r="AW364" s="360">
        <v>31.421227035255399</v>
      </c>
      <c r="AX364" s="360">
        <v>32.200939305607655</v>
      </c>
      <c r="AY364" s="360">
        <v>33</v>
      </c>
      <c r="AZ364" s="360">
        <v>28.210912453872144</v>
      </c>
      <c r="BA364" s="360">
        <v>28.883729782440046</v>
      </c>
      <c r="BB364" s="360">
        <v>29.572593495837264</v>
      </c>
      <c r="BC364" s="360">
        <v>30.277886292985432</v>
      </c>
      <c r="BD364" s="360">
        <v>31</v>
      </c>
      <c r="BE364" s="360">
        <v>2.7628749889593962</v>
      </c>
      <c r="BF364" s="360">
        <v>2.8203385257800138</v>
      </c>
      <c r="BG364" s="360">
        <v>2.8789972155037225</v>
      </c>
      <c r="BH364" s="360">
        <v>2.9388759154668591</v>
      </c>
      <c r="BI364" s="360">
        <v>3</v>
      </c>
      <c r="BJ364" s="362">
        <v>33.169046757368712</v>
      </c>
      <c r="BK364" s="362">
        <v>33.338959478560959</v>
      </c>
      <c r="BL364" s="362">
        <v>33.509742599588151</v>
      </c>
      <c r="BM364" s="363">
        <v>33.289430744233947</v>
      </c>
      <c r="BN364" s="363">
        <v>33.070567342667928</v>
      </c>
      <c r="BO364" s="363">
        <v>32.964962316889995</v>
      </c>
      <c r="BP364" s="363">
        <v>32.859694522141517</v>
      </c>
      <c r="BQ364" s="363">
        <v>32.754762881534653</v>
      </c>
      <c r="BR364" s="363">
        <v>32.650166321620432</v>
      </c>
      <c r="BS364" s="363">
        <v>32.545903772377748</v>
      </c>
      <c r="BT364" s="363">
        <v>32.786644775628098</v>
      </c>
      <c r="BU364" s="363">
        <v>33.029166532335196</v>
      </c>
      <c r="BV364" s="363">
        <v>33.273482214675099</v>
      </c>
      <c r="BW364" s="363">
        <v>33.519605092257997</v>
      </c>
      <c r="BX364" s="363">
        <v>33.767548532848949</v>
      </c>
      <c r="BY364" s="435">
        <v>33.903659337665445</v>
      </c>
      <c r="BZ364" s="435">
        <v>34.039770142481942</v>
      </c>
      <c r="CA364" s="435">
        <v>34.175880947298438</v>
      </c>
      <c r="CB364" s="435">
        <v>34.311991752114935</v>
      </c>
      <c r="CC364" s="363">
        <v>34.448102556931431</v>
      </c>
      <c r="CD364" s="435">
        <v>34.559673187086432</v>
      </c>
      <c r="CE364" s="435">
        <v>34.671243817241432</v>
      </c>
      <c r="CF364" s="435">
        <v>34.782814447396426</v>
      </c>
      <c r="CG364" s="435">
        <v>34.894385077551426</v>
      </c>
      <c r="CH364" s="363">
        <v>35.005955707706427</v>
      </c>
      <c r="CI364" s="362">
        <v>31.158801499346364</v>
      </c>
      <c r="CJ364" s="362">
        <v>31.318416479860296</v>
      </c>
      <c r="CK364" s="362">
        <v>31.478849108704022</v>
      </c>
      <c r="CL364" s="363">
        <v>31.271889487007648</v>
      </c>
      <c r="CM364" s="363">
        <v>31.066290534021391</v>
      </c>
      <c r="CN364" s="363">
        <v>30.967085812836057</v>
      </c>
      <c r="CO364" s="363">
        <v>30.868197884435972</v>
      </c>
      <c r="CP364" s="363">
        <v>30.769625737199224</v>
      </c>
      <c r="CQ364" s="363">
        <v>30.671368362734349</v>
      </c>
      <c r="CR364" s="363">
        <v>30.573424755870008</v>
      </c>
      <c r="CS364" s="363">
        <v>30.799575395287</v>
      </c>
      <c r="CT364" s="363">
        <v>31.027398863708825</v>
      </c>
      <c r="CU364" s="363">
        <v>31.256907534997822</v>
      </c>
      <c r="CV364" s="363">
        <v>31.488113874545395</v>
      </c>
      <c r="CW364" s="363">
        <v>31.721030439949018</v>
      </c>
      <c r="CX364" s="435">
        <v>31.848892105079663</v>
      </c>
      <c r="CY364" s="435">
        <v>31.976753770210312</v>
      </c>
      <c r="CZ364" s="435">
        <v>32.104615435340961</v>
      </c>
      <c r="DA364" s="435">
        <v>32.232477100471606</v>
      </c>
      <c r="DB364" s="363">
        <v>32.360338765602251</v>
      </c>
      <c r="DC364" s="435">
        <v>32.465147539384219</v>
      </c>
      <c r="DD364" s="435">
        <v>32.569956313166188</v>
      </c>
      <c r="DE364" s="435">
        <v>32.674765086948163</v>
      </c>
      <c r="DF364" s="435">
        <v>32.779573860730132</v>
      </c>
      <c r="DG364" s="363">
        <v>32.8843826345121</v>
      </c>
      <c r="DH364" s="362">
        <v>3.015367887033519</v>
      </c>
      <c r="DI364" s="362">
        <v>3.0308144980509963</v>
      </c>
      <c r="DJ364" s="362">
        <v>3.0463402363261958</v>
      </c>
      <c r="DK364" s="363">
        <v>3.02631188583945</v>
      </c>
      <c r="DL364" s="363">
        <v>3.0064152129698121</v>
      </c>
      <c r="DM364" s="363">
        <v>2.9968147560809091</v>
      </c>
      <c r="DN364" s="363">
        <v>2.9872449565583201</v>
      </c>
      <c r="DO364" s="363">
        <v>2.9777057165031509</v>
      </c>
      <c r="DP364" s="363">
        <v>2.9681969383291307</v>
      </c>
      <c r="DQ364" s="363">
        <v>2.9587185247616135</v>
      </c>
      <c r="DR364" s="363">
        <v>2.9806040705116454</v>
      </c>
      <c r="DS364" s="363">
        <v>3.002651502939564</v>
      </c>
      <c r="DT364" s="363">
        <v>3.0248620195159184</v>
      </c>
      <c r="DU364" s="363">
        <v>3.0472368265689092</v>
      </c>
      <c r="DV364" s="363">
        <v>3.0697771393499051</v>
      </c>
      <c r="DW364" s="435">
        <v>3.0821508488786775</v>
      </c>
      <c r="DX364" s="435">
        <v>3.0945245584074499</v>
      </c>
      <c r="DY364" s="435">
        <v>3.1068982679362218</v>
      </c>
      <c r="DZ364" s="435">
        <v>3.1192719774649942</v>
      </c>
      <c r="EA364" s="363">
        <v>3.1316456869937666</v>
      </c>
      <c r="EB364" s="435">
        <v>3.141788471553312</v>
      </c>
      <c r="EC364" s="435">
        <v>3.1519312561128574</v>
      </c>
      <c r="ED364" s="435">
        <v>3.1620740406724024</v>
      </c>
      <c r="EE364" s="435">
        <v>3.1722168252319478</v>
      </c>
      <c r="EF364" s="363">
        <v>3.1823596097914932</v>
      </c>
      <c r="EG364" s="364">
        <v>0</v>
      </c>
      <c r="EH364" s="364">
        <v>0</v>
      </c>
      <c r="EI364" s="364">
        <v>0</v>
      </c>
      <c r="EJ364" s="365">
        <v>0</v>
      </c>
      <c r="EK364" s="365">
        <v>0</v>
      </c>
      <c r="EL364" s="365">
        <v>0</v>
      </c>
      <c r="EM364" s="365">
        <v>0</v>
      </c>
      <c r="EN364" s="365">
        <v>0</v>
      </c>
      <c r="EO364" s="365">
        <v>0</v>
      </c>
      <c r="EP364" s="365">
        <v>0</v>
      </c>
      <c r="EQ364" s="365">
        <v>0</v>
      </c>
      <c r="ER364" s="365">
        <v>0</v>
      </c>
      <c r="ES364" s="365">
        <v>0</v>
      </c>
      <c r="ET364" s="365">
        <v>0</v>
      </c>
      <c r="EU364" s="365">
        <v>0</v>
      </c>
      <c r="EV364" s="436">
        <v>0</v>
      </c>
      <c r="EW364" s="436">
        <v>0</v>
      </c>
      <c r="EX364" s="436">
        <v>0</v>
      </c>
      <c r="EY364" s="436">
        <v>0</v>
      </c>
      <c r="EZ364" s="365">
        <v>0</v>
      </c>
      <c r="FA364" s="436">
        <v>0</v>
      </c>
      <c r="FB364" s="436">
        <v>0</v>
      </c>
      <c r="FC364" s="436">
        <v>0</v>
      </c>
      <c r="FD364" s="436">
        <v>0</v>
      </c>
      <c r="FE364" s="365">
        <v>0</v>
      </c>
      <c r="FF364" s="364">
        <v>0</v>
      </c>
      <c r="FG364" s="364">
        <v>0</v>
      </c>
      <c r="FH364" s="364">
        <v>0</v>
      </c>
      <c r="FI364" s="365">
        <v>0</v>
      </c>
      <c r="FJ364" s="365">
        <v>0</v>
      </c>
      <c r="FK364" s="365">
        <v>0</v>
      </c>
      <c r="FL364" s="365">
        <v>0</v>
      </c>
      <c r="FM364" s="365">
        <v>0</v>
      </c>
      <c r="FN364" s="365">
        <v>0</v>
      </c>
      <c r="FO364" s="365">
        <v>0</v>
      </c>
      <c r="FP364" s="365">
        <v>0</v>
      </c>
      <c r="FQ364" s="365">
        <v>0</v>
      </c>
      <c r="FR364" s="365">
        <v>0</v>
      </c>
      <c r="FS364" s="365">
        <v>0</v>
      </c>
      <c r="FT364" s="365">
        <v>0</v>
      </c>
      <c r="FU364" s="436">
        <v>0</v>
      </c>
      <c r="FV364" s="436">
        <v>0</v>
      </c>
      <c r="FW364" s="436">
        <v>0</v>
      </c>
      <c r="FX364" s="436">
        <v>0</v>
      </c>
      <c r="FY364" s="365">
        <v>0</v>
      </c>
      <c r="FZ364" s="436">
        <v>0</v>
      </c>
      <c r="GA364" s="436">
        <v>0</v>
      </c>
      <c r="GB364" s="436">
        <v>0</v>
      </c>
      <c r="GC364" s="436">
        <v>0</v>
      </c>
      <c r="GD364" s="365">
        <v>0</v>
      </c>
    </row>
    <row r="365" spans="1:186" ht="15" x14ac:dyDescent="0.25">
      <c r="A365" s="357">
        <v>106</v>
      </c>
      <c r="B365" s="357">
        <v>101</v>
      </c>
      <c r="C365" s="357" t="s">
        <v>1275</v>
      </c>
      <c r="D365" s="2">
        <v>99709</v>
      </c>
      <c r="E365" s="268" t="s">
        <v>1527</v>
      </c>
      <c r="F365" s="358" t="s">
        <v>985</v>
      </c>
      <c r="G365" s="49">
        <v>274</v>
      </c>
      <c r="H365" s="49">
        <v>157</v>
      </c>
      <c r="I365" s="49">
        <v>134</v>
      </c>
      <c r="J365" s="49">
        <v>23</v>
      </c>
      <c r="K365" s="49">
        <v>0</v>
      </c>
      <c r="L365" s="49">
        <v>1</v>
      </c>
      <c r="M365" s="49">
        <v>1</v>
      </c>
      <c r="N365" s="49">
        <v>0</v>
      </c>
      <c r="O365" s="49">
        <v>0</v>
      </c>
      <c r="P365" s="49">
        <v>0</v>
      </c>
      <c r="Q365" s="49">
        <v>1</v>
      </c>
      <c r="R365" s="49">
        <v>0</v>
      </c>
      <c r="S365" s="49">
        <v>3292</v>
      </c>
      <c r="T365" s="49">
        <v>3292</v>
      </c>
      <c r="U365" s="49">
        <v>0</v>
      </c>
      <c r="V365" s="49">
        <v>0</v>
      </c>
      <c r="W365" s="49">
        <v>0</v>
      </c>
      <c r="X365" s="49">
        <v>3292</v>
      </c>
      <c r="Y365" s="434">
        <v>3292</v>
      </c>
      <c r="Z365" s="434">
        <v>0</v>
      </c>
      <c r="AA365" s="49">
        <v>0</v>
      </c>
      <c r="AB365" s="49">
        <v>157</v>
      </c>
      <c r="AC365" s="49">
        <v>0</v>
      </c>
      <c r="AD365" s="285">
        <v>0</v>
      </c>
      <c r="AE365" s="285">
        <v>0</v>
      </c>
      <c r="AF365" s="359">
        <v>157</v>
      </c>
      <c r="AG365" s="360">
        <v>0</v>
      </c>
      <c r="AH365" s="360">
        <v>134</v>
      </c>
      <c r="AI365" s="361">
        <v>134</v>
      </c>
      <c r="AJ365" s="360">
        <v>0</v>
      </c>
      <c r="AK365" s="360">
        <v>0</v>
      </c>
      <c r="AL365" s="360">
        <v>149.48886801621506</v>
      </c>
      <c r="AM365" s="360">
        <v>149.48886801621506</v>
      </c>
      <c r="AN365" s="360">
        <v>0</v>
      </c>
      <c r="AO365" s="360">
        <v>0</v>
      </c>
      <c r="AP365" s="360">
        <v>127.82992027232882</v>
      </c>
      <c r="AQ365" s="360">
        <v>127.82992027232882</v>
      </c>
      <c r="AR365" s="360">
        <v>0</v>
      </c>
      <c r="AS365" s="360">
        <v>0</v>
      </c>
      <c r="AT365" s="360">
        <v>0</v>
      </c>
      <c r="AU365" s="360">
        <v>142.33708064184313</v>
      </c>
      <c r="AV365" s="360">
        <v>145.86915048042835</v>
      </c>
      <c r="AW365" s="360">
        <v>149.48886801621506</v>
      </c>
      <c r="AX365" s="360">
        <v>153.19840821152732</v>
      </c>
      <c r="AY365" s="360">
        <v>157</v>
      </c>
      <c r="AZ365" s="360">
        <v>121.94394415544734</v>
      </c>
      <c r="BA365" s="360">
        <v>124.85225131764406</v>
      </c>
      <c r="BB365" s="360">
        <v>127.82992027232882</v>
      </c>
      <c r="BC365" s="360">
        <v>130.87860526645315</v>
      </c>
      <c r="BD365" s="360">
        <v>134</v>
      </c>
      <c r="BE365" s="360">
        <v>0</v>
      </c>
      <c r="BF365" s="360">
        <v>0</v>
      </c>
      <c r="BG365" s="360">
        <v>0</v>
      </c>
      <c r="BH365" s="360">
        <v>0</v>
      </c>
      <c r="BI365" s="360">
        <v>0</v>
      </c>
      <c r="BJ365" s="362">
        <v>157.80425275475417</v>
      </c>
      <c r="BK365" s="362">
        <v>158.61262539800214</v>
      </c>
      <c r="BL365" s="362">
        <v>159.42513903440425</v>
      </c>
      <c r="BM365" s="363">
        <v>158.37698869226455</v>
      </c>
      <c r="BN365" s="363">
        <v>157.33572947875351</v>
      </c>
      <c r="BO365" s="363">
        <v>156.83330556823424</v>
      </c>
      <c r="BP365" s="363">
        <v>156.33248605988541</v>
      </c>
      <c r="BQ365" s="363">
        <v>155.83326583033156</v>
      </c>
      <c r="BR365" s="363">
        <v>155.33563977255784</v>
      </c>
      <c r="BS365" s="363">
        <v>154.83960279585779</v>
      </c>
      <c r="BT365" s="363">
        <v>155.98494635677611</v>
      </c>
      <c r="BU365" s="363">
        <v>157.13876198717051</v>
      </c>
      <c r="BV365" s="363">
        <v>158.3011123546664</v>
      </c>
      <c r="BW365" s="363">
        <v>159.47206059043958</v>
      </c>
      <c r="BX365" s="363">
        <v>160.65167029264504</v>
      </c>
      <c r="BY365" s="435">
        <v>161.29922775798411</v>
      </c>
      <c r="BZ365" s="435">
        <v>161.94678522332319</v>
      </c>
      <c r="CA365" s="435">
        <v>162.59434268866229</v>
      </c>
      <c r="CB365" s="435">
        <v>163.24190015400137</v>
      </c>
      <c r="CC365" s="363">
        <v>163.88945761934045</v>
      </c>
      <c r="CD365" s="435">
        <v>164.42026334462332</v>
      </c>
      <c r="CE365" s="435">
        <v>164.9510690699062</v>
      </c>
      <c r="CF365" s="435">
        <v>165.48187479518907</v>
      </c>
      <c r="CG365" s="435">
        <v>166.01268052047195</v>
      </c>
      <c r="CH365" s="363">
        <v>166.54348624575482</v>
      </c>
      <c r="CI365" s="362">
        <v>134.68643228749718</v>
      </c>
      <c r="CJ365" s="362">
        <v>135.37638091294451</v>
      </c>
      <c r="CK365" s="362">
        <v>136.06986388923676</v>
      </c>
      <c r="CL365" s="363">
        <v>135.17526423416211</v>
      </c>
      <c r="CM365" s="363">
        <v>134.28654617931829</v>
      </c>
      <c r="CN365" s="363">
        <v>133.85772577161396</v>
      </c>
      <c r="CO365" s="363">
        <v>133.43027472627165</v>
      </c>
      <c r="CP365" s="363">
        <v>133.00418867047409</v>
      </c>
      <c r="CQ365" s="363">
        <v>132.57946324536786</v>
      </c>
      <c r="CR365" s="363">
        <v>132.15609410601874</v>
      </c>
      <c r="CS365" s="363">
        <v>133.13364848285349</v>
      </c>
      <c r="CT365" s="363">
        <v>134.11843379796719</v>
      </c>
      <c r="CU365" s="363">
        <v>135.11050353837769</v>
      </c>
      <c r="CV365" s="363">
        <v>136.10991158674463</v>
      </c>
      <c r="CW365" s="363">
        <v>137.11671222429578</v>
      </c>
      <c r="CX365" s="435">
        <v>137.6694045832476</v>
      </c>
      <c r="CY365" s="435">
        <v>138.22209694219944</v>
      </c>
      <c r="CZ365" s="435">
        <v>138.77478930115126</v>
      </c>
      <c r="DA365" s="435">
        <v>139.3274816601031</v>
      </c>
      <c r="DB365" s="363">
        <v>139.88017401905492</v>
      </c>
      <c r="DC365" s="435">
        <v>140.33321839604795</v>
      </c>
      <c r="DD365" s="435">
        <v>140.78626277304096</v>
      </c>
      <c r="DE365" s="435">
        <v>141.23930715003399</v>
      </c>
      <c r="DF365" s="435">
        <v>141.692351527027</v>
      </c>
      <c r="DG365" s="363">
        <v>142.14539590402003</v>
      </c>
      <c r="DH365" s="362">
        <v>0</v>
      </c>
      <c r="DI365" s="362">
        <v>0</v>
      </c>
      <c r="DJ365" s="362">
        <v>0</v>
      </c>
      <c r="DK365" s="363">
        <v>0</v>
      </c>
      <c r="DL365" s="363">
        <v>0</v>
      </c>
      <c r="DM365" s="363">
        <v>0</v>
      </c>
      <c r="DN365" s="363">
        <v>0</v>
      </c>
      <c r="DO365" s="363">
        <v>0</v>
      </c>
      <c r="DP365" s="363">
        <v>0</v>
      </c>
      <c r="DQ365" s="363">
        <v>0</v>
      </c>
      <c r="DR365" s="363">
        <v>0</v>
      </c>
      <c r="DS365" s="363">
        <v>0</v>
      </c>
      <c r="DT365" s="363">
        <v>0</v>
      </c>
      <c r="DU365" s="363">
        <v>0</v>
      </c>
      <c r="DV365" s="363">
        <v>0</v>
      </c>
      <c r="DW365" s="435">
        <v>0</v>
      </c>
      <c r="DX365" s="435">
        <v>0</v>
      </c>
      <c r="DY365" s="435">
        <v>0</v>
      </c>
      <c r="DZ365" s="435">
        <v>0</v>
      </c>
      <c r="EA365" s="363">
        <v>0</v>
      </c>
      <c r="EB365" s="435">
        <v>0</v>
      </c>
      <c r="EC365" s="435">
        <v>0</v>
      </c>
      <c r="ED365" s="435">
        <v>0</v>
      </c>
      <c r="EE365" s="435">
        <v>0</v>
      </c>
      <c r="EF365" s="363">
        <v>0</v>
      </c>
      <c r="EG365" s="364">
        <v>0</v>
      </c>
      <c r="EH365" s="364">
        <v>0</v>
      </c>
      <c r="EI365" s="364">
        <v>0</v>
      </c>
      <c r="EJ365" s="365">
        <v>0</v>
      </c>
      <c r="EK365" s="365">
        <v>0</v>
      </c>
      <c r="EL365" s="365">
        <v>0</v>
      </c>
      <c r="EM365" s="365">
        <v>0</v>
      </c>
      <c r="EN365" s="365">
        <v>0</v>
      </c>
      <c r="EO365" s="365">
        <v>0</v>
      </c>
      <c r="EP365" s="365">
        <v>0</v>
      </c>
      <c r="EQ365" s="365">
        <v>0</v>
      </c>
      <c r="ER365" s="365">
        <v>0</v>
      </c>
      <c r="ES365" s="365">
        <v>0</v>
      </c>
      <c r="ET365" s="365">
        <v>0</v>
      </c>
      <c r="EU365" s="365">
        <v>0</v>
      </c>
      <c r="EV365" s="436">
        <v>0</v>
      </c>
      <c r="EW365" s="436">
        <v>0</v>
      </c>
      <c r="EX365" s="436">
        <v>0</v>
      </c>
      <c r="EY365" s="436">
        <v>0</v>
      </c>
      <c r="EZ365" s="365">
        <v>0</v>
      </c>
      <c r="FA365" s="436">
        <v>0</v>
      </c>
      <c r="FB365" s="436">
        <v>0</v>
      </c>
      <c r="FC365" s="436">
        <v>0</v>
      </c>
      <c r="FD365" s="436">
        <v>0</v>
      </c>
      <c r="FE365" s="365">
        <v>0</v>
      </c>
      <c r="FF365" s="364">
        <v>0</v>
      </c>
      <c r="FG365" s="364">
        <v>0</v>
      </c>
      <c r="FH365" s="364">
        <v>0</v>
      </c>
      <c r="FI365" s="365">
        <v>0</v>
      </c>
      <c r="FJ365" s="365">
        <v>0</v>
      </c>
      <c r="FK365" s="365">
        <v>0</v>
      </c>
      <c r="FL365" s="365">
        <v>0</v>
      </c>
      <c r="FM365" s="365">
        <v>0</v>
      </c>
      <c r="FN365" s="365">
        <v>0</v>
      </c>
      <c r="FO365" s="365">
        <v>0</v>
      </c>
      <c r="FP365" s="365">
        <v>0</v>
      </c>
      <c r="FQ365" s="365">
        <v>0</v>
      </c>
      <c r="FR365" s="365">
        <v>0</v>
      </c>
      <c r="FS365" s="365">
        <v>0</v>
      </c>
      <c r="FT365" s="365">
        <v>0</v>
      </c>
      <c r="FU365" s="436">
        <v>0</v>
      </c>
      <c r="FV365" s="436">
        <v>0</v>
      </c>
      <c r="FW365" s="436">
        <v>0</v>
      </c>
      <c r="FX365" s="436">
        <v>0</v>
      </c>
      <c r="FY365" s="365">
        <v>0</v>
      </c>
      <c r="FZ365" s="436">
        <v>0</v>
      </c>
      <c r="GA365" s="436">
        <v>0</v>
      </c>
      <c r="GB365" s="436">
        <v>0</v>
      </c>
      <c r="GC365" s="436">
        <v>0</v>
      </c>
      <c r="GD365" s="365">
        <v>0</v>
      </c>
    </row>
    <row r="366" spans="1:186" ht="15" x14ac:dyDescent="0.25">
      <c r="A366" s="357">
        <v>109</v>
      </c>
      <c r="B366" s="357">
        <v>101</v>
      </c>
      <c r="C366" s="357" t="s">
        <v>1276</v>
      </c>
      <c r="D366" s="2">
        <v>99712</v>
      </c>
      <c r="E366" s="268" t="s">
        <v>1527</v>
      </c>
      <c r="F366" s="358" t="s">
        <v>985</v>
      </c>
      <c r="G366" s="49">
        <v>430</v>
      </c>
      <c r="H366" s="49">
        <v>186</v>
      </c>
      <c r="I366" s="49">
        <v>173</v>
      </c>
      <c r="J366" s="49">
        <v>13</v>
      </c>
      <c r="K366" s="49">
        <v>0</v>
      </c>
      <c r="L366" s="49">
        <v>30</v>
      </c>
      <c r="M366" s="49">
        <v>30</v>
      </c>
      <c r="N366" s="49">
        <v>2</v>
      </c>
      <c r="O366" s="49">
        <v>0</v>
      </c>
      <c r="P366" s="49">
        <v>0</v>
      </c>
      <c r="Q366" s="49">
        <v>32</v>
      </c>
      <c r="R366" s="49">
        <v>0</v>
      </c>
      <c r="S366" s="49">
        <v>1849.4</v>
      </c>
      <c r="T366" s="49">
        <v>1849.4</v>
      </c>
      <c r="U366" s="49">
        <v>424</v>
      </c>
      <c r="V366" s="49">
        <v>0</v>
      </c>
      <c r="W366" s="49">
        <v>0</v>
      </c>
      <c r="X366" s="49">
        <v>1760.3125</v>
      </c>
      <c r="Y366" s="434">
        <v>55482</v>
      </c>
      <c r="Z366" s="434">
        <v>848</v>
      </c>
      <c r="AA366" s="49">
        <v>0</v>
      </c>
      <c r="AB366" s="49">
        <v>186</v>
      </c>
      <c r="AC366" s="49">
        <v>0</v>
      </c>
      <c r="AD366" s="285">
        <v>2</v>
      </c>
      <c r="AE366" s="285">
        <v>0</v>
      </c>
      <c r="AF366" s="359">
        <v>188</v>
      </c>
      <c r="AG366" s="360">
        <v>0</v>
      </c>
      <c r="AH366" s="360">
        <v>173</v>
      </c>
      <c r="AI366" s="361">
        <v>173</v>
      </c>
      <c r="AJ366" s="360">
        <v>0</v>
      </c>
      <c r="AK366" s="360">
        <v>0</v>
      </c>
      <c r="AL366" s="360">
        <v>169.09524959710731</v>
      </c>
      <c r="AM366" s="360">
        <v>169.09524959710731</v>
      </c>
      <c r="AN366" s="360">
        <v>0</v>
      </c>
      <c r="AO366" s="360">
        <v>0</v>
      </c>
      <c r="AP366" s="360">
        <v>157.8545610971083</v>
      </c>
      <c r="AQ366" s="360">
        <v>157.8545610971083</v>
      </c>
      <c r="AR366" s="360">
        <v>0</v>
      </c>
      <c r="AS366" s="360">
        <v>1.8596827016276773</v>
      </c>
      <c r="AT366" s="360">
        <v>0</v>
      </c>
      <c r="AU366" s="360">
        <v>153.72690019520442</v>
      </c>
      <c r="AV366" s="360">
        <v>161.22806380496448</v>
      </c>
      <c r="AW366" s="360">
        <v>169.09524959710731</v>
      </c>
      <c r="AX366" s="360">
        <v>177.34631776572627</v>
      </c>
      <c r="AY366" s="360">
        <v>186</v>
      </c>
      <c r="AZ366" s="360">
        <v>144.03504311653583</v>
      </c>
      <c r="BA366" s="360">
        <v>150.78656609182343</v>
      </c>
      <c r="BB366" s="360">
        <v>157.8545610971083</v>
      </c>
      <c r="BC366" s="360">
        <v>165.25386249585739</v>
      </c>
      <c r="BD366" s="360">
        <v>173</v>
      </c>
      <c r="BE366" s="360">
        <v>1.7292098753666085</v>
      </c>
      <c r="BF366" s="360">
        <v>1.7932600739165065</v>
      </c>
      <c r="BG366" s="360">
        <v>1.8596827016276773</v>
      </c>
      <c r="BH366" s="360">
        <v>1.9285656336395076</v>
      </c>
      <c r="BI366" s="360">
        <v>2</v>
      </c>
      <c r="BJ366" s="362">
        <v>190.56028388779657</v>
      </c>
      <c r="BK366" s="362">
        <v>195.23237524407324</v>
      </c>
      <c r="BL366" s="362">
        <v>200.01901532580334</v>
      </c>
      <c r="BM366" s="363">
        <v>198.7039780574153</v>
      </c>
      <c r="BN366" s="363">
        <v>197.39758658210064</v>
      </c>
      <c r="BO366" s="363">
        <v>196.76723219466294</v>
      </c>
      <c r="BP366" s="363">
        <v>196.13889073281689</v>
      </c>
      <c r="BQ366" s="363">
        <v>195.51255576863954</v>
      </c>
      <c r="BR366" s="363">
        <v>194.88822089473436</v>
      </c>
      <c r="BS366" s="363">
        <v>194.26587972416576</v>
      </c>
      <c r="BT366" s="363">
        <v>195.70285818723735</v>
      </c>
      <c r="BU366" s="363">
        <v>197.15046593377477</v>
      </c>
      <c r="BV366" s="363">
        <v>198.60878158824593</v>
      </c>
      <c r="BW366" s="363">
        <v>200.07788435670139</v>
      </c>
      <c r="BX366" s="363">
        <v>201.55785403107615</v>
      </c>
      <c r="BY366" s="435">
        <v>202.37029683255957</v>
      </c>
      <c r="BZ366" s="435">
        <v>203.182739634043</v>
      </c>
      <c r="CA366" s="435">
        <v>203.99518243552643</v>
      </c>
      <c r="CB366" s="435">
        <v>204.80762523700986</v>
      </c>
      <c r="CC366" s="363">
        <v>205.62006803849329</v>
      </c>
      <c r="CD366" s="435">
        <v>206.28603100483241</v>
      </c>
      <c r="CE366" s="435">
        <v>206.95199397117153</v>
      </c>
      <c r="CF366" s="435">
        <v>207.61795693751068</v>
      </c>
      <c r="CG366" s="435">
        <v>208.28391990384981</v>
      </c>
      <c r="CH366" s="363">
        <v>208.94988287018893</v>
      </c>
      <c r="CI366" s="362">
        <v>177.24155436875702</v>
      </c>
      <c r="CJ366" s="362">
        <v>181.58710170550899</v>
      </c>
      <c r="CK366" s="362">
        <v>186.03919167399988</v>
      </c>
      <c r="CL366" s="363">
        <v>184.81606561254219</v>
      </c>
      <c r="CM366" s="363">
        <v>183.6009810682979</v>
      </c>
      <c r="CN366" s="363">
        <v>183.01468370793918</v>
      </c>
      <c r="CO366" s="363">
        <v>182.43025858482432</v>
      </c>
      <c r="CP366" s="363">
        <v>181.84769972029378</v>
      </c>
      <c r="CQ366" s="363">
        <v>181.26700115477982</v>
      </c>
      <c r="CR366" s="363">
        <v>180.68815694774557</v>
      </c>
      <c r="CS366" s="363">
        <v>182.02470143221538</v>
      </c>
      <c r="CT366" s="363">
        <v>183.37113229324214</v>
      </c>
      <c r="CU366" s="363">
        <v>184.72752266003519</v>
      </c>
      <c r="CV366" s="363">
        <v>186.09394620273841</v>
      </c>
      <c r="CW366" s="363">
        <v>187.47047713643104</v>
      </c>
      <c r="CX366" s="435">
        <v>188.22613630125164</v>
      </c>
      <c r="CY366" s="435">
        <v>188.98179546607227</v>
      </c>
      <c r="CZ366" s="435">
        <v>189.73745463089287</v>
      </c>
      <c r="DA366" s="435">
        <v>190.4931137957135</v>
      </c>
      <c r="DB366" s="363">
        <v>191.2487729605341</v>
      </c>
      <c r="DC366" s="435">
        <v>191.86819012815059</v>
      </c>
      <c r="DD366" s="435">
        <v>192.48760729576708</v>
      </c>
      <c r="DE366" s="435">
        <v>193.1070244633836</v>
      </c>
      <c r="DF366" s="435">
        <v>193.72644163100009</v>
      </c>
      <c r="DG366" s="363">
        <v>194.34585879861658</v>
      </c>
      <c r="DH366" s="362">
        <v>2.0490353106214685</v>
      </c>
      <c r="DI366" s="362">
        <v>2.0992728520868091</v>
      </c>
      <c r="DJ366" s="362">
        <v>2.1507421002774554</v>
      </c>
      <c r="DK366" s="363">
        <v>2.1366019145958637</v>
      </c>
      <c r="DL366" s="363">
        <v>2.1225546944311899</v>
      </c>
      <c r="DM366" s="363">
        <v>2.1157766902651929</v>
      </c>
      <c r="DN366" s="363">
        <v>2.1090203304603969</v>
      </c>
      <c r="DO366" s="363">
        <v>2.1022855458993499</v>
      </c>
      <c r="DP366" s="363">
        <v>2.0955722676853159</v>
      </c>
      <c r="DQ366" s="363">
        <v>2.0888804271415675</v>
      </c>
      <c r="DR366" s="363">
        <v>2.1043318084649179</v>
      </c>
      <c r="DS366" s="363">
        <v>2.1198974831588688</v>
      </c>
      <c r="DT366" s="363">
        <v>2.1355782966478056</v>
      </c>
      <c r="DU366" s="363">
        <v>2.1513751006096924</v>
      </c>
      <c r="DV366" s="363">
        <v>2.1672887530223242</v>
      </c>
      <c r="DW366" s="435">
        <v>2.1760246971242965</v>
      </c>
      <c r="DX366" s="435">
        <v>2.1847606412262688</v>
      </c>
      <c r="DY366" s="435">
        <v>2.1934965853282415</v>
      </c>
      <c r="DZ366" s="435">
        <v>2.2022325294302139</v>
      </c>
      <c r="EA366" s="363">
        <v>2.2109684735321862</v>
      </c>
      <c r="EB366" s="435">
        <v>2.2181293656433594</v>
      </c>
      <c r="EC366" s="435">
        <v>2.225290257754533</v>
      </c>
      <c r="ED366" s="435">
        <v>2.2324511498657063</v>
      </c>
      <c r="EE366" s="435">
        <v>2.2396120419768799</v>
      </c>
      <c r="EF366" s="363">
        <v>2.2467729340880531</v>
      </c>
      <c r="EG366" s="364">
        <v>0</v>
      </c>
      <c r="EH366" s="364">
        <v>0</v>
      </c>
      <c r="EI366" s="364">
        <v>0</v>
      </c>
      <c r="EJ366" s="365">
        <v>0</v>
      </c>
      <c r="EK366" s="365">
        <v>0</v>
      </c>
      <c r="EL366" s="365">
        <v>0</v>
      </c>
      <c r="EM366" s="365">
        <v>0</v>
      </c>
      <c r="EN366" s="365">
        <v>0</v>
      </c>
      <c r="EO366" s="365">
        <v>0</v>
      </c>
      <c r="EP366" s="365">
        <v>0</v>
      </c>
      <c r="EQ366" s="365">
        <v>0</v>
      </c>
      <c r="ER366" s="365">
        <v>0</v>
      </c>
      <c r="ES366" s="365">
        <v>0</v>
      </c>
      <c r="ET366" s="365">
        <v>0</v>
      </c>
      <c r="EU366" s="365">
        <v>0</v>
      </c>
      <c r="EV366" s="436">
        <v>0</v>
      </c>
      <c r="EW366" s="436">
        <v>0</v>
      </c>
      <c r="EX366" s="436">
        <v>0</v>
      </c>
      <c r="EY366" s="436">
        <v>0</v>
      </c>
      <c r="EZ366" s="365">
        <v>0</v>
      </c>
      <c r="FA366" s="436">
        <v>0</v>
      </c>
      <c r="FB366" s="436">
        <v>0</v>
      </c>
      <c r="FC366" s="436">
        <v>0</v>
      </c>
      <c r="FD366" s="436">
        <v>0</v>
      </c>
      <c r="FE366" s="365">
        <v>0</v>
      </c>
      <c r="FF366" s="364">
        <v>0</v>
      </c>
      <c r="FG366" s="364">
        <v>0</v>
      </c>
      <c r="FH366" s="364">
        <v>0</v>
      </c>
      <c r="FI366" s="365">
        <v>0</v>
      </c>
      <c r="FJ366" s="365">
        <v>0</v>
      </c>
      <c r="FK366" s="365">
        <v>0</v>
      </c>
      <c r="FL366" s="365">
        <v>0</v>
      </c>
      <c r="FM366" s="365">
        <v>0</v>
      </c>
      <c r="FN366" s="365">
        <v>0</v>
      </c>
      <c r="FO366" s="365">
        <v>0</v>
      </c>
      <c r="FP366" s="365">
        <v>0</v>
      </c>
      <c r="FQ366" s="365">
        <v>0</v>
      </c>
      <c r="FR366" s="365">
        <v>0</v>
      </c>
      <c r="FS366" s="365">
        <v>0</v>
      </c>
      <c r="FT366" s="365">
        <v>0</v>
      </c>
      <c r="FU366" s="436">
        <v>0</v>
      </c>
      <c r="FV366" s="436">
        <v>0</v>
      </c>
      <c r="FW366" s="436">
        <v>0</v>
      </c>
      <c r="FX366" s="436">
        <v>0</v>
      </c>
      <c r="FY366" s="365">
        <v>0</v>
      </c>
      <c r="FZ366" s="436">
        <v>0</v>
      </c>
      <c r="GA366" s="436">
        <v>0</v>
      </c>
      <c r="GB366" s="436">
        <v>0</v>
      </c>
      <c r="GC366" s="436">
        <v>0</v>
      </c>
      <c r="GD366" s="365">
        <v>0</v>
      </c>
    </row>
    <row r="367" spans="1:186" ht="15" x14ac:dyDescent="0.25">
      <c r="A367" s="357">
        <v>112</v>
      </c>
      <c r="B367" s="357">
        <v>101</v>
      </c>
      <c r="C367" s="357" t="s">
        <v>1277</v>
      </c>
      <c r="D367" s="2">
        <v>99712</v>
      </c>
      <c r="E367" s="268" t="s">
        <v>1527</v>
      </c>
      <c r="F367" s="358" t="s">
        <v>985</v>
      </c>
      <c r="G367" s="49">
        <v>49</v>
      </c>
      <c r="H367" s="49">
        <v>20</v>
      </c>
      <c r="I367" s="49">
        <v>19</v>
      </c>
      <c r="J367" s="49">
        <v>1</v>
      </c>
      <c r="K367" s="49">
        <v>0</v>
      </c>
      <c r="L367" s="49">
        <v>26</v>
      </c>
      <c r="M367" s="49">
        <v>26</v>
      </c>
      <c r="N367" s="49">
        <v>1</v>
      </c>
      <c r="O367" s="49">
        <v>0</v>
      </c>
      <c r="P367" s="49">
        <v>0</v>
      </c>
      <c r="Q367" s="49">
        <v>27</v>
      </c>
      <c r="R367" s="49">
        <v>0</v>
      </c>
      <c r="S367" s="49">
        <v>1878.5</v>
      </c>
      <c r="T367" s="49">
        <v>1878.5</v>
      </c>
      <c r="U367" s="49">
        <v>8170</v>
      </c>
      <c r="V367" s="49">
        <v>0</v>
      </c>
      <c r="W367" s="49">
        <v>0</v>
      </c>
      <c r="X367" s="49">
        <v>2111.5185185185187</v>
      </c>
      <c r="Y367" s="434">
        <v>48841</v>
      </c>
      <c r="Z367" s="434">
        <v>8170</v>
      </c>
      <c r="AA367" s="49">
        <v>0</v>
      </c>
      <c r="AB367" s="49">
        <v>20</v>
      </c>
      <c r="AC367" s="49">
        <v>0</v>
      </c>
      <c r="AD367" s="285">
        <v>1</v>
      </c>
      <c r="AE367" s="285">
        <v>0</v>
      </c>
      <c r="AF367" s="359">
        <v>21</v>
      </c>
      <c r="AG367" s="360">
        <v>0</v>
      </c>
      <c r="AH367" s="360">
        <v>19</v>
      </c>
      <c r="AI367" s="361">
        <v>19</v>
      </c>
      <c r="AJ367" s="360">
        <v>0</v>
      </c>
      <c r="AK367" s="360">
        <v>0</v>
      </c>
      <c r="AL367" s="360">
        <v>18.182284902914763</v>
      </c>
      <c r="AM367" s="360">
        <v>18.182284902914763</v>
      </c>
      <c r="AN367" s="360">
        <v>0</v>
      </c>
      <c r="AO367" s="360">
        <v>0</v>
      </c>
      <c r="AP367" s="360">
        <v>17.336628097370276</v>
      </c>
      <c r="AQ367" s="360">
        <v>17.336628097370276</v>
      </c>
      <c r="AR367" s="360">
        <v>0</v>
      </c>
      <c r="AS367" s="360">
        <v>0.92984135081383867</v>
      </c>
      <c r="AT367" s="360">
        <v>0</v>
      </c>
      <c r="AU367" s="360">
        <v>16.529774214538108</v>
      </c>
      <c r="AV367" s="360">
        <v>17.336350946770374</v>
      </c>
      <c r="AW367" s="360">
        <v>18.182284902914763</v>
      </c>
      <c r="AX367" s="360">
        <v>19.069496533949064</v>
      </c>
      <c r="AY367" s="360">
        <v>20</v>
      </c>
      <c r="AZ367" s="360">
        <v>15.818877567712025</v>
      </c>
      <c r="BA367" s="360">
        <v>16.560374310662688</v>
      </c>
      <c r="BB367" s="360">
        <v>17.336628097370276</v>
      </c>
      <c r="BC367" s="360">
        <v>18.149268135383181</v>
      </c>
      <c r="BD367" s="360">
        <v>19</v>
      </c>
      <c r="BE367" s="360">
        <v>0.86460493768330426</v>
      </c>
      <c r="BF367" s="360">
        <v>0.89663003695825327</v>
      </c>
      <c r="BG367" s="360">
        <v>0.92984135081383867</v>
      </c>
      <c r="BH367" s="360">
        <v>0.96428281681975381</v>
      </c>
      <c r="BI367" s="360">
        <v>1</v>
      </c>
      <c r="BJ367" s="362">
        <v>20.273363887394147</v>
      </c>
      <c r="BK367" s="362">
        <v>20.550464165534859</v>
      </c>
      <c r="BL367" s="362">
        <v>20.831351904137097</v>
      </c>
      <c r="BM367" s="363">
        <v>20.694394905022662</v>
      </c>
      <c r="BN367" s="363">
        <v>20.558338338088177</v>
      </c>
      <c r="BO367" s="363">
        <v>20.49268890946939</v>
      </c>
      <c r="BP367" s="363">
        <v>20.427249120725534</v>
      </c>
      <c r="BQ367" s="363">
        <v>20.362018302408629</v>
      </c>
      <c r="BR367" s="363">
        <v>20.296995787208466</v>
      </c>
      <c r="BS367" s="363">
        <v>20.232180909945768</v>
      </c>
      <c r="BT367" s="363">
        <v>20.381837701297091</v>
      </c>
      <c r="BU367" s="363">
        <v>20.532601499119796</v>
      </c>
      <c r="BV367" s="363">
        <v>20.684480491905148</v>
      </c>
      <c r="BW367" s="363">
        <v>20.837482928714412</v>
      </c>
      <c r="BX367" s="363">
        <v>20.991617119626884</v>
      </c>
      <c r="BY367" s="435">
        <v>21.076230484371816</v>
      </c>
      <c r="BZ367" s="435">
        <v>21.160843849116748</v>
      </c>
      <c r="CA367" s="435">
        <v>21.245457213861677</v>
      </c>
      <c r="CB367" s="435">
        <v>21.330070578606609</v>
      </c>
      <c r="CC367" s="363">
        <v>21.414683943351541</v>
      </c>
      <c r="CD367" s="435">
        <v>21.484041893566108</v>
      </c>
      <c r="CE367" s="435">
        <v>21.553399843780671</v>
      </c>
      <c r="CF367" s="435">
        <v>21.622757793995238</v>
      </c>
      <c r="CG367" s="435">
        <v>21.692115744209801</v>
      </c>
      <c r="CH367" s="363">
        <v>21.761473694424367</v>
      </c>
      <c r="CI367" s="362">
        <v>19.25969569302444</v>
      </c>
      <c r="CJ367" s="362">
        <v>19.522940957258115</v>
      </c>
      <c r="CK367" s="362">
        <v>19.789784308930241</v>
      </c>
      <c r="CL367" s="363">
        <v>19.659675159771528</v>
      </c>
      <c r="CM367" s="363">
        <v>19.530421421183767</v>
      </c>
      <c r="CN367" s="363">
        <v>19.468054463995919</v>
      </c>
      <c r="CO367" s="363">
        <v>19.405886664689255</v>
      </c>
      <c r="CP367" s="363">
        <v>19.343917387288197</v>
      </c>
      <c r="CQ367" s="363">
        <v>19.282145997848041</v>
      </c>
      <c r="CR367" s="363">
        <v>19.22057186444848</v>
      </c>
      <c r="CS367" s="363">
        <v>19.362745816232234</v>
      </c>
      <c r="CT367" s="363">
        <v>19.505971424163803</v>
      </c>
      <c r="CU367" s="363">
        <v>19.650256467309887</v>
      </c>
      <c r="CV367" s="363">
        <v>19.795608782278691</v>
      </c>
      <c r="CW367" s="363">
        <v>19.942036263645537</v>
      </c>
      <c r="CX367" s="435">
        <v>20.022418960153221</v>
      </c>
      <c r="CY367" s="435">
        <v>20.102801656660908</v>
      </c>
      <c r="CZ367" s="435">
        <v>20.183184353168592</v>
      </c>
      <c r="DA367" s="435">
        <v>20.263567049676279</v>
      </c>
      <c r="DB367" s="363">
        <v>20.343949746183963</v>
      </c>
      <c r="DC367" s="435">
        <v>20.409839798887798</v>
      </c>
      <c r="DD367" s="435">
        <v>20.475729851591634</v>
      </c>
      <c r="DE367" s="435">
        <v>20.541619904295473</v>
      </c>
      <c r="DF367" s="435">
        <v>20.607509956999309</v>
      </c>
      <c r="DG367" s="363">
        <v>20.673400009703144</v>
      </c>
      <c r="DH367" s="362">
        <v>1.0136681943697075</v>
      </c>
      <c r="DI367" s="362">
        <v>1.0275232082767429</v>
      </c>
      <c r="DJ367" s="362">
        <v>1.0415675952068548</v>
      </c>
      <c r="DK367" s="363">
        <v>1.034719745251133</v>
      </c>
      <c r="DL367" s="363">
        <v>1.0279169169044089</v>
      </c>
      <c r="DM367" s="363">
        <v>1.0246344454734695</v>
      </c>
      <c r="DN367" s="363">
        <v>1.0213624560362766</v>
      </c>
      <c r="DO367" s="363">
        <v>1.0181009151204314</v>
      </c>
      <c r="DP367" s="363">
        <v>1.0148497893604234</v>
      </c>
      <c r="DQ367" s="363">
        <v>1.0116090454972884</v>
      </c>
      <c r="DR367" s="363">
        <v>1.0190918850648545</v>
      </c>
      <c r="DS367" s="363">
        <v>1.0266300749559898</v>
      </c>
      <c r="DT367" s="363">
        <v>1.0342240245952572</v>
      </c>
      <c r="DU367" s="363">
        <v>1.0418741464357206</v>
      </c>
      <c r="DV367" s="363">
        <v>1.049580855981344</v>
      </c>
      <c r="DW367" s="435">
        <v>1.0538115242185906</v>
      </c>
      <c r="DX367" s="435">
        <v>1.0580421924558372</v>
      </c>
      <c r="DY367" s="435">
        <v>1.0622728606930838</v>
      </c>
      <c r="DZ367" s="435">
        <v>1.0665035289303304</v>
      </c>
      <c r="EA367" s="363">
        <v>1.070734197167577</v>
      </c>
      <c r="EB367" s="435">
        <v>1.0742020946783053</v>
      </c>
      <c r="EC367" s="435">
        <v>1.0776699921890336</v>
      </c>
      <c r="ED367" s="435">
        <v>1.0811378896997617</v>
      </c>
      <c r="EE367" s="435">
        <v>1.0846057872104899</v>
      </c>
      <c r="EF367" s="363">
        <v>1.0880736847212182</v>
      </c>
      <c r="EG367" s="364">
        <v>0</v>
      </c>
      <c r="EH367" s="364">
        <v>0</v>
      </c>
      <c r="EI367" s="364">
        <v>0</v>
      </c>
      <c r="EJ367" s="365">
        <v>0</v>
      </c>
      <c r="EK367" s="365">
        <v>0</v>
      </c>
      <c r="EL367" s="365">
        <v>0</v>
      </c>
      <c r="EM367" s="365">
        <v>0</v>
      </c>
      <c r="EN367" s="365">
        <v>0</v>
      </c>
      <c r="EO367" s="365">
        <v>0</v>
      </c>
      <c r="EP367" s="365">
        <v>0</v>
      </c>
      <c r="EQ367" s="365">
        <v>0</v>
      </c>
      <c r="ER367" s="365">
        <v>0</v>
      </c>
      <c r="ES367" s="365">
        <v>0</v>
      </c>
      <c r="ET367" s="365">
        <v>0</v>
      </c>
      <c r="EU367" s="365">
        <v>0</v>
      </c>
      <c r="EV367" s="436">
        <v>0</v>
      </c>
      <c r="EW367" s="436">
        <v>0</v>
      </c>
      <c r="EX367" s="436">
        <v>0</v>
      </c>
      <c r="EY367" s="436">
        <v>0</v>
      </c>
      <c r="EZ367" s="365">
        <v>0</v>
      </c>
      <c r="FA367" s="436">
        <v>0</v>
      </c>
      <c r="FB367" s="436">
        <v>0</v>
      </c>
      <c r="FC367" s="436">
        <v>0</v>
      </c>
      <c r="FD367" s="436">
        <v>0</v>
      </c>
      <c r="FE367" s="365">
        <v>0</v>
      </c>
      <c r="FF367" s="364">
        <v>0</v>
      </c>
      <c r="FG367" s="364">
        <v>0</v>
      </c>
      <c r="FH367" s="364">
        <v>0</v>
      </c>
      <c r="FI367" s="365">
        <v>0</v>
      </c>
      <c r="FJ367" s="365">
        <v>0</v>
      </c>
      <c r="FK367" s="365">
        <v>0</v>
      </c>
      <c r="FL367" s="365">
        <v>0</v>
      </c>
      <c r="FM367" s="365">
        <v>0</v>
      </c>
      <c r="FN367" s="365">
        <v>0</v>
      </c>
      <c r="FO367" s="365">
        <v>0</v>
      </c>
      <c r="FP367" s="365">
        <v>0</v>
      </c>
      <c r="FQ367" s="365">
        <v>0</v>
      </c>
      <c r="FR367" s="365">
        <v>0</v>
      </c>
      <c r="FS367" s="365">
        <v>0</v>
      </c>
      <c r="FT367" s="365">
        <v>0</v>
      </c>
      <c r="FU367" s="436">
        <v>0</v>
      </c>
      <c r="FV367" s="436">
        <v>0</v>
      </c>
      <c r="FW367" s="436">
        <v>0</v>
      </c>
      <c r="FX367" s="436">
        <v>0</v>
      </c>
      <c r="FY367" s="365">
        <v>0</v>
      </c>
      <c r="FZ367" s="436">
        <v>0</v>
      </c>
      <c r="GA367" s="436">
        <v>0</v>
      </c>
      <c r="GB367" s="436">
        <v>0</v>
      </c>
      <c r="GC367" s="436">
        <v>0</v>
      </c>
      <c r="GD367" s="365">
        <v>0</v>
      </c>
    </row>
    <row r="368" spans="1:186" ht="15" x14ac:dyDescent="0.25">
      <c r="A368" s="357">
        <v>113</v>
      </c>
      <c r="B368" s="357">
        <v>101</v>
      </c>
      <c r="C368" s="357" t="s">
        <v>1278</v>
      </c>
      <c r="D368" s="2">
        <v>99712</v>
      </c>
      <c r="E368" s="268" t="s">
        <v>1527</v>
      </c>
      <c r="F368" s="358" t="s">
        <v>985</v>
      </c>
      <c r="G368" s="49">
        <v>161</v>
      </c>
      <c r="H368" s="49">
        <v>65</v>
      </c>
      <c r="I368" s="49">
        <v>60</v>
      </c>
      <c r="J368" s="49">
        <v>5</v>
      </c>
      <c r="K368" s="49">
        <v>0</v>
      </c>
      <c r="L368" s="49">
        <v>43</v>
      </c>
      <c r="M368" s="49">
        <v>43</v>
      </c>
      <c r="N368" s="49">
        <v>0</v>
      </c>
      <c r="O368" s="49">
        <v>0</v>
      </c>
      <c r="P368" s="49">
        <v>0</v>
      </c>
      <c r="Q368" s="49">
        <v>43</v>
      </c>
      <c r="R368" s="49">
        <v>0</v>
      </c>
      <c r="S368" s="49">
        <v>2739.2790697674418</v>
      </c>
      <c r="T368" s="49">
        <v>2739.2790697674418</v>
      </c>
      <c r="U368" s="49">
        <v>0</v>
      </c>
      <c r="V368" s="49">
        <v>0</v>
      </c>
      <c r="W368" s="49">
        <v>0</v>
      </c>
      <c r="X368" s="49">
        <v>2739.2790697674418</v>
      </c>
      <c r="Y368" s="434">
        <v>117789</v>
      </c>
      <c r="Z368" s="434">
        <v>0</v>
      </c>
      <c r="AA368" s="49">
        <v>0</v>
      </c>
      <c r="AB368" s="49">
        <v>65</v>
      </c>
      <c r="AC368" s="49">
        <v>0</v>
      </c>
      <c r="AD368" s="285">
        <v>0</v>
      </c>
      <c r="AE368" s="285">
        <v>0</v>
      </c>
      <c r="AF368" s="359">
        <v>65</v>
      </c>
      <c r="AG368" s="360">
        <v>0</v>
      </c>
      <c r="AH368" s="360">
        <v>60</v>
      </c>
      <c r="AI368" s="361">
        <v>60</v>
      </c>
      <c r="AJ368" s="360">
        <v>0</v>
      </c>
      <c r="AK368" s="360">
        <v>0</v>
      </c>
      <c r="AL368" s="360">
        <v>59.092425934472985</v>
      </c>
      <c r="AM368" s="360">
        <v>59.092425934472985</v>
      </c>
      <c r="AN368" s="360">
        <v>0</v>
      </c>
      <c r="AO368" s="360">
        <v>0</v>
      </c>
      <c r="AP368" s="360">
        <v>54.747246623274556</v>
      </c>
      <c r="AQ368" s="360">
        <v>54.747246623274556</v>
      </c>
      <c r="AR368" s="360">
        <v>0</v>
      </c>
      <c r="AS368" s="360">
        <v>0</v>
      </c>
      <c r="AT368" s="360">
        <v>0</v>
      </c>
      <c r="AU368" s="360">
        <v>53.721766197248854</v>
      </c>
      <c r="AV368" s="360">
        <v>56.343140577003716</v>
      </c>
      <c r="AW368" s="360">
        <v>59.092425934472985</v>
      </c>
      <c r="AX368" s="360">
        <v>61.975863735334457</v>
      </c>
      <c r="AY368" s="360">
        <v>65</v>
      </c>
      <c r="AZ368" s="360">
        <v>49.954350213827453</v>
      </c>
      <c r="BA368" s="360">
        <v>52.295918875776906</v>
      </c>
      <c r="BB368" s="360">
        <v>54.747246623274556</v>
      </c>
      <c r="BC368" s="360">
        <v>57.313478322262675</v>
      </c>
      <c r="BD368" s="360">
        <v>60</v>
      </c>
      <c r="BE368" s="360">
        <v>0</v>
      </c>
      <c r="BF368" s="360">
        <v>0</v>
      </c>
      <c r="BG368" s="360">
        <v>0</v>
      </c>
      <c r="BH368" s="360">
        <v>0</v>
      </c>
      <c r="BI368" s="360">
        <v>0</v>
      </c>
      <c r="BJ368" s="362">
        <v>65.601828434027837</v>
      </c>
      <c r="BK368" s="362">
        <v>66.209229136732688</v>
      </c>
      <c r="BL368" s="362">
        <v>66.822253701187307</v>
      </c>
      <c r="BM368" s="363">
        <v>66.382926701043814</v>
      </c>
      <c r="BN368" s="363">
        <v>65.946488083173648</v>
      </c>
      <c r="BO368" s="363">
        <v>65.735899601221519</v>
      </c>
      <c r="BP368" s="363">
        <v>65.525983596455376</v>
      </c>
      <c r="BQ368" s="363">
        <v>65.316737921437877</v>
      </c>
      <c r="BR368" s="363">
        <v>65.10816043558917</v>
      </c>
      <c r="BS368" s="363">
        <v>64.900249005164966</v>
      </c>
      <c r="BT368" s="363">
        <v>65.380314059310464</v>
      </c>
      <c r="BU368" s="363">
        <v>65.863930139218496</v>
      </c>
      <c r="BV368" s="363">
        <v>66.351123511712373</v>
      </c>
      <c r="BW368" s="363">
        <v>66.84192063791032</v>
      </c>
      <c r="BX368" s="363">
        <v>67.336348174662504</v>
      </c>
      <c r="BY368" s="435">
        <v>67.607768663909482</v>
      </c>
      <c r="BZ368" s="435">
        <v>67.87918915315646</v>
      </c>
      <c r="CA368" s="435">
        <v>68.150609642403452</v>
      </c>
      <c r="CB368" s="435">
        <v>68.42203013165043</v>
      </c>
      <c r="CC368" s="363">
        <v>68.693450620897408</v>
      </c>
      <c r="CD368" s="435">
        <v>68.915935199275225</v>
      </c>
      <c r="CE368" s="435">
        <v>69.138419777653056</v>
      </c>
      <c r="CF368" s="435">
        <v>69.360904356030872</v>
      </c>
      <c r="CG368" s="435">
        <v>69.583388934408703</v>
      </c>
      <c r="CH368" s="363">
        <v>69.805873512786519</v>
      </c>
      <c r="CI368" s="362">
        <v>60.555533939102624</v>
      </c>
      <c r="CJ368" s="362">
        <v>61.116211510830169</v>
      </c>
      <c r="CK368" s="362">
        <v>61.682080339557515</v>
      </c>
      <c r="CL368" s="363">
        <v>61.276547724040441</v>
      </c>
      <c r="CM368" s="363">
        <v>60.873681307544906</v>
      </c>
      <c r="CN368" s="363">
        <v>60.679291939589099</v>
      </c>
      <c r="CO368" s="363">
        <v>60.485523319804969</v>
      </c>
      <c r="CP368" s="363">
        <v>60.29237346594266</v>
      </c>
      <c r="CQ368" s="363">
        <v>60.099840402082314</v>
      </c>
      <c r="CR368" s="363">
        <v>59.907922158613815</v>
      </c>
      <c r="CS368" s="363">
        <v>60.3510591316712</v>
      </c>
      <c r="CT368" s="363">
        <v>60.79747397466322</v>
      </c>
      <c r="CU368" s="363">
        <v>61.247190933888348</v>
      </c>
      <c r="CV368" s="363">
        <v>61.700234434994151</v>
      </c>
      <c r="CW368" s="363">
        <v>62.156629084303852</v>
      </c>
      <c r="CX368" s="435">
        <v>62.407171074377992</v>
      </c>
      <c r="CY368" s="435">
        <v>62.657713064452125</v>
      </c>
      <c r="CZ368" s="435">
        <v>62.908255054526265</v>
      </c>
      <c r="DA368" s="435">
        <v>63.158797044600398</v>
      </c>
      <c r="DB368" s="363">
        <v>63.409339034674538</v>
      </c>
      <c r="DC368" s="435">
        <v>63.614709414715605</v>
      </c>
      <c r="DD368" s="435">
        <v>63.820079794756666</v>
      </c>
      <c r="DE368" s="435">
        <v>64.025450174797726</v>
      </c>
      <c r="DF368" s="435">
        <v>64.2308205548388</v>
      </c>
      <c r="DG368" s="363">
        <v>64.43619093487986</v>
      </c>
      <c r="DH368" s="362">
        <v>0</v>
      </c>
      <c r="DI368" s="362">
        <v>0</v>
      </c>
      <c r="DJ368" s="362">
        <v>0</v>
      </c>
      <c r="DK368" s="363">
        <v>0</v>
      </c>
      <c r="DL368" s="363">
        <v>0</v>
      </c>
      <c r="DM368" s="363">
        <v>0</v>
      </c>
      <c r="DN368" s="363">
        <v>0</v>
      </c>
      <c r="DO368" s="363">
        <v>0</v>
      </c>
      <c r="DP368" s="363">
        <v>0</v>
      </c>
      <c r="DQ368" s="363">
        <v>0</v>
      </c>
      <c r="DR368" s="363">
        <v>0</v>
      </c>
      <c r="DS368" s="363">
        <v>0</v>
      </c>
      <c r="DT368" s="363">
        <v>0</v>
      </c>
      <c r="DU368" s="363">
        <v>0</v>
      </c>
      <c r="DV368" s="363">
        <v>0</v>
      </c>
      <c r="DW368" s="435">
        <v>0</v>
      </c>
      <c r="DX368" s="435">
        <v>0</v>
      </c>
      <c r="DY368" s="435">
        <v>0</v>
      </c>
      <c r="DZ368" s="435">
        <v>0</v>
      </c>
      <c r="EA368" s="363">
        <v>0</v>
      </c>
      <c r="EB368" s="435">
        <v>0</v>
      </c>
      <c r="EC368" s="435">
        <v>0</v>
      </c>
      <c r="ED368" s="435">
        <v>0</v>
      </c>
      <c r="EE368" s="435">
        <v>0</v>
      </c>
      <c r="EF368" s="363">
        <v>0</v>
      </c>
      <c r="EG368" s="364">
        <v>0</v>
      </c>
      <c r="EH368" s="364">
        <v>0</v>
      </c>
      <c r="EI368" s="364">
        <v>0</v>
      </c>
      <c r="EJ368" s="365">
        <v>0</v>
      </c>
      <c r="EK368" s="365">
        <v>0</v>
      </c>
      <c r="EL368" s="365">
        <v>0</v>
      </c>
      <c r="EM368" s="365">
        <v>0</v>
      </c>
      <c r="EN368" s="365">
        <v>0</v>
      </c>
      <c r="EO368" s="365">
        <v>0</v>
      </c>
      <c r="EP368" s="365">
        <v>0</v>
      </c>
      <c r="EQ368" s="365">
        <v>0</v>
      </c>
      <c r="ER368" s="365">
        <v>0</v>
      </c>
      <c r="ES368" s="365">
        <v>0</v>
      </c>
      <c r="ET368" s="365">
        <v>0</v>
      </c>
      <c r="EU368" s="365">
        <v>0</v>
      </c>
      <c r="EV368" s="436">
        <v>0</v>
      </c>
      <c r="EW368" s="436">
        <v>0</v>
      </c>
      <c r="EX368" s="436">
        <v>0</v>
      </c>
      <c r="EY368" s="436">
        <v>0</v>
      </c>
      <c r="EZ368" s="365">
        <v>0</v>
      </c>
      <c r="FA368" s="436">
        <v>0</v>
      </c>
      <c r="FB368" s="436">
        <v>0</v>
      </c>
      <c r="FC368" s="436">
        <v>0</v>
      </c>
      <c r="FD368" s="436">
        <v>0</v>
      </c>
      <c r="FE368" s="365">
        <v>0</v>
      </c>
      <c r="FF368" s="364">
        <v>0</v>
      </c>
      <c r="FG368" s="364">
        <v>0</v>
      </c>
      <c r="FH368" s="364">
        <v>0</v>
      </c>
      <c r="FI368" s="365">
        <v>0</v>
      </c>
      <c r="FJ368" s="365">
        <v>0</v>
      </c>
      <c r="FK368" s="365">
        <v>0</v>
      </c>
      <c r="FL368" s="365">
        <v>0</v>
      </c>
      <c r="FM368" s="365">
        <v>0</v>
      </c>
      <c r="FN368" s="365">
        <v>0</v>
      </c>
      <c r="FO368" s="365">
        <v>0</v>
      </c>
      <c r="FP368" s="365">
        <v>0</v>
      </c>
      <c r="FQ368" s="365">
        <v>0</v>
      </c>
      <c r="FR368" s="365">
        <v>0</v>
      </c>
      <c r="FS368" s="365">
        <v>0</v>
      </c>
      <c r="FT368" s="365">
        <v>0</v>
      </c>
      <c r="FU368" s="436">
        <v>0</v>
      </c>
      <c r="FV368" s="436">
        <v>0</v>
      </c>
      <c r="FW368" s="436">
        <v>0</v>
      </c>
      <c r="FX368" s="436">
        <v>0</v>
      </c>
      <c r="FY368" s="365">
        <v>0</v>
      </c>
      <c r="FZ368" s="436">
        <v>0</v>
      </c>
      <c r="GA368" s="436">
        <v>0</v>
      </c>
      <c r="GB368" s="436">
        <v>0</v>
      </c>
      <c r="GC368" s="436">
        <v>0</v>
      </c>
      <c r="GD368" s="365">
        <v>0</v>
      </c>
    </row>
    <row r="369" spans="1:186" ht="15" x14ac:dyDescent="0.25">
      <c r="A369" s="357">
        <v>114</v>
      </c>
      <c r="B369" s="357">
        <v>101</v>
      </c>
      <c r="C369" s="357" t="s">
        <v>1279</v>
      </c>
      <c r="D369" s="2">
        <v>99712</v>
      </c>
      <c r="E369" s="268" t="s">
        <v>1527</v>
      </c>
      <c r="F369" s="358" t="s">
        <v>985</v>
      </c>
      <c r="G369" s="49">
        <v>97</v>
      </c>
      <c r="H369" s="49">
        <v>47</v>
      </c>
      <c r="I369" s="49">
        <v>39</v>
      </c>
      <c r="J369" s="49">
        <v>8</v>
      </c>
      <c r="K369" s="49">
        <v>0</v>
      </c>
      <c r="L369" s="49">
        <v>62</v>
      </c>
      <c r="M369" s="49">
        <v>62</v>
      </c>
      <c r="N369" s="49">
        <v>0</v>
      </c>
      <c r="O369" s="49">
        <v>0</v>
      </c>
      <c r="P369" s="49">
        <v>0</v>
      </c>
      <c r="Q369" s="49">
        <v>62</v>
      </c>
      <c r="R369" s="49">
        <v>0</v>
      </c>
      <c r="S369" s="49">
        <v>1942.9516129032259</v>
      </c>
      <c r="T369" s="49">
        <v>1942.9516129032259</v>
      </c>
      <c r="U369" s="49">
        <v>0</v>
      </c>
      <c r="V369" s="49">
        <v>0</v>
      </c>
      <c r="W369" s="49">
        <v>0</v>
      </c>
      <c r="X369" s="49">
        <v>1942.9516129032259</v>
      </c>
      <c r="Y369" s="434">
        <v>120463</v>
      </c>
      <c r="Z369" s="434">
        <v>0</v>
      </c>
      <c r="AA369" s="49">
        <v>0</v>
      </c>
      <c r="AB369" s="49">
        <v>47</v>
      </c>
      <c r="AC369" s="49">
        <v>0</v>
      </c>
      <c r="AD369" s="285">
        <v>0</v>
      </c>
      <c r="AE369" s="285">
        <v>0</v>
      </c>
      <c r="AF369" s="359">
        <v>47</v>
      </c>
      <c r="AG369" s="360">
        <v>0</v>
      </c>
      <c r="AH369" s="360">
        <v>39</v>
      </c>
      <c r="AI369" s="361">
        <v>39</v>
      </c>
      <c r="AJ369" s="360">
        <v>0</v>
      </c>
      <c r="AK369" s="360">
        <v>0</v>
      </c>
      <c r="AL369" s="360">
        <v>42.728369521849693</v>
      </c>
      <c r="AM369" s="360">
        <v>42.728369521849693</v>
      </c>
      <c r="AN369" s="360">
        <v>0</v>
      </c>
      <c r="AO369" s="360">
        <v>0</v>
      </c>
      <c r="AP369" s="360">
        <v>35.585710305128458</v>
      </c>
      <c r="AQ369" s="360">
        <v>35.585710305128458</v>
      </c>
      <c r="AR369" s="360">
        <v>0</v>
      </c>
      <c r="AS369" s="360">
        <v>0</v>
      </c>
      <c r="AT369" s="360">
        <v>0</v>
      </c>
      <c r="AU369" s="360">
        <v>38.844969404164551</v>
      </c>
      <c r="AV369" s="360">
        <v>40.740424724910383</v>
      </c>
      <c r="AW369" s="360">
        <v>42.728369521849693</v>
      </c>
      <c r="AX369" s="360">
        <v>44.813316854780297</v>
      </c>
      <c r="AY369" s="360">
        <v>47</v>
      </c>
      <c r="AZ369" s="360">
        <v>32.470327638987847</v>
      </c>
      <c r="BA369" s="360">
        <v>33.992347269254992</v>
      </c>
      <c r="BB369" s="360">
        <v>35.585710305128458</v>
      </c>
      <c r="BC369" s="360">
        <v>37.253760909470735</v>
      </c>
      <c r="BD369" s="360">
        <v>39</v>
      </c>
      <c r="BE369" s="360">
        <v>0</v>
      </c>
      <c r="BF369" s="360">
        <v>0</v>
      </c>
      <c r="BG369" s="360">
        <v>0</v>
      </c>
      <c r="BH369" s="360">
        <v>0</v>
      </c>
      <c r="BI369" s="360">
        <v>0</v>
      </c>
      <c r="BJ369" s="362">
        <v>47.435168252297053</v>
      </c>
      <c r="BK369" s="362">
        <v>47.874365683483632</v>
      </c>
      <c r="BL369" s="362">
        <v>48.31762959932005</v>
      </c>
      <c r="BM369" s="363">
        <v>47.999962383831672</v>
      </c>
      <c r="BN369" s="363">
        <v>47.684383690910174</v>
      </c>
      <c r="BO369" s="363">
        <v>47.532112019344794</v>
      </c>
      <c r="BP369" s="363">
        <v>47.380326600513889</v>
      </c>
      <c r="BQ369" s="363">
        <v>47.229025881655083</v>
      </c>
      <c r="BR369" s="363">
        <v>47.078208314964478</v>
      </c>
      <c r="BS369" s="363">
        <v>46.927872357580817</v>
      </c>
      <c r="BT369" s="363">
        <v>47.274996319809105</v>
      </c>
      <c r="BU369" s="363">
        <v>47.62468794681952</v>
      </c>
      <c r="BV369" s="363">
        <v>47.976966231545866</v>
      </c>
      <c r="BW369" s="363">
        <v>48.331850307412076</v>
      </c>
      <c r="BX369" s="363">
        <v>48.689359449371345</v>
      </c>
      <c r="BY369" s="435">
        <v>48.885617341596088</v>
      </c>
      <c r="BZ369" s="435">
        <v>49.081875233820824</v>
      </c>
      <c r="CA369" s="435">
        <v>49.278133126045567</v>
      </c>
      <c r="CB369" s="435">
        <v>49.474391018270303</v>
      </c>
      <c r="CC369" s="363">
        <v>49.670648910495046</v>
      </c>
      <c r="CD369" s="435">
        <v>49.831522374860548</v>
      </c>
      <c r="CE369" s="435">
        <v>49.992395839226049</v>
      </c>
      <c r="CF369" s="435">
        <v>50.15326930359155</v>
      </c>
      <c r="CG369" s="435">
        <v>50.314142767957051</v>
      </c>
      <c r="CH369" s="363">
        <v>50.475016232322552</v>
      </c>
      <c r="CI369" s="362">
        <v>39.361097060416704</v>
      </c>
      <c r="CJ369" s="362">
        <v>39.725537482039606</v>
      </c>
      <c r="CK369" s="362">
        <v>40.093352220712383</v>
      </c>
      <c r="CL369" s="363">
        <v>39.829756020626284</v>
      </c>
      <c r="CM369" s="363">
        <v>39.567892849904183</v>
      </c>
      <c r="CN369" s="363">
        <v>39.441539760732915</v>
      </c>
      <c r="CO369" s="363">
        <v>39.315590157873224</v>
      </c>
      <c r="CP369" s="363">
        <v>39.19004275286273</v>
      </c>
      <c r="CQ369" s="363">
        <v>39.064896261353503</v>
      </c>
      <c r="CR369" s="363">
        <v>38.940149403098978</v>
      </c>
      <c r="CS369" s="363">
        <v>39.228188435586276</v>
      </c>
      <c r="CT369" s="363">
        <v>39.518358083531091</v>
      </c>
      <c r="CU369" s="363">
        <v>39.810674107027424</v>
      </c>
      <c r="CV369" s="363">
        <v>40.105152382746191</v>
      </c>
      <c r="CW369" s="363">
        <v>40.401808904797498</v>
      </c>
      <c r="CX369" s="435">
        <v>40.564661198345689</v>
      </c>
      <c r="CY369" s="435">
        <v>40.72751349189388</v>
      </c>
      <c r="CZ369" s="435">
        <v>40.890365785442064</v>
      </c>
      <c r="DA369" s="435">
        <v>41.053218078990255</v>
      </c>
      <c r="DB369" s="363">
        <v>41.216070372538447</v>
      </c>
      <c r="DC369" s="435">
        <v>41.349561119565138</v>
      </c>
      <c r="DD369" s="435">
        <v>41.483051866591829</v>
      </c>
      <c r="DE369" s="435">
        <v>41.616542613618527</v>
      </c>
      <c r="DF369" s="435">
        <v>41.750033360645219</v>
      </c>
      <c r="DG369" s="363">
        <v>41.88352410767191</v>
      </c>
      <c r="DH369" s="362">
        <v>0</v>
      </c>
      <c r="DI369" s="362">
        <v>0</v>
      </c>
      <c r="DJ369" s="362">
        <v>0</v>
      </c>
      <c r="DK369" s="363">
        <v>0</v>
      </c>
      <c r="DL369" s="363">
        <v>0</v>
      </c>
      <c r="DM369" s="363">
        <v>0</v>
      </c>
      <c r="DN369" s="363">
        <v>0</v>
      </c>
      <c r="DO369" s="363">
        <v>0</v>
      </c>
      <c r="DP369" s="363">
        <v>0</v>
      </c>
      <c r="DQ369" s="363">
        <v>0</v>
      </c>
      <c r="DR369" s="363">
        <v>0</v>
      </c>
      <c r="DS369" s="363">
        <v>0</v>
      </c>
      <c r="DT369" s="363">
        <v>0</v>
      </c>
      <c r="DU369" s="363">
        <v>0</v>
      </c>
      <c r="DV369" s="363">
        <v>0</v>
      </c>
      <c r="DW369" s="435">
        <v>0</v>
      </c>
      <c r="DX369" s="435">
        <v>0</v>
      </c>
      <c r="DY369" s="435">
        <v>0</v>
      </c>
      <c r="DZ369" s="435">
        <v>0</v>
      </c>
      <c r="EA369" s="363">
        <v>0</v>
      </c>
      <c r="EB369" s="435">
        <v>0</v>
      </c>
      <c r="EC369" s="435">
        <v>0</v>
      </c>
      <c r="ED369" s="435">
        <v>0</v>
      </c>
      <c r="EE369" s="435">
        <v>0</v>
      </c>
      <c r="EF369" s="363">
        <v>0</v>
      </c>
      <c r="EG369" s="364">
        <v>0</v>
      </c>
      <c r="EH369" s="364">
        <v>0</v>
      </c>
      <c r="EI369" s="364">
        <v>0</v>
      </c>
      <c r="EJ369" s="365">
        <v>0</v>
      </c>
      <c r="EK369" s="365">
        <v>0</v>
      </c>
      <c r="EL369" s="365">
        <v>0</v>
      </c>
      <c r="EM369" s="365">
        <v>0</v>
      </c>
      <c r="EN369" s="365">
        <v>0</v>
      </c>
      <c r="EO369" s="365">
        <v>0</v>
      </c>
      <c r="EP369" s="365">
        <v>0</v>
      </c>
      <c r="EQ369" s="365">
        <v>0</v>
      </c>
      <c r="ER369" s="365">
        <v>0</v>
      </c>
      <c r="ES369" s="365">
        <v>0</v>
      </c>
      <c r="ET369" s="365">
        <v>0</v>
      </c>
      <c r="EU369" s="365">
        <v>0</v>
      </c>
      <c r="EV369" s="436">
        <v>0</v>
      </c>
      <c r="EW369" s="436">
        <v>0</v>
      </c>
      <c r="EX369" s="436">
        <v>0</v>
      </c>
      <c r="EY369" s="436">
        <v>0</v>
      </c>
      <c r="EZ369" s="365">
        <v>0</v>
      </c>
      <c r="FA369" s="436">
        <v>0</v>
      </c>
      <c r="FB369" s="436">
        <v>0</v>
      </c>
      <c r="FC369" s="436">
        <v>0</v>
      </c>
      <c r="FD369" s="436">
        <v>0</v>
      </c>
      <c r="FE369" s="365">
        <v>0</v>
      </c>
      <c r="FF369" s="364">
        <v>0</v>
      </c>
      <c r="FG369" s="364">
        <v>0</v>
      </c>
      <c r="FH369" s="364">
        <v>0</v>
      </c>
      <c r="FI369" s="365">
        <v>0</v>
      </c>
      <c r="FJ369" s="365">
        <v>0</v>
      </c>
      <c r="FK369" s="365">
        <v>0</v>
      </c>
      <c r="FL369" s="365">
        <v>0</v>
      </c>
      <c r="FM369" s="365">
        <v>0</v>
      </c>
      <c r="FN369" s="365">
        <v>0</v>
      </c>
      <c r="FO369" s="365">
        <v>0</v>
      </c>
      <c r="FP369" s="365">
        <v>0</v>
      </c>
      <c r="FQ369" s="365">
        <v>0</v>
      </c>
      <c r="FR369" s="365">
        <v>0</v>
      </c>
      <c r="FS369" s="365">
        <v>0</v>
      </c>
      <c r="FT369" s="365">
        <v>0</v>
      </c>
      <c r="FU369" s="436">
        <v>0</v>
      </c>
      <c r="FV369" s="436">
        <v>0</v>
      </c>
      <c r="FW369" s="436">
        <v>0</v>
      </c>
      <c r="FX369" s="436">
        <v>0</v>
      </c>
      <c r="FY369" s="365">
        <v>0</v>
      </c>
      <c r="FZ369" s="436">
        <v>0</v>
      </c>
      <c r="GA369" s="436">
        <v>0</v>
      </c>
      <c r="GB369" s="436">
        <v>0</v>
      </c>
      <c r="GC369" s="436">
        <v>0</v>
      </c>
      <c r="GD369" s="365">
        <v>0</v>
      </c>
    </row>
    <row r="370" spans="1:186" ht="15" x14ac:dyDescent="0.25">
      <c r="A370" s="357">
        <v>115</v>
      </c>
      <c r="B370" s="357">
        <v>101</v>
      </c>
      <c r="C370" s="357" t="s">
        <v>1280</v>
      </c>
      <c r="D370" s="2">
        <v>99712</v>
      </c>
      <c r="E370" s="268" t="s">
        <v>1527</v>
      </c>
      <c r="F370" s="358" t="s">
        <v>985</v>
      </c>
      <c r="G370" s="49">
        <v>242</v>
      </c>
      <c r="H370" s="49">
        <v>110</v>
      </c>
      <c r="I370" s="49">
        <v>97</v>
      </c>
      <c r="J370" s="49">
        <v>13</v>
      </c>
      <c r="K370" s="49">
        <v>0</v>
      </c>
      <c r="L370" s="49">
        <v>66</v>
      </c>
      <c r="M370" s="49">
        <v>66</v>
      </c>
      <c r="N370" s="49">
        <v>0</v>
      </c>
      <c r="O370" s="49">
        <v>0</v>
      </c>
      <c r="P370" s="49">
        <v>0</v>
      </c>
      <c r="Q370" s="49">
        <v>66</v>
      </c>
      <c r="R370" s="49">
        <v>0</v>
      </c>
      <c r="S370" s="49">
        <v>1918.590909090909</v>
      </c>
      <c r="T370" s="49">
        <v>1918.590909090909</v>
      </c>
      <c r="U370" s="49">
        <v>0</v>
      </c>
      <c r="V370" s="49">
        <v>0</v>
      </c>
      <c r="W370" s="49">
        <v>0</v>
      </c>
      <c r="X370" s="49">
        <v>1918.590909090909</v>
      </c>
      <c r="Y370" s="434">
        <v>126627</v>
      </c>
      <c r="Z370" s="434">
        <v>0</v>
      </c>
      <c r="AA370" s="49">
        <v>0</v>
      </c>
      <c r="AB370" s="49">
        <v>110</v>
      </c>
      <c r="AC370" s="49">
        <v>0</v>
      </c>
      <c r="AD370" s="285">
        <v>0</v>
      </c>
      <c r="AE370" s="285">
        <v>0</v>
      </c>
      <c r="AF370" s="359">
        <v>110</v>
      </c>
      <c r="AG370" s="360">
        <v>0</v>
      </c>
      <c r="AH370" s="360">
        <v>97</v>
      </c>
      <c r="AI370" s="361">
        <v>97</v>
      </c>
      <c r="AJ370" s="360">
        <v>0</v>
      </c>
      <c r="AK370" s="360">
        <v>0</v>
      </c>
      <c r="AL370" s="360">
        <v>100.00256696603121</v>
      </c>
      <c r="AM370" s="360">
        <v>100.00256696603121</v>
      </c>
      <c r="AN370" s="360">
        <v>0</v>
      </c>
      <c r="AO370" s="360">
        <v>0</v>
      </c>
      <c r="AP370" s="360">
        <v>88.508048707627196</v>
      </c>
      <c r="AQ370" s="360">
        <v>88.508048707627196</v>
      </c>
      <c r="AR370" s="360">
        <v>0</v>
      </c>
      <c r="AS370" s="360">
        <v>0</v>
      </c>
      <c r="AT370" s="360">
        <v>0</v>
      </c>
      <c r="AU370" s="360">
        <v>90.913758179959601</v>
      </c>
      <c r="AV370" s="360">
        <v>95.349930207237065</v>
      </c>
      <c r="AW370" s="360">
        <v>100.00256696603121</v>
      </c>
      <c r="AX370" s="360">
        <v>104.88223093671985</v>
      </c>
      <c r="AY370" s="360">
        <v>110</v>
      </c>
      <c r="AZ370" s="360">
        <v>80.759532845687716</v>
      </c>
      <c r="BA370" s="360">
        <v>84.545068849172665</v>
      </c>
      <c r="BB370" s="360">
        <v>88.508048707627196</v>
      </c>
      <c r="BC370" s="360">
        <v>92.656789954324651</v>
      </c>
      <c r="BD370" s="360">
        <v>97</v>
      </c>
      <c r="BE370" s="360">
        <v>0</v>
      </c>
      <c r="BF370" s="360">
        <v>0</v>
      </c>
      <c r="BG370" s="360">
        <v>0</v>
      </c>
      <c r="BH370" s="360">
        <v>0</v>
      </c>
      <c r="BI370" s="360">
        <v>0</v>
      </c>
      <c r="BJ370" s="362">
        <v>111.01847888835481</v>
      </c>
      <c r="BK370" s="362">
        <v>112.0463877698553</v>
      </c>
      <c r="BL370" s="362">
        <v>113.08381395585545</v>
      </c>
      <c r="BM370" s="363">
        <v>112.34033749407413</v>
      </c>
      <c r="BN370" s="363">
        <v>111.60174906383233</v>
      </c>
      <c r="BO370" s="363">
        <v>111.24536855591336</v>
      </c>
      <c r="BP370" s="363">
        <v>110.89012608630911</v>
      </c>
      <c r="BQ370" s="363">
        <v>110.53601802089489</v>
      </c>
      <c r="BR370" s="363">
        <v>110.18304073715092</v>
      </c>
      <c r="BS370" s="363">
        <v>109.83119062412533</v>
      </c>
      <c r="BT370" s="363">
        <v>110.64360840806387</v>
      </c>
      <c r="BU370" s="363">
        <v>111.46203562021591</v>
      </c>
      <c r="BV370" s="363">
        <v>112.28651671212864</v>
      </c>
      <c r="BW370" s="363">
        <v>113.11709646415594</v>
      </c>
      <c r="BX370" s="363">
        <v>113.9538199878904</v>
      </c>
      <c r="BY370" s="435">
        <v>114.41314696969299</v>
      </c>
      <c r="BZ370" s="435">
        <v>114.87247395149556</v>
      </c>
      <c r="CA370" s="435">
        <v>115.33180093329815</v>
      </c>
      <c r="CB370" s="435">
        <v>115.79112791510073</v>
      </c>
      <c r="CC370" s="363">
        <v>116.25045489690332</v>
      </c>
      <c r="CD370" s="435">
        <v>116.62696726031194</v>
      </c>
      <c r="CE370" s="435">
        <v>117.00347962372057</v>
      </c>
      <c r="CF370" s="435">
        <v>117.37999198712917</v>
      </c>
      <c r="CG370" s="435">
        <v>117.7565043505378</v>
      </c>
      <c r="CH370" s="363">
        <v>118.13301671394642</v>
      </c>
      <c r="CI370" s="362">
        <v>97.898113201549236</v>
      </c>
      <c r="CJ370" s="362">
        <v>98.804541942508777</v>
      </c>
      <c r="CK370" s="362">
        <v>99.719363215617989</v>
      </c>
      <c r="CL370" s="363">
        <v>99.06375215386538</v>
      </c>
      <c r="CM370" s="363">
        <v>98.412451447197597</v>
      </c>
      <c r="CN370" s="363">
        <v>98.098188635669047</v>
      </c>
      <c r="CO370" s="363">
        <v>97.784929367018037</v>
      </c>
      <c r="CP370" s="363">
        <v>97.472670436607302</v>
      </c>
      <c r="CQ370" s="363">
        <v>97.161408650033081</v>
      </c>
      <c r="CR370" s="363">
        <v>96.851140823092337</v>
      </c>
      <c r="CS370" s="363">
        <v>97.567545596201782</v>
      </c>
      <c r="CT370" s="363">
        <v>98.289249592372215</v>
      </c>
      <c r="CU370" s="363">
        <v>99.01629200978617</v>
      </c>
      <c r="CV370" s="363">
        <v>99.748712336573874</v>
      </c>
      <c r="CW370" s="363">
        <v>100.48655035295789</v>
      </c>
      <c r="CX370" s="435">
        <v>100.89159323691108</v>
      </c>
      <c r="CY370" s="435">
        <v>101.29663612086426</v>
      </c>
      <c r="CZ370" s="435">
        <v>101.70167900481746</v>
      </c>
      <c r="DA370" s="435">
        <v>102.10672188877065</v>
      </c>
      <c r="DB370" s="363">
        <v>102.51176477272384</v>
      </c>
      <c r="DC370" s="435">
        <v>102.84378022045689</v>
      </c>
      <c r="DD370" s="435">
        <v>103.17579566818995</v>
      </c>
      <c r="DE370" s="435">
        <v>103.507811115923</v>
      </c>
      <c r="DF370" s="435">
        <v>103.83982656365606</v>
      </c>
      <c r="DG370" s="363">
        <v>104.17184201138912</v>
      </c>
      <c r="DH370" s="362">
        <v>0</v>
      </c>
      <c r="DI370" s="362">
        <v>0</v>
      </c>
      <c r="DJ370" s="362">
        <v>0</v>
      </c>
      <c r="DK370" s="363">
        <v>0</v>
      </c>
      <c r="DL370" s="363">
        <v>0</v>
      </c>
      <c r="DM370" s="363">
        <v>0</v>
      </c>
      <c r="DN370" s="363">
        <v>0</v>
      </c>
      <c r="DO370" s="363">
        <v>0</v>
      </c>
      <c r="DP370" s="363">
        <v>0</v>
      </c>
      <c r="DQ370" s="363">
        <v>0</v>
      </c>
      <c r="DR370" s="363">
        <v>0</v>
      </c>
      <c r="DS370" s="363">
        <v>0</v>
      </c>
      <c r="DT370" s="363">
        <v>0</v>
      </c>
      <c r="DU370" s="363">
        <v>0</v>
      </c>
      <c r="DV370" s="363">
        <v>0</v>
      </c>
      <c r="DW370" s="435">
        <v>0</v>
      </c>
      <c r="DX370" s="435">
        <v>0</v>
      </c>
      <c r="DY370" s="435">
        <v>0</v>
      </c>
      <c r="DZ370" s="435">
        <v>0</v>
      </c>
      <c r="EA370" s="363">
        <v>0</v>
      </c>
      <c r="EB370" s="435">
        <v>0</v>
      </c>
      <c r="EC370" s="435">
        <v>0</v>
      </c>
      <c r="ED370" s="435">
        <v>0</v>
      </c>
      <c r="EE370" s="435">
        <v>0</v>
      </c>
      <c r="EF370" s="363">
        <v>0</v>
      </c>
      <c r="EG370" s="364">
        <v>0</v>
      </c>
      <c r="EH370" s="364">
        <v>0</v>
      </c>
      <c r="EI370" s="364">
        <v>0</v>
      </c>
      <c r="EJ370" s="365">
        <v>0</v>
      </c>
      <c r="EK370" s="365">
        <v>0</v>
      </c>
      <c r="EL370" s="365">
        <v>0</v>
      </c>
      <c r="EM370" s="365">
        <v>0</v>
      </c>
      <c r="EN370" s="365">
        <v>0</v>
      </c>
      <c r="EO370" s="365">
        <v>0</v>
      </c>
      <c r="EP370" s="365">
        <v>0</v>
      </c>
      <c r="EQ370" s="365">
        <v>0</v>
      </c>
      <c r="ER370" s="365">
        <v>0</v>
      </c>
      <c r="ES370" s="365">
        <v>0</v>
      </c>
      <c r="ET370" s="365">
        <v>0</v>
      </c>
      <c r="EU370" s="365">
        <v>0</v>
      </c>
      <c r="EV370" s="436">
        <v>0</v>
      </c>
      <c r="EW370" s="436">
        <v>0</v>
      </c>
      <c r="EX370" s="436">
        <v>0</v>
      </c>
      <c r="EY370" s="436">
        <v>0</v>
      </c>
      <c r="EZ370" s="365">
        <v>0</v>
      </c>
      <c r="FA370" s="436">
        <v>0</v>
      </c>
      <c r="FB370" s="436">
        <v>0</v>
      </c>
      <c r="FC370" s="436">
        <v>0</v>
      </c>
      <c r="FD370" s="436">
        <v>0</v>
      </c>
      <c r="FE370" s="365">
        <v>0</v>
      </c>
      <c r="FF370" s="364">
        <v>0</v>
      </c>
      <c r="FG370" s="364">
        <v>0</v>
      </c>
      <c r="FH370" s="364">
        <v>0</v>
      </c>
      <c r="FI370" s="365">
        <v>0</v>
      </c>
      <c r="FJ370" s="365">
        <v>0</v>
      </c>
      <c r="FK370" s="365">
        <v>0</v>
      </c>
      <c r="FL370" s="365">
        <v>0</v>
      </c>
      <c r="FM370" s="365">
        <v>0</v>
      </c>
      <c r="FN370" s="365">
        <v>0</v>
      </c>
      <c r="FO370" s="365">
        <v>0</v>
      </c>
      <c r="FP370" s="365">
        <v>0</v>
      </c>
      <c r="FQ370" s="365">
        <v>0</v>
      </c>
      <c r="FR370" s="365">
        <v>0</v>
      </c>
      <c r="FS370" s="365">
        <v>0</v>
      </c>
      <c r="FT370" s="365">
        <v>0</v>
      </c>
      <c r="FU370" s="436">
        <v>0</v>
      </c>
      <c r="FV370" s="436">
        <v>0</v>
      </c>
      <c r="FW370" s="436">
        <v>0</v>
      </c>
      <c r="FX370" s="436">
        <v>0</v>
      </c>
      <c r="FY370" s="365">
        <v>0</v>
      </c>
      <c r="FZ370" s="436">
        <v>0</v>
      </c>
      <c r="GA370" s="436">
        <v>0</v>
      </c>
      <c r="GB370" s="436">
        <v>0</v>
      </c>
      <c r="GC370" s="436">
        <v>0</v>
      </c>
      <c r="GD370" s="365">
        <v>0</v>
      </c>
    </row>
    <row r="371" spans="1:186" ht="15" x14ac:dyDescent="0.25">
      <c r="A371" s="357">
        <v>117</v>
      </c>
      <c r="B371" s="357">
        <v>101</v>
      </c>
      <c r="C371" s="357" t="s">
        <v>1281</v>
      </c>
      <c r="D371" s="2">
        <v>99712</v>
      </c>
      <c r="E371" s="268" t="s">
        <v>1527</v>
      </c>
      <c r="F371" s="358" t="s">
        <v>985</v>
      </c>
      <c r="G371" s="49">
        <v>75</v>
      </c>
      <c r="H371" s="49">
        <v>26</v>
      </c>
      <c r="I371" s="49">
        <v>26</v>
      </c>
      <c r="J371" s="49">
        <v>0</v>
      </c>
      <c r="K371" s="49">
        <v>0</v>
      </c>
      <c r="L371" s="49">
        <v>14</v>
      </c>
      <c r="M371" s="49">
        <v>14</v>
      </c>
      <c r="N371" s="49">
        <v>1</v>
      </c>
      <c r="O371" s="49">
        <v>0</v>
      </c>
      <c r="P371" s="49">
        <v>0</v>
      </c>
      <c r="Q371" s="49">
        <v>15</v>
      </c>
      <c r="R371" s="49">
        <v>0</v>
      </c>
      <c r="S371" s="49">
        <v>2256.2142857142858</v>
      </c>
      <c r="T371" s="49">
        <v>2256.2142857142858</v>
      </c>
      <c r="U371" s="49">
        <v>1104</v>
      </c>
      <c r="V371" s="49">
        <v>0</v>
      </c>
      <c r="W371" s="49">
        <v>0</v>
      </c>
      <c r="X371" s="49">
        <v>2179.4</v>
      </c>
      <c r="Y371" s="434">
        <v>31587</v>
      </c>
      <c r="Z371" s="434">
        <v>1104</v>
      </c>
      <c r="AA371" s="49">
        <v>0</v>
      </c>
      <c r="AB371" s="49">
        <v>26</v>
      </c>
      <c r="AC371" s="49">
        <v>0</v>
      </c>
      <c r="AD371" s="285">
        <v>1</v>
      </c>
      <c r="AE371" s="285">
        <v>0</v>
      </c>
      <c r="AF371" s="359">
        <v>27</v>
      </c>
      <c r="AG371" s="360">
        <v>0</v>
      </c>
      <c r="AH371" s="360">
        <v>26</v>
      </c>
      <c r="AI371" s="361">
        <v>26</v>
      </c>
      <c r="AJ371" s="360">
        <v>0</v>
      </c>
      <c r="AK371" s="360">
        <v>0</v>
      </c>
      <c r="AL371" s="360">
        <v>23.636970373789193</v>
      </c>
      <c r="AM371" s="360">
        <v>23.636970373789193</v>
      </c>
      <c r="AN371" s="360">
        <v>0</v>
      </c>
      <c r="AO371" s="360">
        <v>0</v>
      </c>
      <c r="AP371" s="360">
        <v>23.723806870085639</v>
      </c>
      <c r="AQ371" s="360">
        <v>23.723806870085639</v>
      </c>
      <c r="AR371" s="360">
        <v>0</v>
      </c>
      <c r="AS371" s="360">
        <v>0.92984135081383867</v>
      </c>
      <c r="AT371" s="360">
        <v>0</v>
      </c>
      <c r="AU371" s="360">
        <v>21.488706478899541</v>
      </c>
      <c r="AV371" s="360">
        <v>22.537256230801486</v>
      </c>
      <c r="AW371" s="360">
        <v>23.636970373789193</v>
      </c>
      <c r="AX371" s="360">
        <v>24.790345494133781</v>
      </c>
      <c r="AY371" s="360">
        <v>26</v>
      </c>
      <c r="AZ371" s="360">
        <v>21.646885092658561</v>
      </c>
      <c r="BA371" s="360">
        <v>22.661564846169995</v>
      </c>
      <c r="BB371" s="360">
        <v>23.723806870085639</v>
      </c>
      <c r="BC371" s="360">
        <v>24.835840606313827</v>
      </c>
      <c r="BD371" s="360">
        <v>26</v>
      </c>
      <c r="BE371" s="360">
        <v>0.86460493768330426</v>
      </c>
      <c r="BF371" s="360">
        <v>0.89663003695825327</v>
      </c>
      <c r="BG371" s="360">
        <v>0.92984135081383867</v>
      </c>
      <c r="BH371" s="360">
        <v>0.96428281681975381</v>
      </c>
      <c r="BI371" s="360">
        <v>1</v>
      </c>
      <c r="BJ371" s="362">
        <v>26.240731373611137</v>
      </c>
      <c r="BK371" s="362">
        <v>26.483691654693072</v>
      </c>
      <c r="BL371" s="362">
        <v>26.728901480474924</v>
      </c>
      <c r="BM371" s="363">
        <v>26.553170680417523</v>
      </c>
      <c r="BN371" s="363">
        <v>26.378595233269458</v>
      </c>
      <c r="BO371" s="363">
        <v>26.29435984048861</v>
      </c>
      <c r="BP371" s="363">
        <v>26.210393438582155</v>
      </c>
      <c r="BQ371" s="363">
        <v>26.126695168575154</v>
      </c>
      <c r="BR371" s="363">
        <v>26.04326417423567</v>
      </c>
      <c r="BS371" s="363">
        <v>25.960099602065988</v>
      </c>
      <c r="BT371" s="363">
        <v>26.152125623724189</v>
      </c>
      <c r="BU371" s="363">
        <v>26.345572055687398</v>
      </c>
      <c r="BV371" s="363">
        <v>26.540449404684953</v>
      </c>
      <c r="BW371" s="363">
        <v>26.736768255164133</v>
      </c>
      <c r="BX371" s="363">
        <v>26.934539269865002</v>
      </c>
      <c r="BY371" s="435">
        <v>27.043107465563796</v>
      </c>
      <c r="BZ371" s="435">
        <v>27.151675661262587</v>
      </c>
      <c r="CA371" s="435">
        <v>27.260243856961381</v>
      </c>
      <c r="CB371" s="435">
        <v>27.368812052660171</v>
      </c>
      <c r="CC371" s="363">
        <v>27.477380248358966</v>
      </c>
      <c r="CD371" s="435">
        <v>27.566374079710094</v>
      </c>
      <c r="CE371" s="435">
        <v>27.655367911061223</v>
      </c>
      <c r="CF371" s="435">
        <v>27.744361742412352</v>
      </c>
      <c r="CG371" s="435">
        <v>27.83335557376348</v>
      </c>
      <c r="CH371" s="363">
        <v>27.922349405114609</v>
      </c>
      <c r="CI371" s="362">
        <v>26.240731373611137</v>
      </c>
      <c r="CJ371" s="362">
        <v>26.483691654693072</v>
      </c>
      <c r="CK371" s="362">
        <v>26.728901480474924</v>
      </c>
      <c r="CL371" s="363">
        <v>26.553170680417523</v>
      </c>
      <c r="CM371" s="363">
        <v>26.378595233269458</v>
      </c>
      <c r="CN371" s="363">
        <v>26.29435984048861</v>
      </c>
      <c r="CO371" s="363">
        <v>26.210393438582155</v>
      </c>
      <c r="CP371" s="363">
        <v>26.126695168575154</v>
      </c>
      <c r="CQ371" s="363">
        <v>26.04326417423567</v>
      </c>
      <c r="CR371" s="363">
        <v>25.960099602065988</v>
      </c>
      <c r="CS371" s="363">
        <v>26.152125623724189</v>
      </c>
      <c r="CT371" s="363">
        <v>26.345572055687398</v>
      </c>
      <c r="CU371" s="363">
        <v>26.540449404684953</v>
      </c>
      <c r="CV371" s="363">
        <v>26.736768255164133</v>
      </c>
      <c r="CW371" s="363">
        <v>26.934539269865002</v>
      </c>
      <c r="CX371" s="435">
        <v>27.043107465563796</v>
      </c>
      <c r="CY371" s="435">
        <v>27.151675661262587</v>
      </c>
      <c r="CZ371" s="435">
        <v>27.260243856961381</v>
      </c>
      <c r="DA371" s="435">
        <v>27.368812052660171</v>
      </c>
      <c r="DB371" s="363">
        <v>27.477380248358966</v>
      </c>
      <c r="DC371" s="435">
        <v>27.566374079710094</v>
      </c>
      <c r="DD371" s="435">
        <v>27.655367911061223</v>
      </c>
      <c r="DE371" s="435">
        <v>27.744361742412352</v>
      </c>
      <c r="DF371" s="435">
        <v>27.83335557376348</v>
      </c>
      <c r="DG371" s="363">
        <v>27.922349405114609</v>
      </c>
      <c r="DH371" s="362">
        <v>1.0092588989850437</v>
      </c>
      <c r="DI371" s="362">
        <v>1.0186035251805028</v>
      </c>
      <c r="DJ371" s="362">
        <v>1.0280346723259586</v>
      </c>
      <c r="DK371" s="363">
        <v>1.0212757954006739</v>
      </c>
      <c r="DL371" s="363">
        <v>1.0145613551257484</v>
      </c>
      <c r="DM371" s="363">
        <v>1.011321532326485</v>
      </c>
      <c r="DN371" s="363">
        <v>1.0080920553300827</v>
      </c>
      <c r="DO371" s="363">
        <v>1.0048728910990443</v>
      </c>
      <c r="DP371" s="363">
        <v>1.0016640067013718</v>
      </c>
      <c r="DQ371" s="363">
        <v>0.99846536931023022</v>
      </c>
      <c r="DR371" s="363">
        <v>1.0058509855278532</v>
      </c>
      <c r="DS371" s="363">
        <v>1.0132912329110537</v>
      </c>
      <c r="DT371" s="363">
        <v>1.0207865155648057</v>
      </c>
      <c r="DU371" s="363">
        <v>1.0283372405832358</v>
      </c>
      <c r="DV371" s="363">
        <v>1.0359438180717309</v>
      </c>
      <c r="DW371" s="435">
        <v>1.0401195179062999</v>
      </c>
      <c r="DX371" s="435">
        <v>1.0442952177408689</v>
      </c>
      <c r="DY371" s="435">
        <v>1.0484709175754376</v>
      </c>
      <c r="DZ371" s="435">
        <v>1.0526466174100066</v>
      </c>
      <c r="EA371" s="363">
        <v>1.0568223172445756</v>
      </c>
      <c r="EB371" s="435">
        <v>1.0602451569119267</v>
      </c>
      <c r="EC371" s="435">
        <v>1.0636679965792777</v>
      </c>
      <c r="ED371" s="435">
        <v>1.0670908362466289</v>
      </c>
      <c r="EE371" s="435">
        <v>1.0705136759139799</v>
      </c>
      <c r="EF371" s="363">
        <v>1.073936515581331</v>
      </c>
      <c r="EG371" s="364">
        <v>0</v>
      </c>
      <c r="EH371" s="364">
        <v>0</v>
      </c>
      <c r="EI371" s="364">
        <v>0</v>
      </c>
      <c r="EJ371" s="365">
        <v>0</v>
      </c>
      <c r="EK371" s="365">
        <v>0</v>
      </c>
      <c r="EL371" s="365">
        <v>0</v>
      </c>
      <c r="EM371" s="365">
        <v>0</v>
      </c>
      <c r="EN371" s="365">
        <v>0</v>
      </c>
      <c r="EO371" s="365">
        <v>0</v>
      </c>
      <c r="EP371" s="365">
        <v>0</v>
      </c>
      <c r="EQ371" s="365">
        <v>0</v>
      </c>
      <c r="ER371" s="365">
        <v>0</v>
      </c>
      <c r="ES371" s="365">
        <v>0</v>
      </c>
      <c r="ET371" s="365">
        <v>0</v>
      </c>
      <c r="EU371" s="365">
        <v>0</v>
      </c>
      <c r="EV371" s="436">
        <v>0</v>
      </c>
      <c r="EW371" s="436">
        <v>0</v>
      </c>
      <c r="EX371" s="436">
        <v>0</v>
      </c>
      <c r="EY371" s="436">
        <v>0</v>
      </c>
      <c r="EZ371" s="365">
        <v>0</v>
      </c>
      <c r="FA371" s="436">
        <v>0</v>
      </c>
      <c r="FB371" s="436">
        <v>0</v>
      </c>
      <c r="FC371" s="436">
        <v>0</v>
      </c>
      <c r="FD371" s="436">
        <v>0</v>
      </c>
      <c r="FE371" s="365">
        <v>0</v>
      </c>
      <c r="FF371" s="364">
        <v>0</v>
      </c>
      <c r="FG371" s="364">
        <v>0</v>
      </c>
      <c r="FH371" s="364">
        <v>0</v>
      </c>
      <c r="FI371" s="365">
        <v>0</v>
      </c>
      <c r="FJ371" s="365">
        <v>0</v>
      </c>
      <c r="FK371" s="365">
        <v>0</v>
      </c>
      <c r="FL371" s="365">
        <v>0</v>
      </c>
      <c r="FM371" s="365">
        <v>0</v>
      </c>
      <c r="FN371" s="365">
        <v>0</v>
      </c>
      <c r="FO371" s="365">
        <v>0</v>
      </c>
      <c r="FP371" s="365">
        <v>0</v>
      </c>
      <c r="FQ371" s="365">
        <v>0</v>
      </c>
      <c r="FR371" s="365">
        <v>0</v>
      </c>
      <c r="FS371" s="365">
        <v>0</v>
      </c>
      <c r="FT371" s="365">
        <v>0</v>
      </c>
      <c r="FU371" s="436">
        <v>0</v>
      </c>
      <c r="FV371" s="436">
        <v>0</v>
      </c>
      <c r="FW371" s="436">
        <v>0</v>
      </c>
      <c r="FX371" s="436">
        <v>0</v>
      </c>
      <c r="FY371" s="365">
        <v>0</v>
      </c>
      <c r="FZ371" s="436">
        <v>0</v>
      </c>
      <c r="GA371" s="436">
        <v>0</v>
      </c>
      <c r="GB371" s="436">
        <v>0</v>
      </c>
      <c r="GC371" s="436">
        <v>0</v>
      </c>
      <c r="GD371" s="365">
        <v>0</v>
      </c>
    </row>
    <row r="372" spans="1:186" ht="15" x14ac:dyDescent="0.25">
      <c r="A372" s="357">
        <v>119</v>
      </c>
      <c r="B372" s="357">
        <v>101</v>
      </c>
      <c r="C372" s="357" t="s">
        <v>1282</v>
      </c>
      <c r="D372" s="2">
        <v>99712</v>
      </c>
      <c r="E372" s="268" t="s">
        <v>19</v>
      </c>
      <c r="F372" s="358" t="s">
        <v>915</v>
      </c>
      <c r="G372" s="49">
        <v>352</v>
      </c>
      <c r="H372" s="49">
        <v>157</v>
      </c>
      <c r="I372" s="49">
        <v>139</v>
      </c>
      <c r="J372" s="49">
        <v>18</v>
      </c>
      <c r="K372" s="49">
        <v>0</v>
      </c>
      <c r="L372" s="49">
        <v>0</v>
      </c>
      <c r="M372" s="49">
        <v>0</v>
      </c>
      <c r="N372" s="49">
        <v>0</v>
      </c>
      <c r="O372" s="49">
        <v>0</v>
      </c>
      <c r="P372" s="49">
        <v>0</v>
      </c>
      <c r="Q372" s="49">
        <v>0</v>
      </c>
      <c r="R372" s="49">
        <v>0</v>
      </c>
      <c r="S372" s="49">
        <v>834.49503068156923</v>
      </c>
      <c r="T372" s="49">
        <v>834.49503068156923</v>
      </c>
      <c r="U372" s="49">
        <v>1408.3846153846155</v>
      </c>
      <c r="V372" s="49">
        <v>0</v>
      </c>
      <c r="W372" s="49">
        <v>0</v>
      </c>
      <c r="X372" s="49">
        <v>1365.173957061457</v>
      </c>
      <c r="Y372" s="434">
        <v>0</v>
      </c>
      <c r="Z372" s="434">
        <v>0</v>
      </c>
      <c r="AA372" s="49">
        <v>3.5972366597366596</v>
      </c>
      <c r="AB372" s="49">
        <v>153.19876126126127</v>
      </c>
      <c r="AC372" s="49">
        <v>0.20400207900207901</v>
      </c>
      <c r="AD372" s="285">
        <v>0</v>
      </c>
      <c r="AE372" s="285">
        <v>0</v>
      </c>
      <c r="AF372" s="359">
        <v>157</v>
      </c>
      <c r="AG372" s="360">
        <v>3.1848146223146223</v>
      </c>
      <c r="AH372" s="360">
        <v>135.6345720720721</v>
      </c>
      <c r="AI372" s="361">
        <v>138.81938669438674</v>
      </c>
      <c r="AJ372" s="360">
        <v>0.18061330561330563</v>
      </c>
      <c r="AK372" s="360">
        <v>3.2702990905270699</v>
      </c>
      <c r="AL372" s="360">
        <v>139.2751762012937</v>
      </c>
      <c r="AM372" s="360">
        <v>142.54547529182076</v>
      </c>
      <c r="AN372" s="360">
        <v>0.18546119606013631</v>
      </c>
      <c r="AO372" s="360">
        <v>2.9059971929544939</v>
      </c>
      <c r="AP372" s="360">
        <v>123.76032279786732</v>
      </c>
      <c r="AQ372" s="360">
        <v>126.6663199908218</v>
      </c>
      <c r="AR372" s="360">
        <v>0.16480135309760838</v>
      </c>
      <c r="AS372" s="360">
        <v>0</v>
      </c>
      <c r="AT372" s="360">
        <v>0</v>
      </c>
      <c r="AU372" s="360">
        <v>129.59012216886413</v>
      </c>
      <c r="AV372" s="360">
        <v>135.9135223503749</v>
      </c>
      <c r="AW372" s="360">
        <v>142.54547529182076</v>
      </c>
      <c r="AX372" s="360">
        <v>149.50103694457772</v>
      </c>
      <c r="AY372" s="360">
        <v>156.79599792099793</v>
      </c>
      <c r="AZ372" s="360">
        <v>115.57720432333556</v>
      </c>
      <c r="BA372" s="360">
        <v>120.99478974924588</v>
      </c>
      <c r="BB372" s="360">
        <v>126.66631999082182</v>
      </c>
      <c r="BC372" s="360">
        <v>132.60369850030889</v>
      </c>
      <c r="BD372" s="360">
        <v>138.81938669438674</v>
      </c>
      <c r="BE372" s="360">
        <v>0</v>
      </c>
      <c r="BF372" s="360">
        <v>0</v>
      </c>
      <c r="BG372" s="360">
        <v>0</v>
      </c>
      <c r="BH372" s="360">
        <v>0</v>
      </c>
      <c r="BI372" s="360">
        <v>0</v>
      </c>
      <c r="BJ372" s="362">
        <v>158.24775622700759</v>
      </c>
      <c r="BK372" s="362">
        <v>159.71295621652328</v>
      </c>
      <c r="BL372" s="362">
        <v>161.19172234473479</v>
      </c>
      <c r="BM372" s="363">
        <v>160.13195749240958</v>
      </c>
      <c r="BN372" s="363">
        <v>159.07916012902169</v>
      </c>
      <c r="BO372" s="363">
        <v>158.57116888012399</v>
      </c>
      <c r="BP372" s="363">
        <v>158.0647998117102</v>
      </c>
      <c r="BQ372" s="363">
        <v>157.56004774363294</v>
      </c>
      <c r="BR372" s="363">
        <v>157.05690751228676</v>
      </c>
      <c r="BS372" s="363">
        <v>156.55537397055528</v>
      </c>
      <c r="BT372" s="363">
        <v>157.713409035659</v>
      </c>
      <c r="BU372" s="363">
        <v>158.88001004888699</v>
      </c>
      <c r="BV372" s="363">
        <v>160.05524037228201</v>
      </c>
      <c r="BW372" s="363">
        <v>161.23916383657379</v>
      </c>
      <c r="BX372" s="363">
        <v>162.43184474464576</v>
      </c>
      <c r="BY372" s="435">
        <v>163.08657776722555</v>
      </c>
      <c r="BZ372" s="435">
        <v>163.74131078980534</v>
      </c>
      <c r="CA372" s="435">
        <v>164.3960438123851</v>
      </c>
      <c r="CB372" s="435">
        <v>165.05077683496489</v>
      </c>
      <c r="CC372" s="363">
        <v>165.70550985754468</v>
      </c>
      <c r="CD372" s="435">
        <v>166.24219741891056</v>
      </c>
      <c r="CE372" s="435">
        <v>166.77888498027647</v>
      </c>
      <c r="CF372" s="435">
        <v>167.31557254164235</v>
      </c>
      <c r="CG372" s="435">
        <v>167.85226010300826</v>
      </c>
      <c r="CH372" s="363">
        <v>168.38894766437414</v>
      </c>
      <c r="CI372" s="362">
        <v>140.10470137295579</v>
      </c>
      <c r="CJ372" s="362">
        <v>141.40191665029772</v>
      </c>
      <c r="CK372" s="362">
        <v>142.71114271285441</v>
      </c>
      <c r="CL372" s="363">
        <v>141.77287956334357</v>
      </c>
      <c r="CM372" s="363">
        <v>140.8407850823823</v>
      </c>
      <c r="CN372" s="363">
        <v>140.39103486839005</v>
      </c>
      <c r="CO372" s="363">
        <v>139.94272085240587</v>
      </c>
      <c r="CP372" s="363">
        <v>139.49583844818463</v>
      </c>
      <c r="CQ372" s="363">
        <v>139.05038308412654</v>
      </c>
      <c r="CR372" s="363">
        <v>138.60635020323051</v>
      </c>
      <c r="CS372" s="363">
        <v>139.63161691692108</v>
      </c>
      <c r="CT372" s="363">
        <v>140.66446749551147</v>
      </c>
      <c r="CU372" s="363">
        <v>141.7049580366064</v>
      </c>
      <c r="CV372" s="363">
        <v>142.75314505276282</v>
      </c>
      <c r="CW372" s="363">
        <v>143.80908547455903</v>
      </c>
      <c r="CX372" s="435">
        <v>144.38875356461375</v>
      </c>
      <c r="CY372" s="435">
        <v>144.96842165466845</v>
      </c>
      <c r="CZ372" s="435">
        <v>145.54808974472317</v>
      </c>
      <c r="DA372" s="435">
        <v>146.12775783477787</v>
      </c>
      <c r="DB372" s="363">
        <v>146.70742592483259</v>
      </c>
      <c r="DC372" s="435">
        <v>147.1825824282075</v>
      </c>
      <c r="DD372" s="435">
        <v>147.6577389315824</v>
      </c>
      <c r="DE372" s="435">
        <v>148.13289543495728</v>
      </c>
      <c r="DF372" s="435">
        <v>148.60805193833218</v>
      </c>
      <c r="DG372" s="363">
        <v>149.08320844170709</v>
      </c>
      <c r="DH372" s="362">
        <v>0</v>
      </c>
      <c r="DI372" s="362">
        <v>0</v>
      </c>
      <c r="DJ372" s="362">
        <v>0</v>
      </c>
      <c r="DK372" s="363">
        <v>0</v>
      </c>
      <c r="DL372" s="363">
        <v>0</v>
      </c>
      <c r="DM372" s="363">
        <v>0</v>
      </c>
      <c r="DN372" s="363">
        <v>0</v>
      </c>
      <c r="DO372" s="363">
        <v>0</v>
      </c>
      <c r="DP372" s="363">
        <v>0</v>
      </c>
      <c r="DQ372" s="363">
        <v>0</v>
      </c>
      <c r="DR372" s="363">
        <v>0</v>
      </c>
      <c r="DS372" s="363">
        <v>0</v>
      </c>
      <c r="DT372" s="363">
        <v>0</v>
      </c>
      <c r="DU372" s="363">
        <v>0</v>
      </c>
      <c r="DV372" s="363">
        <v>0</v>
      </c>
      <c r="DW372" s="435">
        <v>0</v>
      </c>
      <c r="DX372" s="435">
        <v>0</v>
      </c>
      <c r="DY372" s="435">
        <v>0</v>
      </c>
      <c r="DZ372" s="435">
        <v>0</v>
      </c>
      <c r="EA372" s="363">
        <v>0</v>
      </c>
      <c r="EB372" s="435">
        <v>0</v>
      </c>
      <c r="EC372" s="435">
        <v>0</v>
      </c>
      <c r="ED372" s="435">
        <v>0</v>
      </c>
      <c r="EE372" s="435">
        <v>0</v>
      </c>
      <c r="EF372" s="363">
        <v>0</v>
      </c>
      <c r="EG372" s="364">
        <v>0.20589091364429818</v>
      </c>
      <c r="EH372" s="364">
        <v>0.20779723681566911</v>
      </c>
      <c r="EI372" s="364">
        <v>0.20972121044071659</v>
      </c>
      <c r="EJ372" s="365">
        <v>0.20834238549623935</v>
      </c>
      <c r="EK372" s="365">
        <v>0.20697262572081923</v>
      </c>
      <c r="EL372" s="365">
        <v>0.20631169513417116</v>
      </c>
      <c r="EM372" s="365">
        <v>0.20565287511281574</v>
      </c>
      <c r="EN372" s="365">
        <v>0.20499615891703477</v>
      </c>
      <c r="EO372" s="365">
        <v>0.20434153982863226</v>
      </c>
      <c r="EP372" s="365">
        <v>0.20368901115086555</v>
      </c>
      <c r="EQ372" s="365">
        <v>0.20519569221397216</v>
      </c>
      <c r="ER372" s="365">
        <v>0.2067135181484348</v>
      </c>
      <c r="ES372" s="365">
        <v>0.20824257139250846</v>
      </c>
      <c r="ET372" s="365">
        <v>0.20978293499424117</v>
      </c>
      <c r="EU372" s="365">
        <v>0.21133469261598459</v>
      </c>
      <c r="EV372" s="436">
        <v>0.2121865440635253</v>
      </c>
      <c r="EW372" s="436">
        <v>0.21303839551106599</v>
      </c>
      <c r="EX372" s="436">
        <v>0.2138902469586067</v>
      </c>
      <c r="EY372" s="436">
        <v>0.21474209840614739</v>
      </c>
      <c r="EZ372" s="365">
        <v>0.2155939498536881</v>
      </c>
      <c r="FA372" s="436">
        <v>0.2162922162619185</v>
      </c>
      <c r="FB372" s="436">
        <v>0.21699048267014892</v>
      </c>
      <c r="FC372" s="436">
        <v>0.21768874907837932</v>
      </c>
      <c r="FD372" s="436">
        <v>0.21838701548660974</v>
      </c>
      <c r="FE372" s="365">
        <v>0.21908528189484014</v>
      </c>
      <c r="FF372" s="364">
        <v>0</v>
      </c>
      <c r="FG372" s="364">
        <v>0</v>
      </c>
      <c r="FH372" s="364">
        <v>0</v>
      </c>
      <c r="FI372" s="365">
        <v>0</v>
      </c>
      <c r="FJ372" s="365">
        <v>0</v>
      </c>
      <c r="FK372" s="365">
        <v>0</v>
      </c>
      <c r="FL372" s="365">
        <v>0</v>
      </c>
      <c r="FM372" s="365">
        <v>0</v>
      </c>
      <c r="FN372" s="365">
        <v>0</v>
      </c>
      <c r="FO372" s="365">
        <v>0</v>
      </c>
      <c r="FP372" s="365">
        <v>0</v>
      </c>
      <c r="FQ372" s="365">
        <v>0</v>
      </c>
      <c r="FR372" s="365">
        <v>0</v>
      </c>
      <c r="FS372" s="365">
        <v>0</v>
      </c>
      <c r="FT372" s="365">
        <v>0</v>
      </c>
      <c r="FU372" s="436">
        <v>0</v>
      </c>
      <c r="FV372" s="436">
        <v>0</v>
      </c>
      <c r="FW372" s="436">
        <v>0</v>
      </c>
      <c r="FX372" s="436">
        <v>0</v>
      </c>
      <c r="FY372" s="365">
        <v>0</v>
      </c>
      <c r="FZ372" s="436">
        <v>0</v>
      </c>
      <c r="GA372" s="436">
        <v>0</v>
      </c>
      <c r="GB372" s="436">
        <v>0</v>
      </c>
      <c r="GC372" s="436">
        <v>0</v>
      </c>
      <c r="GD372" s="365">
        <v>0</v>
      </c>
    </row>
    <row r="373" spans="1:186" ht="15" x14ac:dyDescent="0.25">
      <c r="A373" s="357">
        <v>135</v>
      </c>
      <c r="B373" s="357">
        <v>101</v>
      </c>
      <c r="C373" s="357" t="s">
        <v>1283</v>
      </c>
      <c r="D373" s="2">
        <v>99712</v>
      </c>
      <c r="E373" s="268" t="s">
        <v>19</v>
      </c>
      <c r="F373" s="358" t="s">
        <v>915</v>
      </c>
      <c r="G373" s="49">
        <v>27</v>
      </c>
      <c r="H373" s="49">
        <v>10</v>
      </c>
      <c r="I373" s="49">
        <v>9</v>
      </c>
      <c r="J373" s="49">
        <v>1</v>
      </c>
      <c r="K373" s="49">
        <v>0</v>
      </c>
      <c r="L373" s="49">
        <v>0</v>
      </c>
      <c r="M373" s="49">
        <v>0</v>
      </c>
      <c r="N373" s="49">
        <v>0</v>
      </c>
      <c r="O373" s="49">
        <v>0</v>
      </c>
      <c r="P373" s="49">
        <v>0</v>
      </c>
      <c r="Q373" s="49">
        <v>0</v>
      </c>
      <c r="R373" s="49">
        <v>0</v>
      </c>
      <c r="S373" s="49">
        <v>834.49503068156923</v>
      </c>
      <c r="T373" s="49">
        <v>834.49503068156923</v>
      </c>
      <c r="U373" s="49">
        <v>1408.3846153846155</v>
      </c>
      <c r="V373" s="49">
        <v>0</v>
      </c>
      <c r="W373" s="49">
        <v>0</v>
      </c>
      <c r="X373" s="49">
        <v>1365.173957061457</v>
      </c>
      <c r="Y373" s="434">
        <v>0</v>
      </c>
      <c r="Z373" s="434">
        <v>0</v>
      </c>
      <c r="AA373" s="49">
        <v>0.22912335412335413</v>
      </c>
      <c r="AB373" s="49">
        <v>9.7578828828828836</v>
      </c>
      <c r="AC373" s="49">
        <v>1.2993762993762994E-2</v>
      </c>
      <c r="AD373" s="285">
        <v>0</v>
      </c>
      <c r="AE373" s="285">
        <v>0</v>
      </c>
      <c r="AF373" s="359">
        <v>10</v>
      </c>
      <c r="AG373" s="360">
        <v>0.20621101871101871</v>
      </c>
      <c r="AH373" s="360">
        <v>8.7820945945945947</v>
      </c>
      <c r="AI373" s="361">
        <v>8.988305613305613</v>
      </c>
      <c r="AJ373" s="360">
        <v>1.1694386694386695E-2</v>
      </c>
      <c r="AK373" s="360">
        <v>0.20829930512911277</v>
      </c>
      <c r="AL373" s="360">
        <v>8.8710303312925927</v>
      </c>
      <c r="AM373" s="360">
        <v>9.079329636421706</v>
      </c>
      <c r="AN373" s="360">
        <v>1.1812815035677472E-2</v>
      </c>
      <c r="AO373" s="360">
        <v>0.1881580916301471</v>
      </c>
      <c r="AP373" s="360">
        <v>8.0132583106532778</v>
      </c>
      <c r="AQ373" s="360">
        <v>8.2014164022834244</v>
      </c>
      <c r="AR373" s="360">
        <v>1.0670591207758814E-2</v>
      </c>
      <c r="AS373" s="360">
        <v>0</v>
      </c>
      <c r="AT373" s="360">
        <v>0</v>
      </c>
      <c r="AU373" s="360">
        <v>8.2541479088448479</v>
      </c>
      <c r="AV373" s="360">
        <v>8.6569122516162373</v>
      </c>
      <c r="AW373" s="360">
        <v>9.079329636421706</v>
      </c>
      <c r="AX373" s="360">
        <v>9.5223590410559069</v>
      </c>
      <c r="AY373" s="360">
        <v>9.9870062370062378</v>
      </c>
      <c r="AZ373" s="360">
        <v>7.4834161072663283</v>
      </c>
      <c r="BA373" s="360">
        <v>7.8341950197353425</v>
      </c>
      <c r="BB373" s="360">
        <v>8.2014164022834244</v>
      </c>
      <c r="BC373" s="360">
        <v>8.5858509820343851</v>
      </c>
      <c r="BD373" s="360">
        <v>8.988305613305613</v>
      </c>
      <c r="BE373" s="360">
        <v>0</v>
      </c>
      <c r="BF373" s="360">
        <v>0</v>
      </c>
      <c r="BG373" s="360">
        <v>0</v>
      </c>
      <c r="BH373" s="360">
        <v>0</v>
      </c>
      <c r="BI373" s="360">
        <v>0</v>
      </c>
      <c r="BJ373" s="362">
        <v>10.113419507725885</v>
      </c>
      <c r="BK373" s="362">
        <v>10.241432889092787</v>
      </c>
      <c r="BL373" s="362">
        <v>10.371066634946347</v>
      </c>
      <c r="BM373" s="363">
        <v>10.302881422077085</v>
      </c>
      <c r="BN373" s="363">
        <v>10.235144497066504</v>
      </c>
      <c r="BO373" s="363">
        <v>10.202460367784601</v>
      </c>
      <c r="BP373" s="363">
        <v>10.169880609506668</v>
      </c>
      <c r="BQ373" s="363">
        <v>10.137404888942305</v>
      </c>
      <c r="BR373" s="363">
        <v>10.105032873865415</v>
      </c>
      <c r="BS373" s="363">
        <v>10.072764233110814</v>
      </c>
      <c r="BT373" s="363">
        <v>10.147272146117102</v>
      </c>
      <c r="BU373" s="363">
        <v>10.222331191759086</v>
      </c>
      <c r="BV373" s="363">
        <v>10.297945446747145</v>
      </c>
      <c r="BW373" s="363">
        <v>10.374119017946953</v>
      </c>
      <c r="BX373" s="363">
        <v>10.450856042602529</v>
      </c>
      <c r="BY373" s="435">
        <v>10.492981529609565</v>
      </c>
      <c r="BZ373" s="435">
        <v>10.5351070166166</v>
      </c>
      <c r="CA373" s="435">
        <v>10.577232503623636</v>
      </c>
      <c r="CB373" s="435">
        <v>10.61935799063067</v>
      </c>
      <c r="CC373" s="363">
        <v>10.661483477637706</v>
      </c>
      <c r="CD373" s="435">
        <v>10.696013926100616</v>
      </c>
      <c r="CE373" s="435">
        <v>10.730544374563525</v>
      </c>
      <c r="CF373" s="435">
        <v>10.765074823026437</v>
      </c>
      <c r="CG373" s="435">
        <v>10.799605271489346</v>
      </c>
      <c r="CH373" s="363">
        <v>10.834135719952256</v>
      </c>
      <c r="CI373" s="362">
        <v>9.1020775569532955</v>
      </c>
      <c r="CJ373" s="362">
        <v>9.2172896001835074</v>
      </c>
      <c r="CK373" s="362">
        <v>9.3339599714517121</v>
      </c>
      <c r="CL373" s="363">
        <v>9.2725932798693762</v>
      </c>
      <c r="CM373" s="363">
        <v>9.2116300473598525</v>
      </c>
      <c r="CN373" s="363">
        <v>9.1822143310061417</v>
      </c>
      <c r="CO373" s="363">
        <v>9.152892548556002</v>
      </c>
      <c r="CP373" s="363">
        <v>9.1236644000480744</v>
      </c>
      <c r="CQ373" s="363">
        <v>9.094529586478874</v>
      </c>
      <c r="CR373" s="363">
        <v>9.0654878097997322</v>
      </c>
      <c r="CS373" s="363">
        <v>9.1325449315053913</v>
      </c>
      <c r="CT373" s="363">
        <v>9.2000980725831756</v>
      </c>
      <c r="CU373" s="363">
        <v>9.2681509020724295</v>
      </c>
      <c r="CV373" s="363">
        <v>9.3367071161522581</v>
      </c>
      <c r="CW373" s="363">
        <v>9.4057704383422767</v>
      </c>
      <c r="CX373" s="435">
        <v>9.4436833766486092</v>
      </c>
      <c r="CY373" s="435">
        <v>9.48159631495494</v>
      </c>
      <c r="CZ373" s="435">
        <v>9.5195092532612726</v>
      </c>
      <c r="DA373" s="435">
        <v>9.5574221915676034</v>
      </c>
      <c r="DB373" s="363">
        <v>9.595335129873936</v>
      </c>
      <c r="DC373" s="435">
        <v>9.626412533490555</v>
      </c>
      <c r="DD373" s="435">
        <v>9.6574899371071741</v>
      </c>
      <c r="DE373" s="435">
        <v>9.6885673407237913</v>
      </c>
      <c r="DF373" s="435">
        <v>9.7196447443404104</v>
      </c>
      <c r="DG373" s="363">
        <v>9.7507221479570294</v>
      </c>
      <c r="DH373" s="362">
        <v>0</v>
      </c>
      <c r="DI373" s="362">
        <v>0</v>
      </c>
      <c r="DJ373" s="362">
        <v>0</v>
      </c>
      <c r="DK373" s="363">
        <v>0</v>
      </c>
      <c r="DL373" s="363">
        <v>0</v>
      </c>
      <c r="DM373" s="363">
        <v>0</v>
      </c>
      <c r="DN373" s="363">
        <v>0</v>
      </c>
      <c r="DO373" s="363">
        <v>0</v>
      </c>
      <c r="DP373" s="363">
        <v>0</v>
      </c>
      <c r="DQ373" s="363">
        <v>0</v>
      </c>
      <c r="DR373" s="363">
        <v>0</v>
      </c>
      <c r="DS373" s="363">
        <v>0</v>
      </c>
      <c r="DT373" s="363">
        <v>0</v>
      </c>
      <c r="DU373" s="363">
        <v>0</v>
      </c>
      <c r="DV373" s="363">
        <v>0</v>
      </c>
      <c r="DW373" s="435">
        <v>0</v>
      </c>
      <c r="DX373" s="435">
        <v>0</v>
      </c>
      <c r="DY373" s="435">
        <v>0</v>
      </c>
      <c r="DZ373" s="435">
        <v>0</v>
      </c>
      <c r="EA373" s="363">
        <v>0</v>
      </c>
      <c r="EB373" s="435">
        <v>0</v>
      </c>
      <c r="EC373" s="435">
        <v>0</v>
      </c>
      <c r="ED373" s="435">
        <v>0</v>
      </c>
      <c r="EE373" s="435">
        <v>0</v>
      </c>
      <c r="EF373" s="363">
        <v>0</v>
      </c>
      <c r="EG373" s="364">
        <v>1.3158235112836175E-2</v>
      </c>
      <c r="EH373" s="364">
        <v>1.3324789082868575E-2</v>
      </c>
      <c r="EI373" s="364">
        <v>1.3493451255459728E-2</v>
      </c>
      <c r="EJ373" s="365">
        <v>1.3404737733641797E-2</v>
      </c>
      <c r="EK373" s="365">
        <v>1.3316607464307186E-2</v>
      </c>
      <c r="EL373" s="365">
        <v>1.3274083226365602E-2</v>
      </c>
      <c r="EM373" s="365">
        <v>1.3231694782079976E-2</v>
      </c>
      <c r="EN373" s="365">
        <v>1.3189441697817206E-2</v>
      </c>
      <c r="EO373" s="365">
        <v>1.314732354132893E-2</v>
      </c>
      <c r="EP373" s="365">
        <v>1.3105339881747091E-2</v>
      </c>
      <c r="EQ373" s="365">
        <v>1.3202279659272835E-2</v>
      </c>
      <c r="ER373" s="365">
        <v>1.3299936497214527E-2</v>
      </c>
      <c r="ES373" s="365">
        <v>1.3398315699644996E-2</v>
      </c>
      <c r="ET373" s="365">
        <v>1.3497422609871133E-2</v>
      </c>
      <c r="EU373" s="365">
        <v>1.3597262610724083E-2</v>
      </c>
      <c r="EV373" s="436">
        <v>1.3652070686455329E-2</v>
      </c>
      <c r="EW373" s="436">
        <v>1.3706878762186575E-2</v>
      </c>
      <c r="EX373" s="436">
        <v>1.3761686837917819E-2</v>
      </c>
      <c r="EY373" s="436">
        <v>1.3816494913649065E-2</v>
      </c>
      <c r="EZ373" s="365">
        <v>1.3871302989380311E-2</v>
      </c>
      <c r="FA373" s="436">
        <v>1.3916229412048682E-2</v>
      </c>
      <c r="FB373" s="436">
        <v>1.3961155834717052E-2</v>
      </c>
      <c r="FC373" s="436">
        <v>1.4006082257385423E-2</v>
      </c>
      <c r="FD373" s="436">
        <v>1.4051008680053793E-2</v>
      </c>
      <c r="FE373" s="365">
        <v>1.4095935102722165E-2</v>
      </c>
      <c r="FF373" s="364">
        <v>0</v>
      </c>
      <c r="FG373" s="364">
        <v>0</v>
      </c>
      <c r="FH373" s="364">
        <v>0</v>
      </c>
      <c r="FI373" s="365">
        <v>0</v>
      </c>
      <c r="FJ373" s="365">
        <v>0</v>
      </c>
      <c r="FK373" s="365">
        <v>0</v>
      </c>
      <c r="FL373" s="365">
        <v>0</v>
      </c>
      <c r="FM373" s="365">
        <v>0</v>
      </c>
      <c r="FN373" s="365">
        <v>0</v>
      </c>
      <c r="FO373" s="365">
        <v>0</v>
      </c>
      <c r="FP373" s="365">
        <v>0</v>
      </c>
      <c r="FQ373" s="365">
        <v>0</v>
      </c>
      <c r="FR373" s="365">
        <v>0</v>
      </c>
      <c r="FS373" s="365">
        <v>0</v>
      </c>
      <c r="FT373" s="365">
        <v>0</v>
      </c>
      <c r="FU373" s="436">
        <v>0</v>
      </c>
      <c r="FV373" s="436">
        <v>0</v>
      </c>
      <c r="FW373" s="436">
        <v>0</v>
      </c>
      <c r="FX373" s="436">
        <v>0</v>
      </c>
      <c r="FY373" s="365">
        <v>0</v>
      </c>
      <c r="FZ373" s="436">
        <v>0</v>
      </c>
      <c r="GA373" s="436">
        <v>0</v>
      </c>
      <c r="GB373" s="436">
        <v>0</v>
      </c>
      <c r="GC373" s="436">
        <v>0</v>
      </c>
      <c r="GD373" s="365">
        <v>0</v>
      </c>
    </row>
    <row r="374" spans="1:186" ht="15" x14ac:dyDescent="0.25">
      <c r="A374" s="357">
        <v>136</v>
      </c>
      <c r="B374" s="357">
        <v>101</v>
      </c>
      <c r="C374" s="357" t="s">
        <v>1284</v>
      </c>
      <c r="D374" s="2">
        <v>99712</v>
      </c>
      <c r="E374" s="268" t="s">
        <v>19</v>
      </c>
      <c r="F374" s="358" t="s">
        <v>915</v>
      </c>
      <c r="G374" s="49">
        <v>4</v>
      </c>
      <c r="H374" s="49">
        <v>2</v>
      </c>
      <c r="I374" s="49">
        <v>2</v>
      </c>
      <c r="J374" s="49">
        <v>0</v>
      </c>
      <c r="K374" s="49">
        <v>0</v>
      </c>
      <c r="L374" s="49">
        <v>0</v>
      </c>
      <c r="M374" s="49">
        <v>0</v>
      </c>
      <c r="N374" s="49">
        <v>0</v>
      </c>
      <c r="O374" s="49">
        <v>0</v>
      </c>
      <c r="P374" s="49">
        <v>0</v>
      </c>
      <c r="Q374" s="49">
        <v>0</v>
      </c>
      <c r="R374" s="49">
        <v>0</v>
      </c>
      <c r="S374" s="49">
        <v>834.49503068156923</v>
      </c>
      <c r="T374" s="49">
        <v>834.49503068156923</v>
      </c>
      <c r="U374" s="49">
        <v>1408.3846153846155</v>
      </c>
      <c r="V374" s="49">
        <v>0</v>
      </c>
      <c r="W374" s="49">
        <v>0</v>
      </c>
      <c r="X374" s="49">
        <v>1365.173957061457</v>
      </c>
      <c r="Y374" s="434">
        <v>0</v>
      </c>
      <c r="Z374" s="434">
        <v>0</v>
      </c>
      <c r="AA374" s="49">
        <v>4.5824670824670823E-2</v>
      </c>
      <c r="AB374" s="49">
        <v>1.9515765765765767</v>
      </c>
      <c r="AC374" s="49">
        <v>2.5987525987525989E-3</v>
      </c>
      <c r="AD374" s="285">
        <v>0</v>
      </c>
      <c r="AE374" s="285">
        <v>0</v>
      </c>
      <c r="AF374" s="359">
        <v>2</v>
      </c>
      <c r="AG374" s="360">
        <v>4.5824670824670823E-2</v>
      </c>
      <c r="AH374" s="360">
        <v>1.9515765765765767</v>
      </c>
      <c r="AI374" s="361">
        <v>1.9974012474012475</v>
      </c>
      <c r="AJ374" s="360">
        <v>2.5987525987525989E-3</v>
      </c>
      <c r="AK374" s="360">
        <v>4.1659861025822545E-2</v>
      </c>
      <c r="AL374" s="360">
        <v>1.7742060662585184</v>
      </c>
      <c r="AM374" s="360">
        <v>1.8158659272843409</v>
      </c>
      <c r="AN374" s="360">
        <v>2.3625630071354943E-3</v>
      </c>
      <c r="AO374" s="360">
        <v>4.1812909251143796E-2</v>
      </c>
      <c r="AP374" s="360">
        <v>1.7807240690340618</v>
      </c>
      <c r="AQ374" s="360">
        <v>1.8225369782852057</v>
      </c>
      <c r="AR374" s="360">
        <v>2.3712424906130701E-3</v>
      </c>
      <c r="AS374" s="360">
        <v>0</v>
      </c>
      <c r="AT374" s="360">
        <v>0</v>
      </c>
      <c r="AU374" s="360">
        <v>1.6508295817689698</v>
      </c>
      <c r="AV374" s="360">
        <v>1.7313824503232471</v>
      </c>
      <c r="AW374" s="360">
        <v>1.8158659272843409</v>
      </c>
      <c r="AX374" s="360">
        <v>1.9044718082111811</v>
      </c>
      <c r="AY374" s="360">
        <v>1.9974012474012475</v>
      </c>
      <c r="AZ374" s="360">
        <v>1.6629813571702954</v>
      </c>
      <c r="BA374" s="360">
        <v>1.740932226607854</v>
      </c>
      <c r="BB374" s="360">
        <v>1.8225369782852054</v>
      </c>
      <c r="BC374" s="360">
        <v>1.9079668848965303</v>
      </c>
      <c r="BD374" s="360">
        <v>1.9974012474012475</v>
      </c>
      <c r="BE374" s="360">
        <v>0</v>
      </c>
      <c r="BF374" s="360">
        <v>0</v>
      </c>
      <c r="BG374" s="360">
        <v>0</v>
      </c>
      <c r="BH374" s="360">
        <v>0</v>
      </c>
      <c r="BI374" s="360">
        <v>0</v>
      </c>
      <c r="BJ374" s="362">
        <v>2.022683901545177</v>
      </c>
      <c r="BK374" s="362">
        <v>2.0482865778185571</v>
      </c>
      <c r="BL374" s="362">
        <v>2.0742133269892693</v>
      </c>
      <c r="BM374" s="363">
        <v>2.0605762844154167</v>
      </c>
      <c r="BN374" s="363">
        <v>2.0470288994133008</v>
      </c>
      <c r="BO374" s="363">
        <v>2.0404920735569201</v>
      </c>
      <c r="BP374" s="363">
        <v>2.0339761219013339</v>
      </c>
      <c r="BQ374" s="363">
        <v>2.027480977788461</v>
      </c>
      <c r="BR374" s="363">
        <v>2.0210065747730832</v>
      </c>
      <c r="BS374" s="363">
        <v>2.0145528466221627</v>
      </c>
      <c r="BT374" s="363">
        <v>2.0294544292234202</v>
      </c>
      <c r="BU374" s="363">
        <v>2.0444662383518168</v>
      </c>
      <c r="BV374" s="363">
        <v>2.0595890893494286</v>
      </c>
      <c r="BW374" s="363">
        <v>2.0748238035893904</v>
      </c>
      <c r="BX374" s="363">
        <v>2.090171208520506</v>
      </c>
      <c r="BY374" s="435">
        <v>2.0985963059219128</v>
      </c>
      <c r="BZ374" s="435">
        <v>2.1070214033233201</v>
      </c>
      <c r="CA374" s="435">
        <v>2.115446500724727</v>
      </c>
      <c r="CB374" s="435">
        <v>2.1238715981261342</v>
      </c>
      <c r="CC374" s="363">
        <v>2.1322966955275411</v>
      </c>
      <c r="CD374" s="435">
        <v>2.1392027852201232</v>
      </c>
      <c r="CE374" s="435">
        <v>2.1461088749127053</v>
      </c>
      <c r="CF374" s="435">
        <v>2.153014964605287</v>
      </c>
      <c r="CG374" s="435">
        <v>2.1599210542978691</v>
      </c>
      <c r="CH374" s="363">
        <v>2.1668271439904512</v>
      </c>
      <c r="CI374" s="362">
        <v>2.022683901545177</v>
      </c>
      <c r="CJ374" s="362">
        <v>2.0482865778185571</v>
      </c>
      <c r="CK374" s="362">
        <v>2.0742133269892693</v>
      </c>
      <c r="CL374" s="363">
        <v>2.0605762844154167</v>
      </c>
      <c r="CM374" s="363">
        <v>2.0470288994133008</v>
      </c>
      <c r="CN374" s="363">
        <v>2.0404920735569201</v>
      </c>
      <c r="CO374" s="363">
        <v>2.0339761219013339</v>
      </c>
      <c r="CP374" s="363">
        <v>2.027480977788461</v>
      </c>
      <c r="CQ374" s="363">
        <v>2.0210065747730832</v>
      </c>
      <c r="CR374" s="363">
        <v>2.0145528466221627</v>
      </c>
      <c r="CS374" s="363">
        <v>2.0294544292234202</v>
      </c>
      <c r="CT374" s="363">
        <v>2.0444662383518168</v>
      </c>
      <c r="CU374" s="363">
        <v>2.0595890893494286</v>
      </c>
      <c r="CV374" s="363">
        <v>2.0748238035893904</v>
      </c>
      <c r="CW374" s="363">
        <v>2.090171208520506</v>
      </c>
      <c r="CX374" s="435">
        <v>2.0985963059219128</v>
      </c>
      <c r="CY374" s="435">
        <v>2.1070214033233201</v>
      </c>
      <c r="CZ374" s="435">
        <v>2.115446500724727</v>
      </c>
      <c r="DA374" s="435">
        <v>2.1238715981261342</v>
      </c>
      <c r="DB374" s="363">
        <v>2.1322966955275411</v>
      </c>
      <c r="DC374" s="435">
        <v>2.1392027852201232</v>
      </c>
      <c r="DD374" s="435">
        <v>2.1461088749127053</v>
      </c>
      <c r="DE374" s="435">
        <v>2.153014964605287</v>
      </c>
      <c r="DF374" s="435">
        <v>2.1599210542978691</v>
      </c>
      <c r="DG374" s="363">
        <v>2.1668271439904512</v>
      </c>
      <c r="DH374" s="362">
        <v>0</v>
      </c>
      <c r="DI374" s="362">
        <v>0</v>
      </c>
      <c r="DJ374" s="362">
        <v>0</v>
      </c>
      <c r="DK374" s="363">
        <v>0</v>
      </c>
      <c r="DL374" s="363">
        <v>0</v>
      </c>
      <c r="DM374" s="363">
        <v>0</v>
      </c>
      <c r="DN374" s="363">
        <v>0</v>
      </c>
      <c r="DO374" s="363">
        <v>0</v>
      </c>
      <c r="DP374" s="363">
        <v>0</v>
      </c>
      <c r="DQ374" s="363">
        <v>0</v>
      </c>
      <c r="DR374" s="363">
        <v>0</v>
      </c>
      <c r="DS374" s="363">
        <v>0</v>
      </c>
      <c r="DT374" s="363">
        <v>0</v>
      </c>
      <c r="DU374" s="363">
        <v>0</v>
      </c>
      <c r="DV374" s="363">
        <v>0</v>
      </c>
      <c r="DW374" s="435">
        <v>0</v>
      </c>
      <c r="DX374" s="435">
        <v>0</v>
      </c>
      <c r="DY374" s="435">
        <v>0</v>
      </c>
      <c r="DZ374" s="435">
        <v>0</v>
      </c>
      <c r="EA374" s="363">
        <v>0</v>
      </c>
      <c r="EB374" s="435">
        <v>0</v>
      </c>
      <c r="EC374" s="435">
        <v>0</v>
      </c>
      <c r="ED374" s="435">
        <v>0</v>
      </c>
      <c r="EE374" s="435">
        <v>0</v>
      </c>
      <c r="EF374" s="363">
        <v>0</v>
      </c>
      <c r="EG374" s="364">
        <v>2.6316470225672354E-3</v>
      </c>
      <c r="EH374" s="364">
        <v>2.6649578165737148E-3</v>
      </c>
      <c r="EI374" s="364">
        <v>2.6986902510919455E-3</v>
      </c>
      <c r="EJ374" s="365">
        <v>2.6809475467283591E-3</v>
      </c>
      <c r="EK374" s="365">
        <v>2.6633214928614372E-3</v>
      </c>
      <c r="EL374" s="365">
        <v>2.6548166452731205E-3</v>
      </c>
      <c r="EM374" s="365">
        <v>2.6463389564159948E-3</v>
      </c>
      <c r="EN374" s="365">
        <v>2.6378883395634413E-3</v>
      </c>
      <c r="EO374" s="365">
        <v>2.6294647082657861E-3</v>
      </c>
      <c r="EP374" s="365">
        <v>2.6210679763494179E-3</v>
      </c>
      <c r="EQ374" s="365">
        <v>2.6404559318545669E-3</v>
      </c>
      <c r="ER374" s="365">
        <v>2.6599872994429053E-3</v>
      </c>
      <c r="ES374" s="365">
        <v>2.679663139928999E-3</v>
      </c>
      <c r="ET374" s="365">
        <v>2.6994845219742267E-3</v>
      </c>
      <c r="EU374" s="365">
        <v>2.7194525221448163E-3</v>
      </c>
      <c r="EV374" s="436">
        <v>2.7304141372910657E-3</v>
      </c>
      <c r="EW374" s="436">
        <v>2.7413757524373146E-3</v>
      </c>
      <c r="EX374" s="436">
        <v>2.7523373675835639E-3</v>
      </c>
      <c r="EY374" s="436">
        <v>2.7632989827298129E-3</v>
      </c>
      <c r="EZ374" s="365">
        <v>2.7742605978760622E-3</v>
      </c>
      <c r="FA374" s="436">
        <v>2.7832458824097362E-3</v>
      </c>
      <c r="FB374" s="436">
        <v>2.7922311669434105E-3</v>
      </c>
      <c r="FC374" s="436">
        <v>2.8012164514770845E-3</v>
      </c>
      <c r="FD374" s="436">
        <v>2.8102017360107589E-3</v>
      </c>
      <c r="FE374" s="365">
        <v>2.8191870205444328E-3</v>
      </c>
      <c r="FF374" s="364">
        <v>0</v>
      </c>
      <c r="FG374" s="364">
        <v>0</v>
      </c>
      <c r="FH374" s="364">
        <v>0</v>
      </c>
      <c r="FI374" s="365">
        <v>0</v>
      </c>
      <c r="FJ374" s="365">
        <v>0</v>
      </c>
      <c r="FK374" s="365">
        <v>0</v>
      </c>
      <c r="FL374" s="365">
        <v>0</v>
      </c>
      <c r="FM374" s="365">
        <v>0</v>
      </c>
      <c r="FN374" s="365">
        <v>0</v>
      </c>
      <c r="FO374" s="365">
        <v>0</v>
      </c>
      <c r="FP374" s="365">
        <v>0</v>
      </c>
      <c r="FQ374" s="365">
        <v>0</v>
      </c>
      <c r="FR374" s="365">
        <v>0</v>
      </c>
      <c r="FS374" s="365">
        <v>0</v>
      </c>
      <c r="FT374" s="365">
        <v>0</v>
      </c>
      <c r="FU374" s="436">
        <v>0</v>
      </c>
      <c r="FV374" s="436">
        <v>0</v>
      </c>
      <c r="FW374" s="436">
        <v>0</v>
      </c>
      <c r="FX374" s="436">
        <v>0</v>
      </c>
      <c r="FY374" s="365">
        <v>0</v>
      </c>
      <c r="FZ374" s="436">
        <v>0</v>
      </c>
      <c r="GA374" s="436">
        <v>0</v>
      </c>
      <c r="GB374" s="436">
        <v>0</v>
      </c>
      <c r="GC374" s="436">
        <v>0</v>
      </c>
      <c r="GD374" s="365">
        <v>0</v>
      </c>
    </row>
    <row r="375" spans="1:186" ht="15" x14ac:dyDescent="0.25">
      <c r="A375" s="357">
        <v>92</v>
      </c>
      <c r="B375" s="357">
        <v>102</v>
      </c>
      <c r="C375" s="357" t="s">
        <v>1285</v>
      </c>
      <c r="D375" s="2">
        <v>99709</v>
      </c>
      <c r="E375" s="268" t="s">
        <v>19</v>
      </c>
      <c r="F375" s="358" t="s">
        <v>915</v>
      </c>
      <c r="G375" s="49">
        <v>14</v>
      </c>
      <c r="H375" s="49">
        <v>13</v>
      </c>
      <c r="I375" s="49">
        <v>6</v>
      </c>
      <c r="J375" s="49">
        <v>7</v>
      </c>
      <c r="K375" s="49">
        <v>0</v>
      </c>
      <c r="L375" s="49">
        <v>0</v>
      </c>
      <c r="M375" s="49">
        <v>0</v>
      </c>
      <c r="N375" s="49">
        <v>0</v>
      </c>
      <c r="O375" s="49">
        <v>0</v>
      </c>
      <c r="P375" s="49">
        <v>0</v>
      </c>
      <c r="Q375" s="49">
        <v>0</v>
      </c>
      <c r="R375" s="49">
        <v>0</v>
      </c>
      <c r="S375" s="49">
        <v>834.49503068156923</v>
      </c>
      <c r="T375" s="49">
        <v>834.49503068156923</v>
      </c>
      <c r="U375" s="49">
        <v>1408.3846153846155</v>
      </c>
      <c r="V375" s="49">
        <v>0</v>
      </c>
      <c r="W375" s="49">
        <v>0</v>
      </c>
      <c r="X375" s="49">
        <v>1365.173957061457</v>
      </c>
      <c r="Y375" s="434">
        <v>0</v>
      </c>
      <c r="Z375" s="434">
        <v>0</v>
      </c>
      <c r="AA375" s="49">
        <v>0.29786036036036034</v>
      </c>
      <c r="AB375" s="49">
        <v>12.685247747747749</v>
      </c>
      <c r="AC375" s="49">
        <v>1.6891891891891893E-2</v>
      </c>
      <c r="AD375" s="285">
        <v>0</v>
      </c>
      <c r="AE375" s="285">
        <v>0</v>
      </c>
      <c r="AF375" s="359">
        <v>13</v>
      </c>
      <c r="AG375" s="360">
        <v>0.13747401247401247</v>
      </c>
      <c r="AH375" s="360">
        <v>5.8547297297297298</v>
      </c>
      <c r="AI375" s="361">
        <v>5.992203742203742</v>
      </c>
      <c r="AJ375" s="360">
        <v>7.7962577962577967E-3</v>
      </c>
      <c r="AK375" s="360">
        <v>0.28361024265714757</v>
      </c>
      <c r="AL375" s="360">
        <v>12.078365135771037</v>
      </c>
      <c r="AM375" s="360">
        <v>12.361975378428184</v>
      </c>
      <c r="AN375" s="360">
        <v>1.6083756672428031E-2</v>
      </c>
      <c r="AO375" s="360">
        <v>0.13114397055276233</v>
      </c>
      <c r="AP375" s="360">
        <v>5.5851465266222737</v>
      </c>
      <c r="AQ375" s="360">
        <v>5.7162904971750361</v>
      </c>
      <c r="AR375" s="360">
        <v>7.4372762128220608E-3</v>
      </c>
      <c r="AS375" s="360">
        <v>0</v>
      </c>
      <c r="AT375" s="360">
        <v>0</v>
      </c>
      <c r="AU375" s="360">
        <v>11.770558635449371</v>
      </c>
      <c r="AV375" s="360">
        <v>12.062642995702491</v>
      </c>
      <c r="AW375" s="360">
        <v>12.361975378428184</v>
      </c>
      <c r="AX375" s="360">
        <v>12.668735642040359</v>
      </c>
      <c r="AY375" s="360">
        <v>12.983108108108109</v>
      </c>
      <c r="AZ375" s="360">
        <v>5.4530817799056388</v>
      </c>
      <c r="BA375" s="360">
        <v>5.5831352803593202</v>
      </c>
      <c r="BB375" s="360">
        <v>5.7162904971750352</v>
      </c>
      <c r="BC375" s="360">
        <v>5.8526214048660226</v>
      </c>
      <c r="BD375" s="360">
        <v>5.992203742203742</v>
      </c>
      <c r="BE375" s="360">
        <v>0</v>
      </c>
      <c r="BF375" s="360">
        <v>0</v>
      </c>
      <c r="BG375" s="360">
        <v>0</v>
      </c>
      <c r="BH375" s="360">
        <v>0</v>
      </c>
      <c r="BI375" s="360">
        <v>0</v>
      </c>
      <c r="BJ375" s="362">
        <v>13.049615754357898</v>
      </c>
      <c r="BK375" s="362">
        <v>13.116464094605833</v>
      </c>
      <c r="BL375" s="362">
        <v>13.183654874100869</v>
      </c>
      <c r="BM375" s="363">
        <v>13.096978127568702</v>
      </c>
      <c r="BN375" s="363">
        <v>13.010871242615979</v>
      </c>
      <c r="BO375" s="363">
        <v>12.969323319390691</v>
      </c>
      <c r="BP375" s="363">
        <v>12.92790807213246</v>
      </c>
      <c r="BQ375" s="363">
        <v>12.886625077163975</v>
      </c>
      <c r="BR375" s="363">
        <v>12.845473912160868</v>
      </c>
      <c r="BS375" s="363">
        <v>12.80445415614739</v>
      </c>
      <c r="BT375" s="363">
        <v>12.899168291639926</v>
      </c>
      <c r="BU375" s="363">
        <v>12.994583024545884</v>
      </c>
      <c r="BV375" s="363">
        <v>13.090703537161797</v>
      </c>
      <c r="BW375" s="363">
        <v>13.187535050117477</v>
      </c>
      <c r="BX375" s="363">
        <v>13.285082822659556</v>
      </c>
      <c r="BY375" s="435">
        <v>13.338632558829682</v>
      </c>
      <c r="BZ375" s="435">
        <v>13.392182294999808</v>
      </c>
      <c r="CA375" s="435">
        <v>13.445732031169936</v>
      </c>
      <c r="CB375" s="435">
        <v>13.499281767340062</v>
      </c>
      <c r="CC375" s="363">
        <v>13.552831503510188</v>
      </c>
      <c r="CD375" s="435">
        <v>13.596726459661463</v>
      </c>
      <c r="CE375" s="435">
        <v>13.640621415812738</v>
      </c>
      <c r="CF375" s="435">
        <v>13.684516371964015</v>
      </c>
      <c r="CG375" s="435">
        <v>13.728411328115291</v>
      </c>
      <c r="CH375" s="363">
        <v>13.772306284266566</v>
      </c>
      <c r="CI375" s="362">
        <v>6.022899578934414</v>
      </c>
      <c r="CJ375" s="362">
        <v>6.0537526590488451</v>
      </c>
      <c r="CK375" s="362">
        <v>6.0847637880465539</v>
      </c>
      <c r="CL375" s="363">
        <v>6.0447591358009385</v>
      </c>
      <c r="CM375" s="363">
        <v>6.0050174965919894</v>
      </c>
      <c r="CN375" s="363">
        <v>5.9858415320264724</v>
      </c>
      <c r="CO375" s="363">
        <v>5.9667268025226727</v>
      </c>
      <c r="CP375" s="363">
        <v>5.9476731125372186</v>
      </c>
      <c r="CQ375" s="363">
        <v>5.9286802671511687</v>
      </c>
      <c r="CR375" s="363">
        <v>5.9097480720680249</v>
      </c>
      <c r="CS375" s="363">
        <v>5.9534622884491952</v>
      </c>
      <c r="CT375" s="363">
        <v>5.9974998574827145</v>
      </c>
      <c r="CU375" s="363">
        <v>6.0418631709977513</v>
      </c>
      <c r="CV375" s="363">
        <v>6.0865546385157581</v>
      </c>
      <c r="CW375" s="363">
        <v>6.1315766873813331</v>
      </c>
      <c r="CX375" s="435">
        <v>6.1562919502290834</v>
      </c>
      <c r="CY375" s="435">
        <v>6.1810072130768337</v>
      </c>
      <c r="CZ375" s="435">
        <v>6.2057224759245848</v>
      </c>
      <c r="DA375" s="435">
        <v>6.2304377387723351</v>
      </c>
      <c r="DB375" s="363">
        <v>6.2551530016200854</v>
      </c>
      <c r="DC375" s="435">
        <v>6.2754122121514433</v>
      </c>
      <c r="DD375" s="435">
        <v>6.2956714226828012</v>
      </c>
      <c r="DE375" s="435">
        <v>6.3159306332141592</v>
      </c>
      <c r="DF375" s="435">
        <v>6.3361898437455171</v>
      </c>
      <c r="DG375" s="363">
        <v>6.356449054276875</v>
      </c>
      <c r="DH375" s="362">
        <v>0</v>
      </c>
      <c r="DI375" s="362">
        <v>0</v>
      </c>
      <c r="DJ375" s="362">
        <v>0</v>
      </c>
      <c r="DK375" s="363">
        <v>0</v>
      </c>
      <c r="DL375" s="363">
        <v>0</v>
      </c>
      <c r="DM375" s="363">
        <v>0</v>
      </c>
      <c r="DN375" s="363">
        <v>0</v>
      </c>
      <c r="DO375" s="363">
        <v>0</v>
      </c>
      <c r="DP375" s="363">
        <v>0</v>
      </c>
      <c r="DQ375" s="363">
        <v>0</v>
      </c>
      <c r="DR375" s="363">
        <v>0</v>
      </c>
      <c r="DS375" s="363">
        <v>0</v>
      </c>
      <c r="DT375" s="363">
        <v>0</v>
      </c>
      <c r="DU375" s="363">
        <v>0</v>
      </c>
      <c r="DV375" s="363">
        <v>0</v>
      </c>
      <c r="DW375" s="435">
        <v>0</v>
      </c>
      <c r="DX375" s="435">
        <v>0</v>
      </c>
      <c r="DY375" s="435">
        <v>0</v>
      </c>
      <c r="DZ375" s="435">
        <v>0</v>
      </c>
      <c r="EA375" s="363">
        <v>0</v>
      </c>
      <c r="EB375" s="435">
        <v>0</v>
      </c>
      <c r="EC375" s="435">
        <v>0</v>
      </c>
      <c r="ED375" s="435">
        <v>0</v>
      </c>
      <c r="EE375" s="435">
        <v>0</v>
      </c>
      <c r="EF375" s="363">
        <v>0</v>
      </c>
      <c r="EG375" s="364">
        <v>1.6978422787350896E-2</v>
      </c>
      <c r="EH375" s="364">
        <v>1.7065396948485342E-2</v>
      </c>
      <c r="EI375" s="364">
        <v>1.7152816645980833E-2</v>
      </c>
      <c r="EJ375" s="365">
        <v>1.7040044402249155E-2</v>
      </c>
      <c r="EK375" s="365">
        <v>1.6928013586541734E-2</v>
      </c>
      <c r="EL375" s="365">
        <v>1.6873956959915028E-2</v>
      </c>
      <c r="EM375" s="365">
        <v>1.6820072953594143E-2</v>
      </c>
      <c r="EN375" s="365">
        <v>1.676636101634657E-2</v>
      </c>
      <c r="EO375" s="365">
        <v>1.6712820598700062E-2</v>
      </c>
      <c r="EP375" s="365">
        <v>1.6659451152937012E-2</v>
      </c>
      <c r="EQ375" s="365">
        <v>1.6782680577205212E-2</v>
      </c>
      <c r="ER375" s="365">
        <v>1.6906821525560608E-2</v>
      </c>
      <c r="ES375" s="365">
        <v>1.703188074051756E-2</v>
      </c>
      <c r="ET375" s="365">
        <v>1.715786501446458E-2</v>
      </c>
      <c r="EU375" s="365">
        <v>1.7284781190033249E-2</v>
      </c>
      <c r="EV375" s="436">
        <v>1.735445297792048E-2</v>
      </c>
      <c r="EW375" s="436">
        <v>1.7424124765807712E-2</v>
      </c>
      <c r="EX375" s="436">
        <v>1.7493796553694943E-2</v>
      </c>
      <c r="EY375" s="436">
        <v>1.7563468341582174E-2</v>
      </c>
      <c r="EZ375" s="365">
        <v>1.7633140129469406E-2</v>
      </c>
      <c r="FA375" s="436">
        <v>1.7690250402890271E-2</v>
      </c>
      <c r="FB375" s="436">
        <v>1.7747360676311132E-2</v>
      </c>
      <c r="FC375" s="436">
        <v>1.7804470949731997E-2</v>
      </c>
      <c r="FD375" s="436">
        <v>1.7861581223152859E-2</v>
      </c>
      <c r="FE375" s="365">
        <v>1.7918691496573724E-2</v>
      </c>
      <c r="FF375" s="364">
        <v>0</v>
      </c>
      <c r="FG375" s="364">
        <v>0</v>
      </c>
      <c r="FH375" s="364">
        <v>0</v>
      </c>
      <c r="FI375" s="365">
        <v>0</v>
      </c>
      <c r="FJ375" s="365">
        <v>0</v>
      </c>
      <c r="FK375" s="365">
        <v>0</v>
      </c>
      <c r="FL375" s="365">
        <v>0</v>
      </c>
      <c r="FM375" s="365">
        <v>0</v>
      </c>
      <c r="FN375" s="365">
        <v>0</v>
      </c>
      <c r="FO375" s="365">
        <v>0</v>
      </c>
      <c r="FP375" s="365">
        <v>0</v>
      </c>
      <c r="FQ375" s="365">
        <v>0</v>
      </c>
      <c r="FR375" s="365">
        <v>0</v>
      </c>
      <c r="FS375" s="365">
        <v>0</v>
      </c>
      <c r="FT375" s="365">
        <v>0</v>
      </c>
      <c r="FU375" s="436">
        <v>0</v>
      </c>
      <c r="FV375" s="436">
        <v>0</v>
      </c>
      <c r="FW375" s="436">
        <v>0</v>
      </c>
      <c r="FX375" s="436">
        <v>0</v>
      </c>
      <c r="FY375" s="365">
        <v>0</v>
      </c>
      <c r="FZ375" s="436">
        <v>0</v>
      </c>
      <c r="GA375" s="436">
        <v>0</v>
      </c>
      <c r="GB375" s="436">
        <v>0</v>
      </c>
      <c r="GC375" s="436">
        <v>0</v>
      </c>
      <c r="GD375" s="365">
        <v>0</v>
      </c>
    </row>
    <row r="376" spans="1:186" ht="15" x14ac:dyDescent="0.25">
      <c r="A376" s="357">
        <v>95</v>
      </c>
      <c r="B376" s="357">
        <v>102</v>
      </c>
      <c r="C376" s="357" t="s">
        <v>1286</v>
      </c>
      <c r="D376" s="2">
        <v>99709</v>
      </c>
      <c r="E376" s="268" t="s">
        <v>19</v>
      </c>
      <c r="F376" s="358" t="s">
        <v>915</v>
      </c>
      <c r="G376" s="49">
        <v>295</v>
      </c>
      <c r="H376" s="49">
        <v>124</v>
      </c>
      <c r="I376" s="49">
        <v>117</v>
      </c>
      <c r="J376" s="49">
        <v>7</v>
      </c>
      <c r="K376" s="49">
        <v>0</v>
      </c>
      <c r="L376" s="49">
        <v>0</v>
      </c>
      <c r="M376" s="49">
        <v>0</v>
      </c>
      <c r="N376" s="49">
        <v>0</v>
      </c>
      <c r="O376" s="49">
        <v>0</v>
      </c>
      <c r="P376" s="49">
        <v>0</v>
      </c>
      <c r="Q376" s="49">
        <v>0</v>
      </c>
      <c r="R376" s="49">
        <v>0</v>
      </c>
      <c r="S376" s="49">
        <v>834.49503068156923</v>
      </c>
      <c r="T376" s="49">
        <v>834.49503068156923</v>
      </c>
      <c r="U376" s="49">
        <v>1408.3846153846155</v>
      </c>
      <c r="V376" s="49">
        <v>0</v>
      </c>
      <c r="W376" s="49">
        <v>0</v>
      </c>
      <c r="X376" s="49">
        <v>1365.173957061457</v>
      </c>
      <c r="Y376" s="434">
        <v>0</v>
      </c>
      <c r="Z376" s="434">
        <v>0</v>
      </c>
      <c r="AA376" s="49">
        <v>2.8411295911295911</v>
      </c>
      <c r="AB376" s="49">
        <v>120.99774774774775</v>
      </c>
      <c r="AC376" s="49">
        <v>0.16112266112266113</v>
      </c>
      <c r="AD376" s="285">
        <v>0</v>
      </c>
      <c r="AE376" s="285">
        <v>0</v>
      </c>
      <c r="AF376" s="359">
        <v>124</v>
      </c>
      <c r="AG376" s="360">
        <v>2.680743243243243</v>
      </c>
      <c r="AH376" s="360">
        <v>114.16722972972973</v>
      </c>
      <c r="AI376" s="361">
        <v>116.84797297297297</v>
      </c>
      <c r="AJ376" s="360">
        <v>0.15202702702702703</v>
      </c>
      <c r="AK376" s="360">
        <v>2.705205391498946</v>
      </c>
      <c r="AL376" s="360">
        <v>115.20902129504681</v>
      </c>
      <c r="AM376" s="360">
        <v>117.91422668654576</v>
      </c>
      <c r="AN376" s="360">
        <v>0.1534142944139289</v>
      </c>
      <c r="AO376" s="360">
        <v>2.5573074257788653</v>
      </c>
      <c r="AP376" s="360">
        <v>108.91035726913432</v>
      </c>
      <c r="AQ376" s="360">
        <v>111.46766469491318</v>
      </c>
      <c r="AR376" s="360">
        <v>0.14502688615003018</v>
      </c>
      <c r="AS376" s="360">
        <v>0</v>
      </c>
      <c r="AT376" s="360">
        <v>0</v>
      </c>
      <c r="AU376" s="360">
        <v>112.27302083044015</v>
      </c>
      <c r="AV376" s="360">
        <v>115.05905626670068</v>
      </c>
      <c r="AW376" s="360">
        <v>117.91422668654575</v>
      </c>
      <c r="AX376" s="360">
        <v>120.8402476625388</v>
      </c>
      <c r="AY376" s="360">
        <v>123.83887733887734</v>
      </c>
      <c r="AZ376" s="360">
        <v>106.33509470815997</v>
      </c>
      <c r="BA376" s="360">
        <v>108.87113796700673</v>
      </c>
      <c r="BB376" s="360">
        <v>111.4676646949132</v>
      </c>
      <c r="BC376" s="360">
        <v>114.12611739488744</v>
      </c>
      <c r="BD376" s="360">
        <v>116.84797297297297</v>
      </c>
      <c r="BE376" s="360">
        <v>0</v>
      </c>
      <c r="BF376" s="360">
        <v>0</v>
      </c>
      <c r="BG376" s="360">
        <v>0</v>
      </c>
      <c r="BH376" s="360">
        <v>0</v>
      </c>
      <c r="BI376" s="360">
        <v>0</v>
      </c>
      <c r="BJ376" s="362">
        <v>124.47325796464456</v>
      </c>
      <c r="BK376" s="362">
        <v>125.11088828700947</v>
      </c>
      <c r="BL376" s="362">
        <v>125.75178495296213</v>
      </c>
      <c r="BM376" s="363">
        <v>124.92502213988607</v>
      </c>
      <c r="BN376" s="363">
        <v>124.10369492956779</v>
      </c>
      <c r="BO376" s="363">
        <v>123.70739166188044</v>
      </c>
      <c r="BP376" s="363">
        <v>123.31235391880192</v>
      </c>
      <c r="BQ376" s="363">
        <v>122.91857765910252</v>
      </c>
      <c r="BR376" s="363">
        <v>122.5260588544575</v>
      </c>
      <c r="BS376" s="363">
        <v>122.13479348940587</v>
      </c>
      <c r="BT376" s="363">
        <v>123.03822062795005</v>
      </c>
      <c r="BU376" s="363">
        <v>123.94833038797611</v>
      </c>
      <c r="BV376" s="363">
        <v>124.86517220062021</v>
      </c>
      <c r="BW376" s="363">
        <v>125.788795862659</v>
      </c>
      <c r="BX376" s="363">
        <v>126.71925153921423</v>
      </c>
      <c r="BY376" s="435">
        <v>127.23003363806774</v>
      </c>
      <c r="BZ376" s="435">
        <v>127.74081573692125</v>
      </c>
      <c r="CA376" s="435">
        <v>128.25159783577476</v>
      </c>
      <c r="CB376" s="435">
        <v>128.76237993462826</v>
      </c>
      <c r="CC376" s="363">
        <v>129.27316203348178</v>
      </c>
      <c r="CD376" s="435">
        <v>129.69185238446317</v>
      </c>
      <c r="CE376" s="435">
        <v>130.11054273544457</v>
      </c>
      <c r="CF376" s="435">
        <v>130.52923308642599</v>
      </c>
      <c r="CG376" s="435">
        <v>130.94792343740738</v>
      </c>
      <c r="CH376" s="363">
        <v>131.36661378838878</v>
      </c>
      <c r="CI376" s="362">
        <v>117.44654178922107</v>
      </c>
      <c r="CJ376" s="362">
        <v>118.04817685145248</v>
      </c>
      <c r="CK376" s="362">
        <v>118.6528938669078</v>
      </c>
      <c r="CL376" s="363">
        <v>117.87280314811831</v>
      </c>
      <c r="CM376" s="363">
        <v>117.09784118354379</v>
      </c>
      <c r="CN376" s="363">
        <v>116.72390987451621</v>
      </c>
      <c r="CO376" s="363">
        <v>116.35117264919212</v>
      </c>
      <c r="CP376" s="363">
        <v>115.97962569447576</v>
      </c>
      <c r="CQ376" s="363">
        <v>115.6092652094478</v>
      </c>
      <c r="CR376" s="363">
        <v>115.24008740532649</v>
      </c>
      <c r="CS376" s="363">
        <v>116.09251462475932</v>
      </c>
      <c r="CT376" s="363">
        <v>116.95124722091295</v>
      </c>
      <c r="CU376" s="363">
        <v>117.81633183445615</v>
      </c>
      <c r="CV376" s="363">
        <v>118.68781545105728</v>
      </c>
      <c r="CW376" s="363">
        <v>119.56574540393599</v>
      </c>
      <c r="CX376" s="435">
        <v>120.04769302946713</v>
      </c>
      <c r="CY376" s="435">
        <v>120.52964065499826</v>
      </c>
      <c r="CZ376" s="435">
        <v>121.01158828052939</v>
      </c>
      <c r="DA376" s="435">
        <v>121.49353590606053</v>
      </c>
      <c r="DB376" s="363">
        <v>121.97548353159166</v>
      </c>
      <c r="DC376" s="435">
        <v>122.37053813695314</v>
      </c>
      <c r="DD376" s="435">
        <v>122.76559274231462</v>
      </c>
      <c r="DE376" s="435">
        <v>123.16064734767612</v>
      </c>
      <c r="DF376" s="435">
        <v>123.5557019530376</v>
      </c>
      <c r="DG376" s="363">
        <v>123.95075655839908</v>
      </c>
      <c r="DH376" s="362">
        <v>0</v>
      </c>
      <c r="DI376" s="362">
        <v>0</v>
      </c>
      <c r="DJ376" s="362">
        <v>0</v>
      </c>
      <c r="DK376" s="363">
        <v>0</v>
      </c>
      <c r="DL376" s="363">
        <v>0</v>
      </c>
      <c r="DM376" s="363">
        <v>0</v>
      </c>
      <c r="DN376" s="363">
        <v>0</v>
      </c>
      <c r="DO376" s="363">
        <v>0</v>
      </c>
      <c r="DP376" s="363">
        <v>0</v>
      </c>
      <c r="DQ376" s="363">
        <v>0</v>
      </c>
      <c r="DR376" s="363">
        <v>0</v>
      </c>
      <c r="DS376" s="363">
        <v>0</v>
      </c>
      <c r="DT376" s="363">
        <v>0</v>
      </c>
      <c r="DU376" s="363">
        <v>0</v>
      </c>
      <c r="DV376" s="363">
        <v>0</v>
      </c>
      <c r="DW376" s="435">
        <v>0</v>
      </c>
      <c r="DX376" s="435">
        <v>0</v>
      </c>
      <c r="DY376" s="435">
        <v>0</v>
      </c>
      <c r="DZ376" s="435">
        <v>0</v>
      </c>
      <c r="EA376" s="363">
        <v>0</v>
      </c>
      <c r="EB376" s="435">
        <v>0</v>
      </c>
      <c r="EC376" s="435">
        <v>0</v>
      </c>
      <c r="ED376" s="435">
        <v>0</v>
      </c>
      <c r="EE376" s="435">
        <v>0</v>
      </c>
      <c r="EF376" s="363">
        <v>0</v>
      </c>
      <c r="EG376" s="364">
        <v>0.16194803274088548</v>
      </c>
      <c r="EH376" s="364">
        <v>0.16277763243170632</v>
      </c>
      <c r="EI376" s="364">
        <v>0.16361148185397104</v>
      </c>
      <c r="EJ376" s="365">
        <v>0.16253580814453042</v>
      </c>
      <c r="EK376" s="365">
        <v>0.16146720651778274</v>
      </c>
      <c r="EL376" s="365">
        <v>0.16095158946380492</v>
      </c>
      <c r="EM376" s="365">
        <v>0.16043761894197495</v>
      </c>
      <c r="EN376" s="365">
        <v>0.15992528969438269</v>
      </c>
      <c r="EO376" s="365">
        <v>0.1594145964799083</v>
      </c>
      <c r="EP376" s="365">
        <v>0.15890553407416846</v>
      </c>
      <c r="EQ376" s="365">
        <v>0.1600809531979574</v>
      </c>
      <c r="ER376" s="365">
        <v>0.16126506685919351</v>
      </c>
      <c r="ES376" s="365">
        <v>0.16245793937109057</v>
      </c>
      <c r="ET376" s="365">
        <v>0.16365963552258525</v>
      </c>
      <c r="EU376" s="365">
        <v>0.16487022058185563</v>
      </c>
      <c r="EV376" s="436">
        <v>0.16553478225093385</v>
      </c>
      <c r="EW376" s="436">
        <v>0.16619934392001204</v>
      </c>
      <c r="EX376" s="436">
        <v>0.16686390558909026</v>
      </c>
      <c r="EY376" s="436">
        <v>0.16752846725816845</v>
      </c>
      <c r="EZ376" s="365">
        <v>0.16819302892724666</v>
      </c>
      <c r="FA376" s="436">
        <v>0.16873777307372259</v>
      </c>
      <c r="FB376" s="436">
        <v>0.16928251722019852</v>
      </c>
      <c r="FC376" s="436">
        <v>0.16982726136667445</v>
      </c>
      <c r="FD376" s="436">
        <v>0.17037200551315038</v>
      </c>
      <c r="FE376" s="365">
        <v>0.1709167496596263</v>
      </c>
      <c r="FF376" s="364">
        <v>0</v>
      </c>
      <c r="FG376" s="364">
        <v>0</v>
      </c>
      <c r="FH376" s="364">
        <v>0</v>
      </c>
      <c r="FI376" s="365">
        <v>0</v>
      </c>
      <c r="FJ376" s="365">
        <v>0</v>
      </c>
      <c r="FK376" s="365">
        <v>0</v>
      </c>
      <c r="FL376" s="365">
        <v>0</v>
      </c>
      <c r="FM376" s="365">
        <v>0</v>
      </c>
      <c r="FN376" s="365">
        <v>0</v>
      </c>
      <c r="FO376" s="365">
        <v>0</v>
      </c>
      <c r="FP376" s="365">
        <v>0</v>
      </c>
      <c r="FQ376" s="365">
        <v>0</v>
      </c>
      <c r="FR376" s="365">
        <v>0</v>
      </c>
      <c r="FS376" s="365">
        <v>0</v>
      </c>
      <c r="FT376" s="365">
        <v>0</v>
      </c>
      <c r="FU376" s="436">
        <v>0</v>
      </c>
      <c r="FV376" s="436">
        <v>0</v>
      </c>
      <c r="FW376" s="436">
        <v>0</v>
      </c>
      <c r="FX376" s="436">
        <v>0</v>
      </c>
      <c r="FY376" s="365">
        <v>0</v>
      </c>
      <c r="FZ376" s="436">
        <v>0</v>
      </c>
      <c r="GA376" s="436">
        <v>0</v>
      </c>
      <c r="GB376" s="436">
        <v>0</v>
      </c>
      <c r="GC376" s="436">
        <v>0</v>
      </c>
      <c r="GD376" s="365">
        <v>0</v>
      </c>
    </row>
    <row r="377" spans="1:186" ht="15" x14ac:dyDescent="0.25">
      <c r="A377" s="357">
        <v>103</v>
      </c>
      <c r="B377" s="357">
        <v>102</v>
      </c>
      <c r="C377" s="357" t="s">
        <v>1287</v>
      </c>
      <c r="D377" s="2">
        <v>99709</v>
      </c>
      <c r="E377" s="268" t="s">
        <v>1527</v>
      </c>
      <c r="F377" s="358" t="s">
        <v>985</v>
      </c>
      <c r="G377" s="49">
        <v>4</v>
      </c>
      <c r="H377" s="49">
        <v>1</v>
      </c>
      <c r="I377" s="49">
        <v>1</v>
      </c>
      <c r="J377" s="49">
        <v>0</v>
      </c>
      <c r="K377" s="49">
        <v>0</v>
      </c>
      <c r="L377" s="49">
        <v>12</v>
      </c>
      <c r="M377" s="49">
        <v>12</v>
      </c>
      <c r="N377" s="49">
        <v>0</v>
      </c>
      <c r="O377" s="49">
        <v>0</v>
      </c>
      <c r="P377" s="49">
        <v>0</v>
      </c>
      <c r="Q377" s="49">
        <v>12</v>
      </c>
      <c r="R377" s="49">
        <v>0</v>
      </c>
      <c r="S377" s="49">
        <v>1443.5833333333333</v>
      </c>
      <c r="T377" s="49">
        <v>1443.5833333333333</v>
      </c>
      <c r="U377" s="49">
        <v>0</v>
      </c>
      <c r="V377" s="49">
        <v>0</v>
      </c>
      <c r="W377" s="49">
        <v>0</v>
      </c>
      <c r="X377" s="49">
        <v>1443.5833333333333</v>
      </c>
      <c r="Y377" s="434">
        <v>17323</v>
      </c>
      <c r="Z377" s="434">
        <v>0</v>
      </c>
      <c r="AA377" s="49">
        <v>0</v>
      </c>
      <c r="AB377" s="49">
        <v>1</v>
      </c>
      <c r="AC377" s="49">
        <v>0</v>
      </c>
      <c r="AD377" s="285">
        <v>0</v>
      </c>
      <c r="AE377" s="285">
        <v>0</v>
      </c>
      <c r="AF377" s="359">
        <v>1</v>
      </c>
      <c r="AG377" s="360">
        <v>0</v>
      </c>
      <c r="AH377" s="360">
        <v>1</v>
      </c>
      <c r="AI377" s="361">
        <v>1</v>
      </c>
      <c r="AJ377" s="360">
        <v>0</v>
      </c>
      <c r="AK377" s="360">
        <v>0</v>
      </c>
      <c r="AL377" s="360">
        <v>0.95215839500773936</v>
      </c>
      <c r="AM377" s="360">
        <v>0.95215839500773936</v>
      </c>
      <c r="AN377" s="360">
        <v>0</v>
      </c>
      <c r="AO377" s="360">
        <v>0</v>
      </c>
      <c r="AP377" s="360">
        <v>0.95395462889797633</v>
      </c>
      <c r="AQ377" s="360">
        <v>0.95395462889797633</v>
      </c>
      <c r="AR377" s="360">
        <v>0</v>
      </c>
      <c r="AS377" s="360">
        <v>0</v>
      </c>
      <c r="AT377" s="360">
        <v>0</v>
      </c>
      <c r="AU377" s="360">
        <v>0.90660560918371424</v>
      </c>
      <c r="AV377" s="360">
        <v>0.92910286930209141</v>
      </c>
      <c r="AW377" s="360">
        <v>0.95215839500773936</v>
      </c>
      <c r="AX377" s="360">
        <v>0.97578603956386833</v>
      </c>
      <c r="AY377" s="360">
        <v>1</v>
      </c>
      <c r="AZ377" s="360">
        <v>0.91002943399587566</v>
      </c>
      <c r="BA377" s="360">
        <v>0.93173321878838855</v>
      </c>
      <c r="BB377" s="360">
        <v>0.95395462889797633</v>
      </c>
      <c r="BC377" s="360">
        <v>0.97670600945114305</v>
      </c>
      <c r="BD377" s="360">
        <v>1</v>
      </c>
      <c r="BE377" s="360">
        <v>0</v>
      </c>
      <c r="BF377" s="360">
        <v>0</v>
      </c>
      <c r="BG377" s="360">
        <v>0</v>
      </c>
      <c r="BH377" s="360">
        <v>0</v>
      </c>
      <c r="BI377" s="360">
        <v>0</v>
      </c>
      <c r="BJ377" s="362">
        <v>1.005122629011173</v>
      </c>
      <c r="BK377" s="362">
        <v>1.0102714993503321</v>
      </c>
      <c r="BL377" s="362">
        <v>1.0154467454420653</v>
      </c>
      <c r="BM377" s="363">
        <v>1.0087706286131499</v>
      </c>
      <c r="BN377" s="363">
        <v>1.0021384043232706</v>
      </c>
      <c r="BO377" s="363">
        <v>0.99893825202696962</v>
      </c>
      <c r="BP377" s="363">
        <v>0.99574831885277337</v>
      </c>
      <c r="BQ377" s="363">
        <v>0.99256857216771699</v>
      </c>
      <c r="BR377" s="363">
        <v>0.98939897944304356</v>
      </c>
      <c r="BS377" s="363">
        <v>0.98623950825387119</v>
      </c>
      <c r="BT377" s="363">
        <v>0.99353469017054841</v>
      </c>
      <c r="BU377" s="363">
        <v>1.0008838343131881</v>
      </c>
      <c r="BV377" s="363">
        <v>1.0082873398386394</v>
      </c>
      <c r="BW377" s="363">
        <v>1.0157456088563031</v>
      </c>
      <c r="BX377" s="363">
        <v>1.0232590464499682</v>
      </c>
      <c r="BY377" s="435">
        <v>1.0273836162928924</v>
      </c>
      <c r="BZ377" s="435">
        <v>1.0315081861358164</v>
      </c>
      <c r="CA377" s="435">
        <v>1.0356327559787406</v>
      </c>
      <c r="CB377" s="435">
        <v>1.0397573258216646</v>
      </c>
      <c r="CC377" s="363">
        <v>1.0438818956645888</v>
      </c>
      <c r="CD377" s="435">
        <v>1.0472628238511039</v>
      </c>
      <c r="CE377" s="435">
        <v>1.0506437520376191</v>
      </c>
      <c r="CF377" s="435">
        <v>1.0540246802241342</v>
      </c>
      <c r="CG377" s="435">
        <v>1.0574056084106493</v>
      </c>
      <c r="CH377" s="363">
        <v>1.0607865365971645</v>
      </c>
      <c r="CI377" s="362">
        <v>1.005122629011173</v>
      </c>
      <c r="CJ377" s="362">
        <v>1.0102714993503321</v>
      </c>
      <c r="CK377" s="362">
        <v>1.0154467454420653</v>
      </c>
      <c r="CL377" s="363">
        <v>1.0087706286131499</v>
      </c>
      <c r="CM377" s="363">
        <v>1.0021384043232706</v>
      </c>
      <c r="CN377" s="363">
        <v>0.99893825202696962</v>
      </c>
      <c r="CO377" s="363">
        <v>0.99574831885277337</v>
      </c>
      <c r="CP377" s="363">
        <v>0.99256857216771699</v>
      </c>
      <c r="CQ377" s="363">
        <v>0.98939897944304356</v>
      </c>
      <c r="CR377" s="363">
        <v>0.98623950825387119</v>
      </c>
      <c r="CS377" s="363">
        <v>0.99353469017054841</v>
      </c>
      <c r="CT377" s="363">
        <v>1.0008838343131881</v>
      </c>
      <c r="CU377" s="363">
        <v>1.0082873398386394</v>
      </c>
      <c r="CV377" s="363">
        <v>1.0157456088563031</v>
      </c>
      <c r="CW377" s="363">
        <v>1.0232590464499682</v>
      </c>
      <c r="CX377" s="435">
        <v>1.0273836162928924</v>
      </c>
      <c r="CY377" s="435">
        <v>1.0315081861358164</v>
      </c>
      <c r="CZ377" s="435">
        <v>1.0356327559787406</v>
      </c>
      <c r="DA377" s="435">
        <v>1.0397573258216646</v>
      </c>
      <c r="DB377" s="363">
        <v>1.0438818956645888</v>
      </c>
      <c r="DC377" s="435">
        <v>1.0472628238511039</v>
      </c>
      <c r="DD377" s="435">
        <v>1.0506437520376191</v>
      </c>
      <c r="DE377" s="435">
        <v>1.0540246802241342</v>
      </c>
      <c r="DF377" s="435">
        <v>1.0574056084106493</v>
      </c>
      <c r="DG377" s="363">
        <v>1.0607865365971645</v>
      </c>
      <c r="DH377" s="362">
        <v>0</v>
      </c>
      <c r="DI377" s="362">
        <v>0</v>
      </c>
      <c r="DJ377" s="362">
        <v>0</v>
      </c>
      <c r="DK377" s="363">
        <v>0</v>
      </c>
      <c r="DL377" s="363">
        <v>0</v>
      </c>
      <c r="DM377" s="363">
        <v>0</v>
      </c>
      <c r="DN377" s="363">
        <v>0</v>
      </c>
      <c r="DO377" s="363">
        <v>0</v>
      </c>
      <c r="DP377" s="363">
        <v>0</v>
      </c>
      <c r="DQ377" s="363">
        <v>0</v>
      </c>
      <c r="DR377" s="363">
        <v>0</v>
      </c>
      <c r="DS377" s="363">
        <v>0</v>
      </c>
      <c r="DT377" s="363">
        <v>0</v>
      </c>
      <c r="DU377" s="363">
        <v>0</v>
      </c>
      <c r="DV377" s="363">
        <v>0</v>
      </c>
      <c r="DW377" s="435">
        <v>0</v>
      </c>
      <c r="DX377" s="435">
        <v>0</v>
      </c>
      <c r="DY377" s="435">
        <v>0</v>
      </c>
      <c r="DZ377" s="435">
        <v>0</v>
      </c>
      <c r="EA377" s="363">
        <v>0</v>
      </c>
      <c r="EB377" s="435">
        <v>0</v>
      </c>
      <c r="EC377" s="435">
        <v>0</v>
      </c>
      <c r="ED377" s="435">
        <v>0</v>
      </c>
      <c r="EE377" s="435">
        <v>0</v>
      </c>
      <c r="EF377" s="363">
        <v>0</v>
      </c>
      <c r="EG377" s="364">
        <v>0</v>
      </c>
      <c r="EH377" s="364">
        <v>0</v>
      </c>
      <c r="EI377" s="364">
        <v>0</v>
      </c>
      <c r="EJ377" s="365">
        <v>0</v>
      </c>
      <c r="EK377" s="365">
        <v>0</v>
      </c>
      <c r="EL377" s="365">
        <v>0</v>
      </c>
      <c r="EM377" s="365">
        <v>0</v>
      </c>
      <c r="EN377" s="365">
        <v>0</v>
      </c>
      <c r="EO377" s="365">
        <v>0</v>
      </c>
      <c r="EP377" s="365">
        <v>0</v>
      </c>
      <c r="EQ377" s="365">
        <v>0</v>
      </c>
      <c r="ER377" s="365">
        <v>0</v>
      </c>
      <c r="ES377" s="365">
        <v>0</v>
      </c>
      <c r="ET377" s="365">
        <v>0</v>
      </c>
      <c r="EU377" s="365">
        <v>0</v>
      </c>
      <c r="EV377" s="436">
        <v>0</v>
      </c>
      <c r="EW377" s="436">
        <v>0</v>
      </c>
      <c r="EX377" s="436">
        <v>0</v>
      </c>
      <c r="EY377" s="436">
        <v>0</v>
      </c>
      <c r="EZ377" s="365">
        <v>0</v>
      </c>
      <c r="FA377" s="436">
        <v>0</v>
      </c>
      <c r="FB377" s="436">
        <v>0</v>
      </c>
      <c r="FC377" s="436">
        <v>0</v>
      </c>
      <c r="FD377" s="436">
        <v>0</v>
      </c>
      <c r="FE377" s="365">
        <v>0</v>
      </c>
      <c r="FF377" s="364">
        <v>0</v>
      </c>
      <c r="FG377" s="364">
        <v>0</v>
      </c>
      <c r="FH377" s="364">
        <v>0</v>
      </c>
      <c r="FI377" s="365">
        <v>0</v>
      </c>
      <c r="FJ377" s="365">
        <v>0</v>
      </c>
      <c r="FK377" s="365">
        <v>0</v>
      </c>
      <c r="FL377" s="365">
        <v>0</v>
      </c>
      <c r="FM377" s="365">
        <v>0</v>
      </c>
      <c r="FN377" s="365">
        <v>0</v>
      </c>
      <c r="FO377" s="365">
        <v>0</v>
      </c>
      <c r="FP377" s="365">
        <v>0</v>
      </c>
      <c r="FQ377" s="365">
        <v>0</v>
      </c>
      <c r="FR377" s="365">
        <v>0</v>
      </c>
      <c r="FS377" s="365">
        <v>0</v>
      </c>
      <c r="FT377" s="365">
        <v>0</v>
      </c>
      <c r="FU377" s="436">
        <v>0</v>
      </c>
      <c r="FV377" s="436">
        <v>0</v>
      </c>
      <c r="FW377" s="436">
        <v>0</v>
      </c>
      <c r="FX377" s="436">
        <v>0</v>
      </c>
      <c r="FY377" s="365">
        <v>0</v>
      </c>
      <c r="FZ377" s="436">
        <v>0</v>
      </c>
      <c r="GA377" s="436">
        <v>0</v>
      </c>
      <c r="GB377" s="436">
        <v>0</v>
      </c>
      <c r="GC377" s="436">
        <v>0</v>
      </c>
      <c r="GD377" s="365">
        <v>0</v>
      </c>
    </row>
    <row r="378" spans="1:186" ht="15" x14ac:dyDescent="0.25">
      <c r="A378" s="357">
        <v>107</v>
      </c>
      <c r="B378" s="357">
        <v>102</v>
      </c>
      <c r="C378" s="357" t="s">
        <v>1288</v>
      </c>
      <c r="D378" s="2">
        <v>99709</v>
      </c>
      <c r="E378" s="268" t="s">
        <v>1527</v>
      </c>
      <c r="F378" s="358" t="s">
        <v>985</v>
      </c>
      <c r="G378" s="49">
        <v>14</v>
      </c>
      <c r="H378" s="49">
        <v>10</v>
      </c>
      <c r="I378" s="49">
        <v>8</v>
      </c>
      <c r="J378" s="49">
        <v>2</v>
      </c>
      <c r="K378" s="49">
        <v>0</v>
      </c>
      <c r="L378" s="49">
        <v>14</v>
      </c>
      <c r="M378" s="49">
        <v>14</v>
      </c>
      <c r="N378" s="49">
        <v>0</v>
      </c>
      <c r="O378" s="49">
        <v>0</v>
      </c>
      <c r="P378" s="49">
        <v>0</v>
      </c>
      <c r="Q378" s="49">
        <v>14</v>
      </c>
      <c r="R378" s="49">
        <v>0</v>
      </c>
      <c r="S378" s="49">
        <v>1347.9285714285713</v>
      </c>
      <c r="T378" s="49">
        <v>1347.9285714285713</v>
      </c>
      <c r="U378" s="49">
        <v>0</v>
      </c>
      <c r="V378" s="49">
        <v>0</v>
      </c>
      <c r="W378" s="49">
        <v>0</v>
      </c>
      <c r="X378" s="49">
        <v>1347.9285714285713</v>
      </c>
      <c r="Y378" s="434">
        <v>18871</v>
      </c>
      <c r="Z378" s="434">
        <v>0</v>
      </c>
      <c r="AA378" s="49">
        <v>0</v>
      </c>
      <c r="AB378" s="49">
        <v>10</v>
      </c>
      <c r="AC378" s="49">
        <v>0</v>
      </c>
      <c r="AD378" s="285">
        <v>0</v>
      </c>
      <c r="AE378" s="285">
        <v>0</v>
      </c>
      <c r="AF378" s="359">
        <v>10</v>
      </c>
      <c r="AG378" s="360">
        <v>0</v>
      </c>
      <c r="AH378" s="360">
        <v>8</v>
      </c>
      <c r="AI378" s="361">
        <v>8</v>
      </c>
      <c r="AJ378" s="360">
        <v>0</v>
      </c>
      <c r="AK378" s="360">
        <v>0</v>
      </c>
      <c r="AL378" s="360">
        <v>9.5215839500773942</v>
      </c>
      <c r="AM378" s="360">
        <v>9.5215839500773942</v>
      </c>
      <c r="AN378" s="360">
        <v>0</v>
      </c>
      <c r="AO378" s="360">
        <v>0</v>
      </c>
      <c r="AP378" s="360">
        <v>7.6316370311838106</v>
      </c>
      <c r="AQ378" s="360">
        <v>7.6316370311838106</v>
      </c>
      <c r="AR378" s="360">
        <v>0</v>
      </c>
      <c r="AS378" s="360">
        <v>0</v>
      </c>
      <c r="AT378" s="360">
        <v>0</v>
      </c>
      <c r="AU378" s="360">
        <v>9.066056091837142</v>
      </c>
      <c r="AV378" s="360">
        <v>9.2910286930209143</v>
      </c>
      <c r="AW378" s="360">
        <v>9.5215839500773942</v>
      </c>
      <c r="AX378" s="360">
        <v>9.7578603956386836</v>
      </c>
      <c r="AY378" s="360">
        <v>10</v>
      </c>
      <c r="AZ378" s="360">
        <v>7.2802354719670053</v>
      </c>
      <c r="BA378" s="360">
        <v>7.4538657503071084</v>
      </c>
      <c r="BB378" s="360">
        <v>7.6316370311838106</v>
      </c>
      <c r="BC378" s="360">
        <v>7.8136480756091444</v>
      </c>
      <c r="BD378" s="360">
        <v>8</v>
      </c>
      <c r="BE378" s="360">
        <v>0</v>
      </c>
      <c r="BF378" s="360">
        <v>0</v>
      </c>
      <c r="BG378" s="360">
        <v>0</v>
      </c>
      <c r="BH378" s="360">
        <v>0</v>
      </c>
      <c r="BI378" s="360">
        <v>0</v>
      </c>
      <c r="BJ378" s="362">
        <v>10.05122629011173</v>
      </c>
      <c r="BK378" s="362">
        <v>10.102714993503321</v>
      </c>
      <c r="BL378" s="362">
        <v>10.154467454420653</v>
      </c>
      <c r="BM378" s="363">
        <v>10.0877062861315</v>
      </c>
      <c r="BN378" s="363">
        <v>10.021384043232707</v>
      </c>
      <c r="BO378" s="363">
        <v>9.9893825202696966</v>
      </c>
      <c r="BP378" s="363">
        <v>9.9574831885277337</v>
      </c>
      <c r="BQ378" s="363">
        <v>9.9256857216771692</v>
      </c>
      <c r="BR378" s="363">
        <v>9.8939897944304356</v>
      </c>
      <c r="BS378" s="363">
        <v>9.8623950825387112</v>
      </c>
      <c r="BT378" s="363">
        <v>9.9353469017054845</v>
      </c>
      <c r="BU378" s="363">
        <v>10.008838343131879</v>
      </c>
      <c r="BV378" s="363">
        <v>10.082873398386395</v>
      </c>
      <c r="BW378" s="363">
        <v>10.157456088563031</v>
      </c>
      <c r="BX378" s="363">
        <v>10.232590464499683</v>
      </c>
      <c r="BY378" s="435">
        <v>10.273836162928925</v>
      </c>
      <c r="BZ378" s="435">
        <v>10.315081861358166</v>
      </c>
      <c r="CA378" s="435">
        <v>10.356327559787406</v>
      </c>
      <c r="CB378" s="435">
        <v>10.397573258216648</v>
      </c>
      <c r="CC378" s="363">
        <v>10.438818956645889</v>
      </c>
      <c r="CD378" s="435">
        <v>10.472628238511041</v>
      </c>
      <c r="CE378" s="435">
        <v>10.506437520376192</v>
      </c>
      <c r="CF378" s="435">
        <v>10.540246802241342</v>
      </c>
      <c r="CG378" s="435">
        <v>10.574056084106493</v>
      </c>
      <c r="CH378" s="363">
        <v>10.607865365971644</v>
      </c>
      <c r="CI378" s="362">
        <v>8.040981032089384</v>
      </c>
      <c r="CJ378" s="362">
        <v>8.0821719948026569</v>
      </c>
      <c r="CK378" s="362">
        <v>8.1235739635365221</v>
      </c>
      <c r="CL378" s="363">
        <v>8.0701650289051994</v>
      </c>
      <c r="CM378" s="363">
        <v>8.0171072345861649</v>
      </c>
      <c r="CN378" s="363">
        <v>7.991506016215757</v>
      </c>
      <c r="CO378" s="363">
        <v>7.965986550822187</v>
      </c>
      <c r="CP378" s="363">
        <v>7.9405485773417359</v>
      </c>
      <c r="CQ378" s="363">
        <v>7.9151918355443485</v>
      </c>
      <c r="CR378" s="363">
        <v>7.8899160660309695</v>
      </c>
      <c r="CS378" s="363">
        <v>7.9482775213643873</v>
      </c>
      <c r="CT378" s="363">
        <v>8.0070706745055045</v>
      </c>
      <c r="CU378" s="363">
        <v>8.0662987187091151</v>
      </c>
      <c r="CV378" s="363">
        <v>8.1259648708504244</v>
      </c>
      <c r="CW378" s="363">
        <v>8.1860723715997459</v>
      </c>
      <c r="CX378" s="435">
        <v>8.2190689303431395</v>
      </c>
      <c r="CY378" s="435">
        <v>8.2520654890865313</v>
      </c>
      <c r="CZ378" s="435">
        <v>8.2850620478299248</v>
      </c>
      <c r="DA378" s="435">
        <v>8.3180586065733166</v>
      </c>
      <c r="DB378" s="363">
        <v>8.3510551653167102</v>
      </c>
      <c r="DC378" s="435">
        <v>8.3781025908088314</v>
      </c>
      <c r="DD378" s="435">
        <v>8.4051500163009525</v>
      </c>
      <c r="DE378" s="435">
        <v>8.4321974417930736</v>
      </c>
      <c r="DF378" s="435">
        <v>8.4592448672851948</v>
      </c>
      <c r="DG378" s="363">
        <v>8.4862922927773159</v>
      </c>
      <c r="DH378" s="362">
        <v>0</v>
      </c>
      <c r="DI378" s="362">
        <v>0</v>
      </c>
      <c r="DJ378" s="362">
        <v>0</v>
      </c>
      <c r="DK378" s="363">
        <v>0</v>
      </c>
      <c r="DL378" s="363">
        <v>0</v>
      </c>
      <c r="DM378" s="363">
        <v>0</v>
      </c>
      <c r="DN378" s="363">
        <v>0</v>
      </c>
      <c r="DO378" s="363">
        <v>0</v>
      </c>
      <c r="DP378" s="363">
        <v>0</v>
      </c>
      <c r="DQ378" s="363">
        <v>0</v>
      </c>
      <c r="DR378" s="363">
        <v>0</v>
      </c>
      <c r="DS378" s="363">
        <v>0</v>
      </c>
      <c r="DT378" s="363">
        <v>0</v>
      </c>
      <c r="DU378" s="363">
        <v>0</v>
      </c>
      <c r="DV378" s="363">
        <v>0</v>
      </c>
      <c r="DW378" s="435">
        <v>0</v>
      </c>
      <c r="DX378" s="435">
        <v>0</v>
      </c>
      <c r="DY378" s="435">
        <v>0</v>
      </c>
      <c r="DZ378" s="435">
        <v>0</v>
      </c>
      <c r="EA378" s="363">
        <v>0</v>
      </c>
      <c r="EB378" s="435">
        <v>0</v>
      </c>
      <c r="EC378" s="435">
        <v>0</v>
      </c>
      <c r="ED378" s="435">
        <v>0</v>
      </c>
      <c r="EE378" s="435">
        <v>0</v>
      </c>
      <c r="EF378" s="363">
        <v>0</v>
      </c>
      <c r="EG378" s="364">
        <v>0</v>
      </c>
      <c r="EH378" s="364">
        <v>0</v>
      </c>
      <c r="EI378" s="364">
        <v>0</v>
      </c>
      <c r="EJ378" s="365">
        <v>0</v>
      </c>
      <c r="EK378" s="365">
        <v>0</v>
      </c>
      <c r="EL378" s="365">
        <v>0</v>
      </c>
      <c r="EM378" s="365">
        <v>0</v>
      </c>
      <c r="EN378" s="365">
        <v>0</v>
      </c>
      <c r="EO378" s="365">
        <v>0</v>
      </c>
      <c r="EP378" s="365">
        <v>0</v>
      </c>
      <c r="EQ378" s="365">
        <v>0</v>
      </c>
      <c r="ER378" s="365">
        <v>0</v>
      </c>
      <c r="ES378" s="365">
        <v>0</v>
      </c>
      <c r="ET378" s="365">
        <v>0</v>
      </c>
      <c r="EU378" s="365">
        <v>0</v>
      </c>
      <c r="EV378" s="436">
        <v>0</v>
      </c>
      <c r="EW378" s="436">
        <v>0</v>
      </c>
      <c r="EX378" s="436">
        <v>0</v>
      </c>
      <c r="EY378" s="436">
        <v>0</v>
      </c>
      <c r="EZ378" s="365">
        <v>0</v>
      </c>
      <c r="FA378" s="436">
        <v>0</v>
      </c>
      <c r="FB378" s="436">
        <v>0</v>
      </c>
      <c r="FC378" s="436">
        <v>0</v>
      </c>
      <c r="FD378" s="436">
        <v>0</v>
      </c>
      <c r="FE378" s="365">
        <v>0</v>
      </c>
      <c r="FF378" s="364">
        <v>0</v>
      </c>
      <c r="FG378" s="364">
        <v>0</v>
      </c>
      <c r="FH378" s="364">
        <v>0</v>
      </c>
      <c r="FI378" s="365">
        <v>0</v>
      </c>
      <c r="FJ378" s="365">
        <v>0</v>
      </c>
      <c r="FK378" s="365">
        <v>0</v>
      </c>
      <c r="FL378" s="365">
        <v>0</v>
      </c>
      <c r="FM378" s="365">
        <v>0</v>
      </c>
      <c r="FN378" s="365">
        <v>0</v>
      </c>
      <c r="FO378" s="365">
        <v>0</v>
      </c>
      <c r="FP378" s="365">
        <v>0</v>
      </c>
      <c r="FQ378" s="365">
        <v>0</v>
      </c>
      <c r="FR378" s="365">
        <v>0</v>
      </c>
      <c r="FS378" s="365">
        <v>0</v>
      </c>
      <c r="FT378" s="365">
        <v>0</v>
      </c>
      <c r="FU378" s="436">
        <v>0</v>
      </c>
      <c r="FV378" s="436">
        <v>0</v>
      </c>
      <c r="FW378" s="436">
        <v>0</v>
      </c>
      <c r="FX378" s="436">
        <v>0</v>
      </c>
      <c r="FY378" s="365">
        <v>0</v>
      </c>
      <c r="FZ378" s="436">
        <v>0</v>
      </c>
      <c r="GA378" s="436">
        <v>0</v>
      </c>
      <c r="GB378" s="436">
        <v>0</v>
      </c>
      <c r="GC378" s="436">
        <v>0</v>
      </c>
      <c r="GD378" s="365">
        <v>0</v>
      </c>
    </row>
    <row r="379" spans="1:186" ht="15" x14ac:dyDescent="0.25">
      <c r="A379" s="357">
        <v>111</v>
      </c>
      <c r="B379" s="357">
        <v>102</v>
      </c>
      <c r="C379" s="357" t="s">
        <v>1289</v>
      </c>
      <c r="D379" s="2">
        <v>99712</v>
      </c>
      <c r="E379" s="268" t="s">
        <v>1527</v>
      </c>
      <c r="F379" s="358" t="s">
        <v>985</v>
      </c>
      <c r="G379" s="49">
        <v>4</v>
      </c>
      <c r="H379" s="49">
        <v>2</v>
      </c>
      <c r="I379" s="49">
        <v>2</v>
      </c>
      <c r="J379" s="49">
        <v>0</v>
      </c>
      <c r="K379" s="49">
        <v>0</v>
      </c>
      <c r="L379" s="49">
        <v>2</v>
      </c>
      <c r="M379" s="49">
        <v>2</v>
      </c>
      <c r="N379" s="49">
        <v>3</v>
      </c>
      <c r="O379" s="49">
        <v>0</v>
      </c>
      <c r="P379" s="49">
        <v>0</v>
      </c>
      <c r="Q379" s="49">
        <v>5</v>
      </c>
      <c r="R379" s="49">
        <v>0</v>
      </c>
      <c r="S379" s="49">
        <v>3041</v>
      </c>
      <c r="T379" s="49">
        <v>3041</v>
      </c>
      <c r="U379" s="49">
        <v>3634.3333333333335</v>
      </c>
      <c r="V379" s="49">
        <v>0</v>
      </c>
      <c r="W379" s="49">
        <v>0</v>
      </c>
      <c r="X379" s="49">
        <v>3397</v>
      </c>
      <c r="Y379" s="434">
        <v>6082</v>
      </c>
      <c r="Z379" s="434">
        <v>10903</v>
      </c>
      <c r="AA379" s="49">
        <v>0</v>
      </c>
      <c r="AB379" s="49">
        <v>2</v>
      </c>
      <c r="AC379" s="49">
        <v>0</v>
      </c>
      <c r="AD379" s="285">
        <v>3</v>
      </c>
      <c r="AE379" s="285">
        <v>0</v>
      </c>
      <c r="AF379" s="359">
        <v>5</v>
      </c>
      <c r="AG379" s="360">
        <v>0</v>
      </c>
      <c r="AH379" s="360">
        <v>2</v>
      </c>
      <c r="AI379" s="361">
        <v>2</v>
      </c>
      <c r="AJ379" s="360">
        <v>0</v>
      </c>
      <c r="AK379" s="360">
        <v>0</v>
      </c>
      <c r="AL379" s="360">
        <v>1.8182284902914765</v>
      </c>
      <c r="AM379" s="360">
        <v>1.8182284902914765</v>
      </c>
      <c r="AN379" s="360">
        <v>0</v>
      </c>
      <c r="AO379" s="360">
        <v>0</v>
      </c>
      <c r="AP379" s="360">
        <v>1.8249082207758185</v>
      </c>
      <c r="AQ379" s="360">
        <v>1.8249082207758185</v>
      </c>
      <c r="AR379" s="360">
        <v>0</v>
      </c>
      <c r="AS379" s="360">
        <v>2.7895240524415161</v>
      </c>
      <c r="AT379" s="360">
        <v>0</v>
      </c>
      <c r="AU379" s="360">
        <v>1.6529774214538109</v>
      </c>
      <c r="AV379" s="360">
        <v>1.7336350946770376</v>
      </c>
      <c r="AW379" s="360">
        <v>1.8182284902914765</v>
      </c>
      <c r="AX379" s="360">
        <v>1.9069496533949062</v>
      </c>
      <c r="AY379" s="360">
        <v>2</v>
      </c>
      <c r="AZ379" s="360">
        <v>1.6651450071275817</v>
      </c>
      <c r="BA379" s="360">
        <v>1.7431972958592303</v>
      </c>
      <c r="BB379" s="360">
        <v>1.8249082207758185</v>
      </c>
      <c r="BC379" s="360">
        <v>1.9104492774087558</v>
      </c>
      <c r="BD379" s="360">
        <v>2</v>
      </c>
      <c r="BE379" s="360">
        <v>2.5938148130499128</v>
      </c>
      <c r="BF379" s="360">
        <v>2.6898901108747597</v>
      </c>
      <c r="BG379" s="360">
        <v>2.7895240524415161</v>
      </c>
      <c r="BH379" s="360">
        <v>2.8928484504592613</v>
      </c>
      <c r="BI379" s="360">
        <v>3</v>
      </c>
      <c r="BJ379" s="362">
        <v>2.0490353106214685</v>
      </c>
      <c r="BK379" s="362">
        <v>2.0992728520868091</v>
      </c>
      <c r="BL379" s="362">
        <v>2.1507421002774554</v>
      </c>
      <c r="BM379" s="363">
        <v>2.1366019145958637</v>
      </c>
      <c r="BN379" s="363">
        <v>2.1225546944311899</v>
      </c>
      <c r="BO379" s="363">
        <v>2.1157766902651929</v>
      </c>
      <c r="BP379" s="363">
        <v>2.1090203304603969</v>
      </c>
      <c r="BQ379" s="363">
        <v>2.1022855458993499</v>
      </c>
      <c r="BR379" s="363">
        <v>2.0955722676853159</v>
      </c>
      <c r="BS379" s="363">
        <v>2.0888804271415675</v>
      </c>
      <c r="BT379" s="363">
        <v>2.1043318084649179</v>
      </c>
      <c r="BU379" s="363">
        <v>2.1198974831588688</v>
      </c>
      <c r="BV379" s="363">
        <v>2.1355782966478056</v>
      </c>
      <c r="BW379" s="363">
        <v>2.1513751006096924</v>
      </c>
      <c r="BX379" s="363">
        <v>2.1672887530223242</v>
      </c>
      <c r="BY379" s="435">
        <v>2.1760246971242965</v>
      </c>
      <c r="BZ379" s="435">
        <v>2.1847606412262688</v>
      </c>
      <c r="CA379" s="435">
        <v>2.1934965853282415</v>
      </c>
      <c r="CB379" s="435">
        <v>2.2022325294302139</v>
      </c>
      <c r="CC379" s="363">
        <v>2.2109684735321862</v>
      </c>
      <c r="CD379" s="435">
        <v>2.2181293656433594</v>
      </c>
      <c r="CE379" s="435">
        <v>2.225290257754533</v>
      </c>
      <c r="CF379" s="435">
        <v>2.2324511498657063</v>
      </c>
      <c r="CG379" s="435">
        <v>2.2396120419768799</v>
      </c>
      <c r="CH379" s="363">
        <v>2.2467729340880531</v>
      </c>
      <c r="CI379" s="362">
        <v>2.0490353106214685</v>
      </c>
      <c r="CJ379" s="362">
        <v>2.0992728520868091</v>
      </c>
      <c r="CK379" s="362">
        <v>2.1507421002774554</v>
      </c>
      <c r="CL379" s="363">
        <v>2.1366019145958637</v>
      </c>
      <c r="CM379" s="363">
        <v>2.1225546944311899</v>
      </c>
      <c r="CN379" s="363">
        <v>2.1157766902651929</v>
      </c>
      <c r="CO379" s="363">
        <v>2.1090203304603969</v>
      </c>
      <c r="CP379" s="363">
        <v>2.1022855458993499</v>
      </c>
      <c r="CQ379" s="363">
        <v>2.0955722676853159</v>
      </c>
      <c r="CR379" s="363">
        <v>2.0888804271415675</v>
      </c>
      <c r="CS379" s="363">
        <v>2.1043318084649179</v>
      </c>
      <c r="CT379" s="363">
        <v>2.1198974831588688</v>
      </c>
      <c r="CU379" s="363">
        <v>2.1355782966478056</v>
      </c>
      <c r="CV379" s="363">
        <v>2.1513751006096924</v>
      </c>
      <c r="CW379" s="363">
        <v>2.1672887530223242</v>
      </c>
      <c r="CX379" s="435">
        <v>2.1760246971242965</v>
      </c>
      <c r="CY379" s="435">
        <v>2.1847606412262688</v>
      </c>
      <c r="CZ379" s="435">
        <v>2.1934965853282415</v>
      </c>
      <c r="DA379" s="435">
        <v>2.2022325294302139</v>
      </c>
      <c r="DB379" s="363">
        <v>2.2109684735321862</v>
      </c>
      <c r="DC379" s="435">
        <v>2.2181293656433594</v>
      </c>
      <c r="DD379" s="435">
        <v>2.225290257754533</v>
      </c>
      <c r="DE379" s="435">
        <v>2.2324511498657063</v>
      </c>
      <c r="DF379" s="435">
        <v>2.2396120419768799</v>
      </c>
      <c r="DG379" s="363">
        <v>2.2467729340880531</v>
      </c>
      <c r="DH379" s="362">
        <v>3.073552965932203</v>
      </c>
      <c r="DI379" s="362">
        <v>3.1489092781302137</v>
      </c>
      <c r="DJ379" s="362">
        <v>3.2261131504161833</v>
      </c>
      <c r="DK379" s="363">
        <v>3.2049028718937955</v>
      </c>
      <c r="DL379" s="363">
        <v>3.1838320416467849</v>
      </c>
      <c r="DM379" s="363">
        <v>3.1736650353977898</v>
      </c>
      <c r="DN379" s="363">
        <v>3.1635304956905954</v>
      </c>
      <c r="DO379" s="363">
        <v>3.1534283188490253</v>
      </c>
      <c r="DP379" s="363">
        <v>3.1433584015279741</v>
      </c>
      <c r="DQ379" s="363">
        <v>3.1333206407123515</v>
      </c>
      <c r="DR379" s="363">
        <v>3.156497712697377</v>
      </c>
      <c r="DS379" s="363">
        <v>3.179846224738303</v>
      </c>
      <c r="DT379" s="363">
        <v>3.2033674449717089</v>
      </c>
      <c r="DU379" s="363">
        <v>3.2270626509145393</v>
      </c>
      <c r="DV379" s="363">
        <v>3.2509331295334865</v>
      </c>
      <c r="DW379" s="435">
        <v>3.2640370456864449</v>
      </c>
      <c r="DX379" s="435">
        <v>3.2771409618394034</v>
      </c>
      <c r="DY379" s="435">
        <v>3.2902448779923623</v>
      </c>
      <c r="DZ379" s="435">
        <v>3.3033487941453208</v>
      </c>
      <c r="EA379" s="363">
        <v>3.3164527102982793</v>
      </c>
      <c r="EB379" s="435">
        <v>3.3271940484650395</v>
      </c>
      <c r="EC379" s="435">
        <v>3.3379353866317993</v>
      </c>
      <c r="ED379" s="435">
        <v>3.3486767247985596</v>
      </c>
      <c r="EE379" s="435">
        <v>3.3594180629653194</v>
      </c>
      <c r="EF379" s="363">
        <v>3.3701594011320797</v>
      </c>
      <c r="EG379" s="364">
        <v>0</v>
      </c>
      <c r="EH379" s="364">
        <v>0</v>
      </c>
      <c r="EI379" s="364">
        <v>0</v>
      </c>
      <c r="EJ379" s="365">
        <v>0</v>
      </c>
      <c r="EK379" s="365">
        <v>0</v>
      </c>
      <c r="EL379" s="365">
        <v>0</v>
      </c>
      <c r="EM379" s="365">
        <v>0</v>
      </c>
      <c r="EN379" s="365">
        <v>0</v>
      </c>
      <c r="EO379" s="365">
        <v>0</v>
      </c>
      <c r="EP379" s="365">
        <v>0</v>
      </c>
      <c r="EQ379" s="365">
        <v>0</v>
      </c>
      <c r="ER379" s="365">
        <v>0</v>
      </c>
      <c r="ES379" s="365">
        <v>0</v>
      </c>
      <c r="ET379" s="365">
        <v>0</v>
      </c>
      <c r="EU379" s="365">
        <v>0</v>
      </c>
      <c r="EV379" s="436">
        <v>0</v>
      </c>
      <c r="EW379" s="436">
        <v>0</v>
      </c>
      <c r="EX379" s="436">
        <v>0</v>
      </c>
      <c r="EY379" s="436">
        <v>0</v>
      </c>
      <c r="EZ379" s="365">
        <v>0</v>
      </c>
      <c r="FA379" s="436">
        <v>0</v>
      </c>
      <c r="FB379" s="436">
        <v>0</v>
      </c>
      <c r="FC379" s="436">
        <v>0</v>
      </c>
      <c r="FD379" s="436">
        <v>0</v>
      </c>
      <c r="FE379" s="365">
        <v>0</v>
      </c>
      <c r="FF379" s="364">
        <v>0</v>
      </c>
      <c r="FG379" s="364">
        <v>0</v>
      </c>
      <c r="FH379" s="364">
        <v>0</v>
      </c>
      <c r="FI379" s="365">
        <v>0</v>
      </c>
      <c r="FJ379" s="365">
        <v>0</v>
      </c>
      <c r="FK379" s="365">
        <v>0</v>
      </c>
      <c r="FL379" s="365">
        <v>0</v>
      </c>
      <c r="FM379" s="365">
        <v>0</v>
      </c>
      <c r="FN379" s="365">
        <v>0</v>
      </c>
      <c r="FO379" s="365">
        <v>0</v>
      </c>
      <c r="FP379" s="365">
        <v>0</v>
      </c>
      <c r="FQ379" s="365">
        <v>0</v>
      </c>
      <c r="FR379" s="365">
        <v>0</v>
      </c>
      <c r="FS379" s="365">
        <v>0</v>
      </c>
      <c r="FT379" s="365">
        <v>0</v>
      </c>
      <c r="FU379" s="436">
        <v>0</v>
      </c>
      <c r="FV379" s="436">
        <v>0</v>
      </c>
      <c r="FW379" s="436">
        <v>0</v>
      </c>
      <c r="FX379" s="436">
        <v>0</v>
      </c>
      <c r="FY379" s="365">
        <v>0</v>
      </c>
      <c r="FZ379" s="436">
        <v>0</v>
      </c>
      <c r="GA379" s="436">
        <v>0</v>
      </c>
      <c r="GB379" s="436">
        <v>0</v>
      </c>
      <c r="GC379" s="436">
        <v>0</v>
      </c>
      <c r="GD379" s="365">
        <v>0</v>
      </c>
    </row>
    <row r="380" spans="1:186" ht="15" x14ac:dyDescent="0.25">
      <c r="A380" s="357">
        <v>112</v>
      </c>
      <c r="B380" s="357">
        <v>102</v>
      </c>
      <c r="C380" s="357" t="s">
        <v>1290</v>
      </c>
      <c r="D380" s="2">
        <v>99712</v>
      </c>
      <c r="E380" s="268" t="s">
        <v>1527</v>
      </c>
      <c r="F380" s="358" t="s">
        <v>985</v>
      </c>
      <c r="G380" s="49">
        <v>34</v>
      </c>
      <c r="H380" s="49">
        <v>15</v>
      </c>
      <c r="I380" s="49">
        <v>15</v>
      </c>
      <c r="J380" s="49">
        <v>0</v>
      </c>
      <c r="K380" s="49">
        <v>0</v>
      </c>
      <c r="L380" s="49">
        <v>7</v>
      </c>
      <c r="M380" s="49">
        <v>7</v>
      </c>
      <c r="N380" s="49">
        <v>7</v>
      </c>
      <c r="O380" s="49">
        <v>0</v>
      </c>
      <c r="P380" s="49">
        <v>0</v>
      </c>
      <c r="Q380" s="49">
        <v>14</v>
      </c>
      <c r="R380" s="49">
        <v>0</v>
      </c>
      <c r="S380" s="49">
        <v>1661.7142857142858</v>
      </c>
      <c r="T380" s="49">
        <v>1661.7142857142858</v>
      </c>
      <c r="U380" s="49">
        <v>5746.1428571428569</v>
      </c>
      <c r="V380" s="49">
        <v>0</v>
      </c>
      <c r="W380" s="49">
        <v>0</v>
      </c>
      <c r="X380" s="49">
        <v>3703.9285714285716</v>
      </c>
      <c r="Y380" s="434">
        <v>11632</v>
      </c>
      <c r="Z380" s="434">
        <v>40223</v>
      </c>
      <c r="AA380" s="49">
        <v>0</v>
      </c>
      <c r="AB380" s="49">
        <v>15</v>
      </c>
      <c r="AC380" s="49">
        <v>0</v>
      </c>
      <c r="AD380" s="285">
        <v>7</v>
      </c>
      <c r="AE380" s="285">
        <v>0</v>
      </c>
      <c r="AF380" s="359">
        <v>22</v>
      </c>
      <c r="AG380" s="360">
        <v>0</v>
      </c>
      <c r="AH380" s="360">
        <v>15</v>
      </c>
      <c r="AI380" s="361">
        <v>15</v>
      </c>
      <c r="AJ380" s="360">
        <v>0</v>
      </c>
      <c r="AK380" s="360">
        <v>0</v>
      </c>
      <c r="AL380" s="360">
        <v>13.636713677186073</v>
      </c>
      <c r="AM380" s="360">
        <v>13.636713677186073</v>
      </c>
      <c r="AN380" s="360">
        <v>0</v>
      </c>
      <c r="AO380" s="360">
        <v>0</v>
      </c>
      <c r="AP380" s="360">
        <v>13.686811655818639</v>
      </c>
      <c r="AQ380" s="360">
        <v>13.686811655818639</v>
      </c>
      <c r="AR380" s="360">
        <v>0</v>
      </c>
      <c r="AS380" s="360">
        <v>6.5088894556968713</v>
      </c>
      <c r="AT380" s="360">
        <v>0</v>
      </c>
      <c r="AU380" s="360">
        <v>12.397330660903581</v>
      </c>
      <c r="AV380" s="360">
        <v>13.002263210077782</v>
      </c>
      <c r="AW380" s="360">
        <v>13.636713677186073</v>
      </c>
      <c r="AX380" s="360">
        <v>14.302122400461798</v>
      </c>
      <c r="AY380" s="360">
        <v>15</v>
      </c>
      <c r="AZ380" s="360">
        <v>12.488587553456863</v>
      </c>
      <c r="BA380" s="360">
        <v>13.073979718944226</v>
      </c>
      <c r="BB380" s="360">
        <v>13.686811655818639</v>
      </c>
      <c r="BC380" s="360">
        <v>14.328369580565669</v>
      </c>
      <c r="BD380" s="360">
        <v>15</v>
      </c>
      <c r="BE380" s="360">
        <v>6.0522345637831299</v>
      </c>
      <c r="BF380" s="360">
        <v>6.2764102587077728</v>
      </c>
      <c r="BG380" s="360">
        <v>6.5088894556968713</v>
      </c>
      <c r="BH380" s="360">
        <v>6.7499797177382765</v>
      </c>
      <c r="BI380" s="360">
        <v>7</v>
      </c>
      <c r="BJ380" s="362">
        <v>15.138883484775656</v>
      </c>
      <c r="BK380" s="362">
        <v>15.279052877707542</v>
      </c>
      <c r="BL380" s="362">
        <v>15.420520084889379</v>
      </c>
      <c r="BM380" s="363">
        <v>15.31913693101011</v>
      </c>
      <c r="BN380" s="363">
        <v>15.218420326886227</v>
      </c>
      <c r="BO380" s="363">
        <v>15.169822984897275</v>
      </c>
      <c r="BP380" s="363">
        <v>15.121380829951242</v>
      </c>
      <c r="BQ380" s="363">
        <v>15.073093366485665</v>
      </c>
      <c r="BR380" s="363">
        <v>15.024960100520579</v>
      </c>
      <c r="BS380" s="363">
        <v>14.976980539653454</v>
      </c>
      <c r="BT380" s="363">
        <v>15.0877647829178</v>
      </c>
      <c r="BU380" s="363">
        <v>15.199368493665805</v>
      </c>
      <c r="BV380" s="363">
        <v>15.311797733472087</v>
      </c>
      <c r="BW380" s="363">
        <v>15.425058608748538</v>
      </c>
      <c r="BX380" s="363">
        <v>15.539157271075963</v>
      </c>
      <c r="BY380" s="435">
        <v>15.601792768594498</v>
      </c>
      <c r="BZ380" s="435">
        <v>15.664428266113031</v>
      </c>
      <c r="CA380" s="435">
        <v>15.727063763631566</v>
      </c>
      <c r="CB380" s="435">
        <v>15.789699261150099</v>
      </c>
      <c r="CC380" s="363">
        <v>15.852334758668635</v>
      </c>
      <c r="CD380" s="435">
        <v>15.903677353678901</v>
      </c>
      <c r="CE380" s="435">
        <v>15.955019948689166</v>
      </c>
      <c r="CF380" s="435">
        <v>16.006362543699431</v>
      </c>
      <c r="CG380" s="435">
        <v>16.0577051387097</v>
      </c>
      <c r="CH380" s="363">
        <v>16.109047733719965</v>
      </c>
      <c r="CI380" s="362">
        <v>15.138883484775656</v>
      </c>
      <c r="CJ380" s="362">
        <v>15.279052877707542</v>
      </c>
      <c r="CK380" s="362">
        <v>15.420520084889379</v>
      </c>
      <c r="CL380" s="363">
        <v>15.31913693101011</v>
      </c>
      <c r="CM380" s="363">
        <v>15.218420326886227</v>
      </c>
      <c r="CN380" s="363">
        <v>15.169822984897275</v>
      </c>
      <c r="CO380" s="363">
        <v>15.121380829951242</v>
      </c>
      <c r="CP380" s="363">
        <v>15.073093366485665</v>
      </c>
      <c r="CQ380" s="363">
        <v>15.024960100520579</v>
      </c>
      <c r="CR380" s="363">
        <v>14.976980539653454</v>
      </c>
      <c r="CS380" s="363">
        <v>15.0877647829178</v>
      </c>
      <c r="CT380" s="363">
        <v>15.199368493665805</v>
      </c>
      <c r="CU380" s="363">
        <v>15.311797733472087</v>
      </c>
      <c r="CV380" s="363">
        <v>15.425058608748538</v>
      </c>
      <c r="CW380" s="363">
        <v>15.539157271075963</v>
      </c>
      <c r="CX380" s="435">
        <v>15.601792768594498</v>
      </c>
      <c r="CY380" s="435">
        <v>15.664428266113031</v>
      </c>
      <c r="CZ380" s="435">
        <v>15.727063763631566</v>
      </c>
      <c r="DA380" s="435">
        <v>15.789699261150099</v>
      </c>
      <c r="DB380" s="363">
        <v>15.852334758668635</v>
      </c>
      <c r="DC380" s="435">
        <v>15.903677353678901</v>
      </c>
      <c r="DD380" s="435">
        <v>15.955019948689166</v>
      </c>
      <c r="DE380" s="435">
        <v>16.006362543699431</v>
      </c>
      <c r="DF380" s="435">
        <v>16.0577051387097</v>
      </c>
      <c r="DG380" s="363">
        <v>16.109047733719965</v>
      </c>
      <c r="DH380" s="362">
        <v>7.0648122928953061</v>
      </c>
      <c r="DI380" s="362">
        <v>7.13022467626352</v>
      </c>
      <c r="DJ380" s="362">
        <v>7.1962427062817103</v>
      </c>
      <c r="DK380" s="363">
        <v>7.1489305678047179</v>
      </c>
      <c r="DL380" s="363">
        <v>7.1019294858802384</v>
      </c>
      <c r="DM380" s="363">
        <v>7.0792507262853954</v>
      </c>
      <c r="DN380" s="363">
        <v>7.0566443873105795</v>
      </c>
      <c r="DO380" s="363">
        <v>7.0341102376933105</v>
      </c>
      <c r="DP380" s="363">
        <v>7.0116480469096034</v>
      </c>
      <c r="DQ380" s="363">
        <v>6.9892575851716119</v>
      </c>
      <c r="DR380" s="363">
        <v>7.0409568986949731</v>
      </c>
      <c r="DS380" s="363">
        <v>7.093038630377376</v>
      </c>
      <c r="DT380" s="363">
        <v>7.1455056089536404</v>
      </c>
      <c r="DU380" s="363">
        <v>7.1983606840826511</v>
      </c>
      <c r="DV380" s="363">
        <v>7.251606726502116</v>
      </c>
      <c r="DW380" s="435">
        <v>7.280836625344099</v>
      </c>
      <c r="DX380" s="435">
        <v>7.3100665241860812</v>
      </c>
      <c r="DY380" s="435">
        <v>7.3392964230280642</v>
      </c>
      <c r="DZ380" s="435">
        <v>7.3685263218700463</v>
      </c>
      <c r="EA380" s="363">
        <v>7.3977562207120293</v>
      </c>
      <c r="EB380" s="435">
        <v>7.4217160983834871</v>
      </c>
      <c r="EC380" s="435">
        <v>7.4456759760549449</v>
      </c>
      <c r="ED380" s="435">
        <v>7.4696358537264018</v>
      </c>
      <c r="EE380" s="435">
        <v>7.4935957313978596</v>
      </c>
      <c r="EF380" s="363">
        <v>7.5175556090693174</v>
      </c>
      <c r="EG380" s="364">
        <v>0</v>
      </c>
      <c r="EH380" s="364">
        <v>0</v>
      </c>
      <c r="EI380" s="364">
        <v>0</v>
      </c>
      <c r="EJ380" s="365">
        <v>0</v>
      </c>
      <c r="EK380" s="365">
        <v>0</v>
      </c>
      <c r="EL380" s="365">
        <v>0</v>
      </c>
      <c r="EM380" s="365">
        <v>0</v>
      </c>
      <c r="EN380" s="365">
        <v>0</v>
      </c>
      <c r="EO380" s="365">
        <v>0</v>
      </c>
      <c r="EP380" s="365">
        <v>0</v>
      </c>
      <c r="EQ380" s="365">
        <v>0</v>
      </c>
      <c r="ER380" s="365">
        <v>0</v>
      </c>
      <c r="ES380" s="365">
        <v>0</v>
      </c>
      <c r="ET380" s="365">
        <v>0</v>
      </c>
      <c r="EU380" s="365">
        <v>0</v>
      </c>
      <c r="EV380" s="436">
        <v>0</v>
      </c>
      <c r="EW380" s="436">
        <v>0</v>
      </c>
      <c r="EX380" s="436">
        <v>0</v>
      </c>
      <c r="EY380" s="436">
        <v>0</v>
      </c>
      <c r="EZ380" s="365">
        <v>0</v>
      </c>
      <c r="FA380" s="436">
        <v>0</v>
      </c>
      <c r="FB380" s="436">
        <v>0</v>
      </c>
      <c r="FC380" s="436">
        <v>0</v>
      </c>
      <c r="FD380" s="436">
        <v>0</v>
      </c>
      <c r="FE380" s="365">
        <v>0</v>
      </c>
      <c r="FF380" s="364">
        <v>0</v>
      </c>
      <c r="FG380" s="364">
        <v>0</v>
      </c>
      <c r="FH380" s="364">
        <v>0</v>
      </c>
      <c r="FI380" s="365">
        <v>0</v>
      </c>
      <c r="FJ380" s="365">
        <v>0</v>
      </c>
      <c r="FK380" s="365">
        <v>0</v>
      </c>
      <c r="FL380" s="365">
        <v>0</v>
      </c>
      <c r="FM380" s="365">
        <v>0</v>
      </c>
      <c r="FN380" s="365">
        <v>0</v>
      </c>
      <c r="FO380" s="365">
        <v>0</v>
      </c>
      <c r="FP380" s="365">
        <v>0</v>
      </c>
      <c r="FQ380" s="365">
        <v>0</v>
      </c>
      <c r="FR380" s="365">
        <v>0</v>
      </c>
      <c r="FS380" s="365">
        <v>0</v>
      </c>
      <c r="FT380" s="365">
        <v>0</v>
      </c>
      <c r="FU380" s="436">
        <v>0</v>
      </c>
      <c r="FV380" s="436">
        <v>0</v>
      </c>
      <c r="FW380" s="436">
        <v>0</v>
      </c>
      <c r="FX380" s="436">
        <v>0</v>
      </c>
      <c r="FY380" s="365">
        <v>0</v>
      </c>
      <c r="FZ380" s="436">
        <v>0</v>
      </c>
      <c r="GA380" s="436">
        <v>0</v>
      </c>
      <c r="GB380" s="436">
        <v>0</v>
      </c>
      <c r="GC380" s="436">
        <v>0</v>
      </c>
      <c r="GD380" s="365">
        <v>0</v>
      </c>
    </row>
    <row r="381" spans="1:186" ht="15" x14ac:dyDescent="0.25">
      <c r="A381" s="357">
        <v>114</v>
      </c>
      <c r="B381" s="357">
        <v>102</v>
      </c>
      <c r="C381" s="357" t="s">
        <v>1291</v>
      </c>
      <c r="D381" s="2">
        <v>99712</v>
      </c>
      <c r="E381" s="268" t="s">
        <v>1527</v>
      </c>
      <c r="F381" s="358" t="s">
        <v>985</v>
      </c>
      <c r="G381" s="49">
        <v>142</v>
      </c>
      <c r="H381" s="49">
        <v>51</v>
      </c>
      <c r="I381" s="49">
        <v>51</v>
      </c>
      <c r="J381" s="49">
        <v>0</v>
      </c>
      <c r="K381" s="49">
        <v>0</v>
      </c>
      <c r="L381" s="49">
        <v>76</v>
      </c>
      <c r="M381" s="49">
        <v>76</v>
      </c>
      <c r="N381" s="49">
        <v>0</v>
      </c>
      <c r="O381" s="49">
        <v>0</v>
      </c>
      <c r="P381" s="49">
        <v>0</v>
      </c>
      <c r="Q381" s="49">
        <v>76</v>
      </c>
      <c r="R381" s="49">
        <v>0</v>
      </c>
      <c r="S381" s="49">
        <v>2394.6973684210525</v>
      </c>
      <c r="T381" s="49">
        <v>2394.6973684210525</v>
      </c>
      <c r="U381" s="49">
        <v>0</v>
      </c>
      <c r="V381" s="49">
        <v>0</v>
      </c>
      <c r="W381" s="49">
        <v>0</v>
      </c>
      <c r="X381" s="49">
        <v>2394.6973684210525</v>
      </c>
      <c r="Y381" s="434">
        <v>181997</v>
      </c>
      <c r="Z381" s="434">
        <v>0</v>
      </c>
      <c r="AA381" s="49">
        <v>0</v>
      </c>
      <c r="AB381" s="49">
        <v>51</v>
      </c>
      <c r="AC381" s="49">
        <v>0</v>
      </c>
      <c r="AD381" s="285">
        <v>0</v>
      </c>
      <c r="AE381" s="285">
        <v>0</v>
      </c>
      <c r="AF381" s="359">
        <v>51</v>
      </c>
      <c r="AG381" s="360">
        <v>0</v>
      </c>
      <c r="AH381" s="360">
        <v>51</v>
      </c>
      <c r="AI381" s="361">
        <v>51</v>
      </c>
      <c r="AJ381" s="360">
        <v>0</v>
      </c>
      <c r="AK381" s="360">
        <v>0</v>
      </c>
      <c r="AL381" s="360">
        <v>46.364826502432649</v>
      </c>
      <c r="AM381" s="360">
        <v>46.364826502432649</v>
      </c>
      <c r="AN381" s="360">
        <v>0</v>
      </c>
      <c r="AO381" s="360">
        <v>0</v>
      </c>
      <c r="AP381" s="360">
        <v>46.535159629783372</v>
      </c>
      <c r="AQ381" s="360">
        <v>46.535159629783372</v>
      </c>
      <c r="AR381" s="360">
        <v>0</v>
      </c>
      <c r="AS381" s="360">
        <v>0</v>
      </c>
      <c r="AT381" s="360">
        <v>0</v>
      </c>
      <c r="AU381" s="360">
        <v>42.150924247072176</v>
      </c>
      <c r="AV381" s="360">
        <v>44.207694914264458</v>
      </c>
      <c r="AW381" s="360">
        <v>46.364826502432649</v>
      </c>
      <c r="AX381" s="360">
        <v>48.627216161570111</v>
      </c>
      <c r="AY381" s="360">
        <v>51</v>
      </c>
      <c r="AZ381" s="360">
        <v>42.461197681753333</v>
      </c>
      <c r="BA381" s="360">
        <v>44.451531044410373</v>
      </c>
      <c r="BB381" s="360">
        <v>46.535159629783372</v>
      </c>
      <c r="BC381" s="360">
        <v>48.716456573923274</v>
      </c>
      <c r="BD381" s="360">
        <v>51</v>
      </c>
      <c r="BE381" s="360">
        <v>0</v>
      </c>
      <c r="BF381" s="360">
        <v>0</v>
      </c>
      <c r="BG381" s="360">
        <v>0</v>
      </c>
      <c r="BH381" s="360">
        <v>0</v>
      </c>
      <c r="BI381" s="360">
        <v>0</v>
      </c>
      <c r="BJ381" s="362">
        <v>51.472203848237228</v>
      </c>
      <c r="BK381" s="362">
        <v>51.948779784205641</v>
      </c>
      <c r="BL381" s="362">
        <v>52.42976828862389</v>
      </c>
      <c r="BM381" s="363">
        <v>52.085065565434377</v>
      </c>
      <c r="BN381" s="363">
        <v>51.742629111413173</v>
      </c>
      <c r="BO381" s="363">
        <v>51.577398148650737</v>
      </c>
      <c r="BP381" s="363">
        <v>51.412694821834222</v>
      </c>
      <c r="BQ381" s="363">
        <v>51.248517446051267</v>
      </c>
      <c r="BR381" s="363">
        <v>51.084864341769972</v>
      </c>
      <c r="BS381" s="363">
        <v>50.921733834821744</v>
      </c>
      <c r="BT381" s="363">
        <v>51.29840026192052</v>
      </c>
      <c r="BU381" s="363">
        <v>51.677852878463739</v>
      </c>
      <c r="BV381" s="363">
        <v>52.060112293805098</v>
      </c>
      <c r="BW381" s="363">
        <v>52.445199269745025</v>
      </c>
      <c r="BX381" s="363">
        <v>52.833134721658276</v>
      </c>
      <c r="BY381" s="435">
        <v>53.046095413221295</v>
      </c>
      <c r="BZ381" s="435">
        <v>53.259056104784307</v>
      </c>
      <c r="CA381" s="435">
        <v>53.472016796347326</v>
      </c>
      <c r="CB381" s="435">
        <v>53.684977487910338</v>
      </c>
      <c r="CC381" s="363">
        <v>53.897938179473357</v>
      </c>
      <c r="CD381" s="435">
        <v>54.072503002508263</v>
      </c>
      <c r="CE381" s="435">
        <v>54.247067825543169</v>
      </c>
      <c r="CF381" s="435">
        <v>54.421632648578075</v>
      </c>
      <c r="CG381" s="435">
        <v>54.596197471612982</v>
      </c>
      <c r="CH381" s="363">
        <v>54.770762294647888</v>
      </c>
      <c r="CI381" s="362">
        <v>51.472203848237228</v>
      </c>
      <c r="CJ381" s="362">
        <v>51.948779784205641</v>
      </c>
      <c r="CK381" s="362">
        <v>52.42976828862389</v>
      </c>
      <c r="CL381" s="363">
        <v>52.085065565434377</v>
      </c>
      <c r="CM381" s="363">
        <v>51.742629111413173</v>
      </c>
      <c r="CN381" s="363">
        <v>51.577398148650737</v>
      </c>
      <c r="CO381" s="363">
        <v>51.412694821834222</v>
      </c>
      <c r="CP381" s="363">
        <v>51.248517446051267</v>
      </c>
      <c r="CQ381" s="363">
        <v>51.084864341769972</v>
      </c>
      <c r="CR381" s="363">
        <v>50.921733834821744</v>
      </c>
      <c r="CS381" s="363">
        <v>51.29840026192052</v>
      </c>
      <c r="CT381" s="363">
        <v>51.677852878463739</v>
      </c>
      <c r="CU381" s="363">
        <v>52.060112293805098</v>
      </c>
      <c r="CV381" s="363">
        <v>52.445199269745025</v>
      </c>
      <c r="CW381" s="363">
        <v>52.833134721658276</v>
      </c>
      <c r="CX381" s="435">
        <v>53.046095413221295</v>
      </c>
      <c r="CY381" s="435">
        <v>53.259056104784307</v>
      </c>
      <c r="CZ381" s="435">
        <v>53.472016796347326</v>
      </c>
      <c r="DA381" s="435">
        <v>53.684977487910338</v>
      </c>
      <c r="DB381" s="363">
        <v>53.897938179473357</v>
      </c>
      <c r="DC381" s="435">
        <v>54.072503002508263</v>
      </c>
      <c r="DD381" s="435">
        <v>54.247067825543169</v>
      </c>
      <c r="DE381" s="435">
        <v>54.421632648578075</v>
      </c>
      <c r="DF381" s="435">
        <v>54.596197471612982</v>
      </c>
      <c r="DG381" s="363">
        <v>54.770762294647888</v>
      </c>
      <c r="DH381" s="362">
        <v>0</v>
      </c>
      <c r="DI381" s="362">
        <v>0</v>
      </c>
      <c r="DJ381" s="362">
        <v>0</v>
      </c>
      <c r="DK381" s="363">
        <v>0</v>
      </c>
      <c r="DL381" s="363">
        <v>0</v>
      </c>
      <c r="DM381" s="363">
        <v>0</v>
      </c>
      <c r="DN381" s="363">
        <v>0</v>
      </c>
      <c r="DO381" s="363">
        <v>0</v>
      </c>
      <c r="DP381" s="363">
        <v>0</v>
      </c>
      <c r="DQ381" s="363">
        <v>0</v>
      </c>
      <c r="DR381" s="363">
        <v>0</v>
      </c>
      <c r="DS381" s="363">
        <v>0</v>
      </c>
      <c r="DT381" s="363">
        <v>0</v>
      </c>
      <c r="DU381" s="363">
        <v>0</v>
      </c>
      <c r="DV381" s="363">
        <v>0</v>
      </c>
      <c r="DW381" s="435">
        <v>0</v>
      </c>
      <c r="DX381" s="435">
        <v>0</v>
      </c>
      <c r="DY381" s="435">
        <v>0</v>
      </c>
      <c r="DZ381" s="435">
        <v>0</v>
      </c>
      <c r="EA381" s="363">
        <v>0</v>
      </c>
      <c r="EB381" s="435">
        <v>0</v>
      </c>
      <c r="EC381" s="435">
        <v>0</v>
      </c>
      <c r="ED381" s="435">
        <v>0</v>
      </c>
      <c r="EE381" s="435">
        <v>0</v>
      </c>
      <c r="EF381" s="363">
        <v>0</v>
      </c>
      <c r="EG381" s="364">
        <v>0</v>
      </c>
      <c r="EH381" s="364">
        <v>0</v>
      </c>
      <c r="EI381" s="364">
        <v>0</v>
      </c>
      <c r="EJ381" s="365">
        <v>0</v>
      </c>
      <c r="EK381" s="365">
        <v>0</v>
      </c>
      <c r="EL381" s="365">
        <v>0</v>
      </c>
      <c r="EM381" s="365">
        <v>0</v>
      </c>
      <c r="EN381" s="365">
        <v>0</v>
      </c>
      <c r="EO381" s="365">
        <v>0</v>
      </c>
      <c r="EP381" s="365">
        <v>0</v>
      </c>
      <c r="EQ381" s="365">
        <v>0</v>
      </c>
      <c r="ER381" s="365">
        <v>0</v>
      </c>
      <c r="ES381" s="365">
        <v>0</v>
      </c>
      <c r="ET381" s="365">
        <v>0</v>
      </c>
      <c r="EU381" s="365">
        <v>0</v>
      </c>
      <c r="EV381" s="436">
        <v>0</v>
      </c>
      <c r="EW381" s="436">
        <v>0</v>
      </c>
      <c r="EX381" s="436">
        <v>0</v>
      </c>
      <c r="EY381" s="436">
        <v>0</v>
      </c>
      <c r="EZ381" s="365">
        <v>0</v>
      </c>
      <c r="FA381" s="436">
        <v>0</v>
      </c>
      <c r="FB381" s="436">
        <v>0</v>
      </c>
      <c r="FC381" s="436">
        <v>0</v>
      </c>
      <c r="FD381" s="436">
        <v>0</v>
      </c>
      <c r="FE381" s="365">
        <v>0</v>
      </c>
      <c r="FF381" s="364">
        <v>0</v>
      </c>
      <c r="FG381" s="364">
        <v>0</v>
      </c>
      <c r="FH381" s="364">
        <v>0</v>
      </c>
      <c r="FI381" s="365">
        <v>0</v>
      </c>
      <c r="FJ381" s="365">
        <v>0</v>
      </c>
      <c r="FK381" s="365">
        <v>0</v>
      </c>
      <c r="FL381" s="365">
        <v>0</v>
      </c>
      <c r="FM381" s="365">
        <v>0</v>
      </c>
      <c r="FN381" s="365">
        <v>0</v>
      </c>
      <c r="FO381" s="365">
        <v>0</v>
      </c>
      <c r="FP381" s="365">
        <v>0</v>
      </c>
      <c r="FQ381" s="365">
        <v>0</v>
      </c>
      <c r="FR381" s="365">
        <v>0</v>
      </c>
      <c r="FS381" s="365">
        <v>0</v>
      </c>
      <c r="FT381" s="365">
        <v>0</v>
      </c>
      <c r="FU381" s="436">
        <v>0</v>
      </c>
      <c r="FV381" s="436">
        <v>0</v>
      </c>
      <c r="FW381" s="436">
        <v>0</v>
      </c>
      <c r="FX381" s="436">
        <v>0</v>
      </c>
      <c r="FY381" s="365">
        <v>0</v>
      </c>
      <c r="FZ381" s="436">
        <v>0</v>
      </c>
      <c r="GA381" s="436">
        <v>0</v>
      </c>
      <c r="GB381" s="436">
        <v>0</v>
      </c>
      <c r="GC381" s="436">
        <v>0</v>
      </c>
      <c r="GD381" s="365">
        <v>0</v>
      </c>
    </row>
    <row r="382" spans="1:186" ht="15" x14ac:dyDescent="0.25">
      <c r="A382" s="357">
        <v>115</v>
      </c>
      <c r="B382" s="357">
        <v>102</v>
      </c>
      <c r="C382" s="357" t="s">
        <v>1292</v>
      </c>
      <c r="D382" s="2">
        <v>99712</v>
      </c>
      <c r="E382" s="268" t="s">
        <v>1527</v>
      </c>
      <c r="F382" s="358" t="s">
        <v>985</v>
      </c>
      <c r="G382" s="49">
        <v>120</v>
      </c>
      <c r="H382" s="49">
        <v>54</v>
      </c>
      <c r="I382" s="49">
        <v>49</v>
      </c>
      <c r="J382" s="49">
        <v>5</v>
      </c>
      <c r="K382" s="49">
        <v>0</v>
      </c>
      <c r="L382" s="49">
        <v>72</v>
      </c>
      <c r="M382" s="49">
        <v>72</v>
      </c>
      <c r="N382" s="49">
        <v>0</v>
      </c>
      <c r="O382" s="49">
        <v>0</v>
      </c>
      <c r="P382" s="49">
        <v>0</v>
      </c>
      <c r="Q382" s="49">
        <v>72</v>
      </c>
      <c r="R382" s="49">
        <v>0</v>
      </c>
      <c r="S382" s="49">
        <v>1859.8888888888889</v>
      </c>
      <c r="T382" s="49">
        <v>1859.8888888888889</v>
      </c>
      <c r="U382" s="49">
        <v>0</v>
      </c>
      <c r="V382" s="49">
        <v>0</v>
      </c>
      <c r="W382" s="49">
        <v>0</v>
      </c>
      <c r="X382" s="49">
        <v>1859.8888888888889</v>
      </c>
      <c r="Y382" s="434">
        <v>133912</v>
      </c>
      <c r="Z382" s="434">
        <v>0</v>
      </c>
      <c r="AA382" s="49">
        <v>0</v>
      </c>
      <c r="AB382" s="49">
        <v>54</v>
      </c>
      <c r="AC382" s="49">
        <v>0</v>
      </c>
      <c r="AD382" s="285">
        <v>0</v>
      </c>
      <c r="AE382" s="285">
        <v>0</v>
      </c>
      <c r="AF382" s="359">
        <v>54</v>
      </c>
      <c r="AG382" s="360">
        <v>0</v>
      </c>
      <c r="AH382" s="360">
        <v>49</v>
      </c>
      <c r="AI382" s="361">
        <v>49</v>
      </c>
      <c r="AJ382" s="360">
        <v>0</v>
      </c>
      <c r="AK382" s="360">
        <v>0</v>
      </c>
      <c r="AL382" s="360">
        <v>49.092169237869861</v>
      </c>
      <c r="AM382" s="360">
        <v>49.092169237869861</v>
      </c>
      <c r="AN382" s="360">
        <v>0</v>
      </c>
      <c r="AO382" s="360">
        <v>0</v>
      </c>
      <c r="AP382" s="360">
        <v>44.710251409007554</v>
      </c>
      <c r="AQ382" s="360">
        <v>44.710251409007554</v>
      </c>
      <c r="AR382" s="360">
        <v>0</v>
      </c>
      <c r="AS382" s="360">
        <v>0</v>
      </c>
      <c r="AT382" s="360">
        <v>0</v>
      </c>
      <c r="AU382" s="360">
        <v>44.630390379252894</v>
      </c>
      <c r="AV382" s="360">
        <v>46.808147556280012</v>
      </c>
      <c r="AW382" s="360">
        <v>49.092169237869861</v>
      </c>
      <c r="AX382" s="360">
        <v>51.487640641662466</v>
      </c>
      <c r="AY382" s="360">
        <v>54</v>
      </c>
      <c r="AZ382" s="360">
        <v>40.796052674625749</v>
      </c>
      <c r="BA382" s="360">
        <v>42.708333748551141</v>
      </c>
      <c r="BB382" s="360">
        <v>44.710251409007554</v>
      </c>
      <c r="BC382" s="360">
        <v>46.806007296514515</v>
      </c>
      <c r="BD382" s="360">
        <v>49</v>
      </c>
      <c r="BE382" s="360">
        <v>0</v>
      </c>
      <c r="BF382" s="360">
        <v>0</v>
      </c>
      <c r="BG382" s="360">
        <v>0</v>
      </c>
      <c r="BH382" s="360">
        <v>0</v>
      </c>
      <c r="BI382" s="360">
        <v>0</v>
      </c>
      <c r="BJ382" s="362">
        <v>54.499980545192358</v>
      </c>
      <c r="BK382" s="362">
        <v>55.004590359747148</v>
      </c>
      <c r="BL382" s="362">
        <v>55.513872305601765</v>
      </c>
      <c r="BM382" s="363">
        <v>55.148892951636398</v>
      </c>
      <c r="BN382" s="363">
        <v>54.786313176790415</v>
      </c>
      <c r="BO382" s="363">
        <v>54.611362745630188</v>
      </c>
      <c r="BP382" s="363">
        <v>54.436970987824473</v>
      </c>
      <c r="BQ382" s="363">
        <v>54.263136119348395</v>
      </c>
      <c r="BR382" s="363">
        <v>54.089856361874084</v>
      </c>
      <c r="BS382" s="363">
        <v>53.917129942752432</v>
      </c>
      <c r="BT382" s="363">
        <v>54.315953218504077</v>
      </c>
      <c r="BU382" s="363">
        <v>54.717726577196899</v>
      </c>
      <c r="BV382" s="363">
        <v>55.122471840499514</v>
      </c>
      <c r="BW382" s="363">
        <v>55.530210991494734</v>
      </c>
      <c r="BX382" s="363">
        <v>55.94096617587347</v>
      </c>
      <c r="BY382" s="435">
        <v>56.166453966940196</v>
      </c>
      <c r="BZ382" s="435">
        <v>56.391941758006915</v>
      </c>
      <c r="CA382" s="435">
        <v>56.617429549073641</v>
      </c>
      <c r="CB382" s="435">
        <v>56.84291734014036</v>
      </c>
      <c r="CC382" s="363">
        <v>57.068405131207086</v>
      </c>
      <c r="CD382" s="435">
        <v>57.253238473244046</v>
      </c>
      <c r="CE382" s="435">
        <v>57.438071815281006</v>
      </c>
      <c r="CF382" s="435">
        <v>57.622905157317959</v>
      </c>
      <c r="CG382" s="435">
        <v>57.807738499354919</v>
      </c>
      <c r="CH382" s="363">
        <v>57.992571841391879</v>
      </c>
      <c r="CI382" s="362">
        <v>49.453686050267144</v>
      </c>
      <c r="CJ382" s="362">
        <v>49.911572733844636</v>
      </c>
      <c r="CK382" s="362">
        <v>50.373698943971974</v>
      </c>
      <c r="CL382" s="363">
        <v>50.042513974633032</v>
      </c>
      <c r="CM382" s="363">
        <v>49.713506401161673</v>
      </c>
      <c r="CN382" s="363">
        <v>49.554755083997769</v>
      </c>
      <c r="CO382" s="363">
        <v>49.396510711174059</v>
      </c>
      <c r="CP382" s="363">
        <v>49.238771663853178</v>
      </c>
      <c r="CQ382" s="363">
        <v>49.081536328367228</v>
      </c>
      <c r="CR382" s="363">
        <v>48.924803096201281</v>
      </c>
      <c r="CS382" s="363">
        <v>49.286698290864813</v>
      </c>
      <c r="CT382" s="363">
        <v>49.651270412641637</v>
      </c>
      <c r="CU382" s="363">
        <v>50.018539262675489</v>
      </c>
      <c r="CV382" s="363">
        <v>50.388524788578557</v>
      </c>
      <c r="CW382" s="363">
        <v>50.76124708551481</v>
      </c>
      <c r="CX382" s="435">
        <v>50.965856377408691</v>
      </c>
      <c r="CY382" s="435">
        <v>51.170465669302573</v>
      </c>
      <c r="CZ382" s="435">
        <v>51.375074961196447</v>
      </c>
      <c r="DA382" s="435">
        <v>51.579684253090328</v>
      </c>
      <c r="DB382" s="363">
        <v>51.784293544984209</v>
      </c>
      <c r="DC382" s="435">
        <v>51.952012688684412</v>
      </c>
      <c r="DD382" s="435">
        <v>52.119731832384616</v>
      </c>
      <c r="DE382" s="435">
        <v>52.28745097608482</v>
      </c>
      <c r="DF382" s="435">
        <v>52.455170119785024</v>
      </c>
      <c r="DG382" s="363">
        <v>52.622889263485227</v>
      </c>
      <c r="DH382" s="362">
        <v>0</v>
      </c>
      <c r="DI382" s="362">
        <v>0</v>
      </c>
      <c r="DJ382" s="362">
        <v>0</v>
      </c>
      <c r="DK382" s="363">
        <v>0</v>
      </c>
      <c r="DL382" s="363">
        <v>0</v>
      </c>
      <c r="DM382" s="363">
        <v>0</v>
      </c>
      <c r="DN382" s="363">
        <v>0</v>
      </c>
      <c r="DO382" s="363">
        <v>0</v>
      </c>
      <c r="DP382" s="363">
        <v>0</v>
      </c>
      <c r="DQ382" s="363">
        <v>0</v>
      </c>
      <c r="DR382" s="363">
        <v>0</v>
      </c>
      <c r="DS382" s="363">
        <v>0</v>
      </c>
      <c r="DT382" s="363">
        <v>0</v>
      </c>
      <c r="DU382" s="363">
        <v>0</v>
      </c>
      <c r="DV382" s="363">
        <v>0</v>
      </c>
      <c r="DW382" s="435">
        <v>0</v>
      </c>
      <c r="DX382" s="435">
        <v>0</v>
      </c>
      <c r="DY382" s="435">
        <v>0</v>
      </c>
      <c r="DZ382" s="435">
        <v>0</v>
      </c>
      <c r="EA382" s="363">
        <v>0</v>
      </c>
      <c r="EB382" s="435">
        <v>0</v>
      </c>
      <c r="EC382" s="435">
        <v>0</v>
      </c>
      <c r="ED382" s="435">
        <v>0</v>
      </c>
      <c r="EE382" s="435">
        <v>0</v>
      </c>
      <c r="EF382" s="363">
        <v>0</v>
      </c>
      <c r="EG382" s="364">
        <v>0</v>
      </c>
      <c r="EH382" s="364">
        <v>0</v>
      </c>
      <c r="EI382" s="364">
        <v>0</v>
      </c>
      <c r="EJ382" s="365">
        <v>0</v>
      </c>
      <c r="EK382" s="365">
        <v>0</v>
      </c>
      <c r="EL382" s="365">
        <v>0</v>
      </c>
      <c r="EM382" s="365">
        <v>0</v>
      </c>
      <c r="EN382" s="365">
        <v>0</v>
      </c>
      <c r="EO382" s="365">
        <v>0</v>
      </c>
      <c r="EP382" s="365">
        <v>0</v>
      </c>
      <c r="EQ382" s="365">
        <v>0</v>
      </c>
      <c r="ER382" s="365">
        <v>0</v>
      </c>
      <c r="ES382" s="365">
        <v>0</v>
      </c>
      <c r="ET382" s="365">
        <v>0</v>
      </c>
      <c r="EU382" s="365">
        <v>0</v>
      </c>
      <c r="EV382" s="436">
        <v>0</v>
      </c>
      <c r="EW382" s="436">
        <v>0</v>
      </c>
      <c r="EX382" s="436">
        <v>0</v>
      </c>
      <c r="EY382" s="436">
        <v>0</v>
      </c>
      <c r="EZ382" s="365">
        <v>0</v>
      </c>
      <c r="FA382" s="436">
        <v>0</v>
      </c>
      <c r="FB382" s="436">
        <v>0</v>
      </c>
      <c r="FC382" s="436">
        <v>0</v>
      </c>
      <c r="FD382" s="436">
        <v>0</v>
      </c>
      <c r="FE382" s="365">
        <v>0</v>
      </c>
      <c r="FF382" s="364">
        <v>0</v>
      </c>
      <c r="FG382" s="364">
        <v>0</v>
      </c>
      <c r="FH382" s="364">
        <v>0</v>
      </c>
      <c r="FI382" s="365">
        <v>0</v>
      </c>
      <c r="FJ382" s="365">
        <v>0</v>
      </c>
      <c r="FK382" s="365">
        <v>0</v>
      </c>
      <c r="FL382" s="365">
        <v>0</v>
      </c>
      <c r="FM382" s="365">
        <v>0</v>
      </c>
      <c r="FN382" s="365">
        <v>0</v>
      </c>
      <c r="FO382" s="365">
        <v>0</v>
      </c>
      <c r="FP382" s="365">
        <v>0</v>
      </c>
      <c r="FQ382" s="365">
        <v>0</v>
      </c>
      <c r="FR382" s="365">
        <v>0</v>
      </c>
      <c r="FS382" s="365">
        <v>0</v>
      </c>
      <c r="FT382" s="365">
        <v>0</v>
      </c>
      <c r="FU382" s="436">
        <v>0</v>
      </c>
      <c r="FV382" s="436">
        <v>0</v>
      </c>
      <c r="FW382" s="436">
        <v>0</v>
      </c>
      <c r="FX382" s="436">
        <v>0</v>
      </c>
      <c r="FY382" s="365">
        <v>0</v>
      </c>
      <c r="FZ382" s="436">
        <v>0</v>
      </c>
      <c r="GA382" s="436">
        <v>0</v>
      </c>
      <c r="GB382" s="436">
        <v>0</v>
      </c>
      <c r="GC382" s="436">
        <v>0</v>
      </c>
      <c r="GD382" s="365">
        <v>0</v>
      </c>
    </row>
    <row r="383" spans="1:186" ht="15" x14ac:dyDescent="0.25">
      <c r="A383" s="357">
        <v>116</v>
      </c>
      <c r="B383" s="357">
        <v>102</v>
      </c>
      <c r="C383" s="357" t="s">
        <v>1293</v>
      </c>
      <c r="D383" s="2">
        <v>99712</v>
      </c>
      <c r="E383" s="268" t="s">
        <v>1527</v>
      </c>
      <c r="F383" s="358" t="s">
        <v>985</v>
      </c>
      <c r="G383" s="49">
        <v>257</v>
      </c>
      <c r="H383" s="49">
        <v>116</v>
      </c>
      <c r="I383" s="49">
        <v>100</v>
      </c>
      <c r="J383" s="49">
        <v>16</v>
      </c>
      <c r="K383" s="49">
        <v>0</v>
      </c>
      <c r="L383" s="49">
        <v>34</v>
      </c>
      <c r="M383" s="49">
        <v>34</v>
      </c>
      <c r="N383" s="49">
        <v>0</v>
      </c>
      <c r="O383" s="49">
        <v>0</v>
      </c>
      <c r="P383" s="49">
        <v>0</v>
      </c>
      <c r="Q383" s="49">
        <v>34</v>
      </c>
      <c r="R383" s="49">
        <v>0</v>
      </c>
      <c r="S383" s="49">
        <v>2770.1176470588234</v>
      </c>
      <c r="T383" s="49">
        <v>2770.1176470588234</v>
      </c>
      <c r="U383" s="49">
        <v>0</v>
      </c>
      <c r="V383" s="49">
        <v>0</v>
      </c>
      <c r="W383" s="49">
        <v>0</v>
      </c>
      <c r="X383" s="49">
        <v>2770.1176470588234</v>
      </c>
      <c r="Y383" s="434">
        <v>94184</v>
      </c>
      <c r="Z383" s="434">
        <v>0</v>
      </c>
      <c r="AA383" s="49">
        <v>0</v>
      </c>
      <c r="AB383" s="49">
        <v>116</v>
      </c>
      <c r="AC383" s="49">
        <v>0</v>
      </c>
      <c r="AD383" s="285">
        <v>0</v>
      </c>
      <c r="AE383" s="285">
        <v>0</v>
      </c>
      <c r="AF383" s="359">
        <v>116</v>
      </c>
      <c r="AG383" s="360">
        <v>0</v>
      </c>
      <c r="AH383" s="360">
        <v>100</v>
      </c>
      <c r="AI383" s="361">
        <v>100</v>
      </c>
      <c r="AJ383" s="360">
        <v>0</v>
      </c>
      <c r="AK383" s="360">
        <v>0</v>
      </c>
      <c r="AL383" s="360">
        <v>105.45725243690563</v>
      </c>
      <c r="AM383" s="360">
        <v>105.45725243690563</v>
      </c>
      <c r="AN383" s="360">
        <v>0</v>
      </c>
      <c r="AO383" s="360">
        <v>0</v>
      </c>
      <c r="AP383" s="360">
        <v>91.24541103879092</v>
      </c>
      <c r="AQ383" s="360">
        <v>91.24541103879092</v>
      </c>
      <c r="AR383" s="360">
        <v>0</v>
      </c>
      <c r="AS383" s="360">
        <v>0</v>
      </c>
      <c r="AT383" s="360">
        <v>0</v>
      </c>
      <c r="AU383" s="360">
        <v>95.872690444321023</v>
      </c>
      <c r="AV383" s="360">
        <v>100.55083549126817</v>
      </c>
      <c r="AW383" s="360">
        <v>105.45725243690563</v>
      </c>
      <c r="AX383" s="360">
        <v>110.60307989690456</v>
      </c>
      <c r="AY383" s="360">
        <v>116</v>
      </c>
      <c r="AZ383" s="360">
        <v>83.257250356379089</v>
      </c>
      <c r="BA383" s="360">
        <v>87.159864792961514</v>
      </c>
      <c r="BB383" s="360">
        <v>91.24541103879092</v>
      </c>
      <c r="BC383" s="360">
        <v>95.52246387043779</v>
      </c>
      <c r="BD383" s="360">
        <v>100</v>
      </c>
      <c r="BE383" s="360">
        <v>0</v>
      </c>
      <c r="BF383" s="360">
        <v>0</v>
      </c>
      <c r="BG383" s="360">
        <v>0</v>
      </c>
      <c r="BH383" s="360">
        <v>0</v>
      </c>
      <c r="BI383" s="360">
        <v>0</v>
      </c>
      <c r="BJ383" s="362">
        <v>117.07403228226508</v>
      </c>
      <c r="BK383" s="362">
        <v>118.15800892093833</v>
      </c>
      <c r="BL383" s="362">
        <v>119.2520219898112</v>
      </c>
      <c r="BM383" s="363">
        <v>118.46799226647818</v>
      </c>
      <c r="BN383" s="363">
        <v>117.68911719458681</v>
      </c>
      <c r="BO383" s="363">
        <v>117.31329774987226</v>
      </c>
      <c r="BP383" s="363">
        <v>116.93867841828961</v>
      </c>
      <c r="BQ383" s="363">
        <v>116.56525536748914</v>
      </c>
      <c r="BR383" s="363">
        <v>116.19302477735914</v>
      </c>
      <c r="BS383" s="363">
        <v>115.8219828399867</v>
      </c>
      <c r="BT383" s="363">
        <v>116.67871432123098</v>
      </c>
      <c r="BU383" s="363">
        <v>117.54178301768223</v>
      </c>
      <c r="BV383" s="363">
        <v>118.41123580551748</v>
      </c>
      <c r="BW383" s="363">
        <v>119.28711990765535</v>
      </c>
      <c r="BX383" s="363">
        <v>120.16948289632077</v>
      </c>
      <c r="BY383" s="435">
        <v>120.65386407713078</v>
      </c>
      <c r="BZ383" s="435">
        <v>121.13824525794077</v>
      </c>
      <c r="CA383" s="435">
        <v>121.62262643875077</v>
      </c>
      <c r="CB383" s="435">
        <v>122.10700761956076</v>
      </c>
      <c r="CC383" s="363">
        <v>122.59138880037077</v>
      </c>
      <c r="CD383" s="435">
        <v>122.9884382017835</v>
      </c>
      <c r="CE383" s="435">
        <v>123.38548760319622</v>
      </c>
      <c r="CF383" s="435">
        <v>123.78253700460894</v>
      </c>
      <c r="CG383" s="435">
        <v>124.17958640602167</v>
      </c>
      <c r="CH383" s="363">
        <v>124.5766358074344</v>
      </c>
      <c r="CI383" s="362">
        <v>100.92588989850438</v>
      </c>
      <c r="CJ383" s="362">
        <v>101.86035251805028</v>
      </c>
      <c r="CK383" s="362">
        <v>102.80346723259586</v>
      </c>
      <c r="CL383" s="363">
        <v>102.1275795400674</v>
      </c>
      <c r="CM383" s="363">
        <v>101.45613551257485</v>
      </c>
      <c r="CN383" s="363">
        <v>101.13215323264851</v>
      </c>
      <c r="CO383" s="363">
        <v>100.80920553300828</v>
      </c>
      <c r="CP383" s="363">
        <v>100.48728910990444</v>
      </c>
      <c r="CQ383" s="363">
        <v>100.16640067013719</v>
      </c>
      <c r="CR383" s="363">
        <v>99.846536931023024</v>
      </c>
      <c r="CS383" s="363">
        <v>100.58509855278534</v>
      </c>
      <c r="CT383" s="363">
        <v>101.32912329110538</v>
      </c>
      <c r="CU383" s="363">
        <v>102.07865155648058</v>
      </c>
      <c r="CV383" s="363">
        <v>102.83372405832358</v>
      </c>
      <c r="CW383" s="363">
        <v>103.59438180717309</v>
      </c>
      <c r="CX383" s="435">
        <v>104.01195179062999</v>
      </c>
      <c r="CY383" s="435">
        <v>104.42952177408688</v>
      </c>
      <c r="CZ383" s="435">
        <v>104.84709175754378</v>
      </c>
      <c r="DA383" s="435">
        <v>105.26466174100067</v>
      </c>
      <c r="DB383" s="363">
        <v>105.68223172445757</v>
      </c>
      <c r="DC383" s="435">
        <v>106.02451569119268</v>
      </c>
      <c r="DD383" s="435">
        <v>106.36679965792779</v>
      </c>
      <c r="DE383" s="435">
        <v>106.7090836246629</v>
      </c>
      <c r="DF383" s="435">
        <v>107.05136759139801</v>
      </c>
      <c r="DG383" s="363">
        <v>107.39365155813312</v>
      </c>
      <c r="DH383" s="362">
        <v>0</v>
      </c>
      <c r="DI383" s="362">
        <v>0</v>
      </c>
      <c r="DJ383" s="362">
        <v>0</v>
      </c>
      <c r="DK383" s="363">
        <v>0</v>
      </c>
      <c r="DL383" s="363">
        <v>0</v>
      </c>
      <c r="DM383" s="363">
        <v>0</v>
      </c>
      <c r="DN383" s="363">
        <v>0</v>
      </c>
      <c r="DO383" s="363">
        <v>0</v>
      </c>
      <c r="DP383" s="363">
        <v>0</v>
      </c>
      <c r="DQ383" s="363">
        <v>0</v>
      </c>
      <c r="DR383" s="363">
        <v>0</v>
      </c>
      <c r="DS383" s="363">
        <v>0</v>
      </c>
      <c r="DT383" s="363">
        <v>0</v>
      </c>
      <c r="DU383" s="363">
        <v>0</v>
      </c>
      <c r="DV383" s="363">
        <v>0</v>
      </c>
      <c r="DW383" s="435">
        <v>0</v>
      </c>
      <c r="DX383" s="435">
        <v>0</v>
      </c>
      <c r="DY383" s="435">
        <v>0</v>
      </c>
      <c r="DZ383" s="435">
        <v>0</v>
      </c>
      <c r="EA383" s="363">
        <v>0</v>
      </c>
      <c r="EB383" s="435">
        <v>0</v>
      </c>
      <c r="EC383" s="435">
        <v>0</v>
      </c>
      <c r="ED383" s="435">
        <v>0</v>
      </c>
      <c r="EE383" s="435">
        <v>0</v>
      </c>
      <c r="EF383" s="363">
        <v>0</v>
      </c>
      <c r="EG383" s="364">
        <v>0</v>
      </c>
      <c r="EH383" s="364">
        <v>0</v>
      </c>
      <c r="EI383" s="364">
        <v>0</v>
      </c>
      <c r="EJ383" s="365">
        <v>0</v>
      </c>
      <c r="EK383" s="365">
        <v>0</v>
      </c>
      <c r="EL383" s="365">
        <v>0</v>
      </c>
      <c r="EM383" s="365">
        <v>0</v>
      </c>
      <c r="EN383" s="365">
        <v>0</v>
      </c>
      <c r="EO383" s="365">
        <v>0</v>
      </c>
      <c r="EP383" s="365">
        <v>0</v>
      </c>
      <c r="EQ383" s="365">
        <v>0</v>
      </c>
      <c r="ER383" s="365">
        <v>0</v>
      </c>
      <c r="ES383" s="365">
        <v>0</v>
      </c>
      <c r="ET383" s="365">
        <v>0</v>
      </c>
      <c r="EU383" s="365">
        <v>0</v>
      </c>
      <c r="EV383" s="436">
        <v>0</v>
      </c>
      <c r="EW383" s="436">
        <v>0</v>
      </c>
      <c r="EX383" s="436">
        <v>0</v>
      </c>
      <c r="EY383" s="436">
        <v>0</v>
      </c>
      <c r="EZ383" s="365">
        <v>0</v>
      </c>
      <c r="FA383" s="436">
        <v>0</v>
      </c>
      <c r="FB383" s="436">
        <v>0</v>
      </c>
      <c r="FC383" s="436">
        <v>0</v>
      </c>
      <c r="FD383" s="436">
        <v>0</v>
      </c>
      <c r="FE383" s="365">
        <v>0</v>
      </c>
      <c r="FF383" s="364">
        <v>0</v>
      </c>
      <c r="FG383" s="364">
        <v>0</v>
      </c>
      <c r="FH383" s="364">
        <v>0</v>
      </c>
      <c r="FI383" s="365">
        <v>0</v>
      </c>
      <c r="FJ383" s="365">
        <v>0</v>
      </c>
      <c r="FK383" s="365">
        <v>0</v>
      </c>
      <c r="FL383" s="365">
        <v>0</v>
      </c>
      <c r="FM383" s="365">
        <v>0</v>
      </c>
      <c r="FN383" s="365">
        <v>0</v>
      </c>
      <c r="FO383" s="365">
        <v>0</v>
      </c>
      <c r="FP383" s="365">
        <v>0</v>
      </c>
      <c r="FQ383" s="365">
        <v>0</v>
      </c>
      <c r="FR383" s="365">
        <v>0</v>
      </c>
      <c r="FS383" s="365">
        <v>0</v>
      </c>
      <c r="FT383" s="365">
        <v>0</v>
      </c>
      <c r="FU383" s="436">
        <v>0</v>
      </c>
      <c r="FV383" s="436">
        <v>0</v>
      </c>
      <c r="FW383" s="436">
        <v>0</v>
      </c>
      <c r="FX383" s="436">
        <v>0</v>
      </c>
      <c r="FY383" s="365">
        <v>0</v>
      </c>
      <c r="FZ383" s="436">
        <v>0</v>
      </c>
      <c r="GA383" s="436">
        <v>0</v>
      </c>
      <c r="GB383" s="436">
        <v>0</v>
      </c>
      <c r="GC383" s="436">
        <v>0</v>
      </c>
      <c r="GD383" s="365">
        <v>0</v>
      </c>
    </row>
    <row r="384" spans="1:186" ht="15" x14ac:dyDescent="0.25">
      <c r="A384" s="357">
        <v>91</v>
      </c>
      <c r="B384" s="357">
        <v>103</v>
      </c>
      <c r="C384" s="357" t="s">
        <v>1294</v>
      </c>
      <c r="D384" s="2">
        <v>99709</v>
      </c>
      <c r="E384" s="268" t="s">
        <v>19</v>
      </c>
      <c r="F384" s="358" t="s">
        <v>915</v>
      </c>
      <c r="G384" s="49">
        <v>14</v>
      </c>
      <c r="H384" s="49">
        <v>9</v>
      </c>
      <c r="I384" s="49">
        <v>7</v>
      </c>
      <c r="J384" s="49">
        <v>2</v>
      </c>
      <c r="K384" s="49">
        <v>0</v>
      </c>
      <c r="L384" s="49">
        <v>11</v>
      </c>
      <c r="M384" s="49">
        <v>11</v>
      </c>
      <c r="N384" s="49">
        <v>0</v>
      </c>
      <c r="O384" s="49">
        <v>0</v>
      </c>
      <c r="P384" s="49">
        <v>0</v>
      </c>
      <c r="Q384" s="49">
        <v>11</v>
      </c>
      <c r="R384" s="49">
        <v>0</v>
      </c>
      <c r="S384" s="49">
        <v>1114.3636363636363</v>
      </c>
      <c r="T384" s="49">
        <v>1114.3636363636363</v>
      </c>
      <c r="U384" s="49">
        <v>0</v>
      </c>
      <c r="V384" s="49">
        <v>0</v>
      </c>
      <c r="W384" s="49">
        <v>0</v>
      </c>
      <c r="X384" s="49">
        <v>1114.3636363636363</v>
      </c>
      <c r="Y384" s="434">
        <v>12257.999999999998</v>
      </c>
      <c r="Z384" s="434">
        <v>0</v>
      </c>
      <c r="AA384" s="49">
        <v>0</v>
      </c>
      <c r="AB384" s="49">
        <v>9</v>
      </c>
      <c r="AC384" s="49">
        <v>0</v>
      </c>
      <c r="AD384" s="285">
        <v>0</v>
      </c>
      <c r="AE384" s="285">
        <v>0</v>
      </c>
      <c r="AF384" s="359">
        <v>9</v>
      </c>
      <c r="AG384" s="360">
        <v>0</v>
      </c>
      <c r="AH384" s="360">
        <v>7</v>
      </c>
      <c r="AI384" s="361">
        <v>7</v>
      </c>
      <c r="AJ384" s="360">
        <v>0</v>
      </c>
      <c r="AK384" s="360">
        <v>0</v>
      </c>
      <c r="AL384" s="360">
        <v>8.569425555069655</v>
      </c>
      <c r="AM384" s="360">
        <v>8.569425555069655</v>
      </c>
      <c r="AN384" s="360">
        <v>0</v>
      </c>
      <c r="AO384" s="360">
        <v>0</v>
      </c>
      <c r="AP384" s="360">
        <v>6.6776824022858339</v>
      </c>
      <c r="AQ384" s="360">
        <v>6.6776824022858339</v>
      </c>
      <c r="AR384" s="360">
        <v>0</v>
      </c>
      <c r="AS384" s="360">
        <v>0</v>
      </c>
      <c r="AT384" s="360">
        <v>0</v>
      </c>
      <c r="AU384" s="360">
        <v>8.159450482653428</v>
      </c>
      <c r="AV384" s="360">
        <v>8.3619258237188223</v>
      </c>
      <c r="AW384" s="360">
        <v>8.569425555069655</v>
      </c>
      <c r="AX384" s="360">
        <v>8.7820743560748156</v>
      </c>
      <c r="AY384" s="360">
        <v>9</v>
      </c>
      <c r="AZ384" s="360">
        <v>6.3702060379711298</v>
      </c>
      <c r="BA384" s="360">
        <v>6.5221325315187197</v>
      </c>
      <c r="BB384" s="360">
        <v>6.6776824022858339</v>
      </c>
      <c r="BC384" s="360">
        <v>6.8369420661580014</v>
      </c>
      <c r="BD384" s="360">
        <v>7</v>
      </c>
      <c r="BE384" s="360">
        <v>0</v>
      </c>
      <c r="BF384" s="360">
        <v>0</v>
      </c>
      <c r="BG384" s="360">
        <v>0</v>
      </c>
      <c r="BH384" s="360">
        <v>0</v>
      </c>
      <c r="BI384" s="360">
        <v>0</v>
      </c>
      <c r="BJ384" s="362">
        <v>9.0461036611005561</v>
      </c>
      <c r="BK384" s="362">
        <v>9.0924434941529881</v>
      </c>
      <c r="BL384" s="362">
        <v>9.1390207089785882</v>
      </c>
      <c r="BM384" s="363">
        <v>9.0789356575183504</v>
      </c>
      <c r="BN384" s="363">
        <v>9.0192456389094371</v>
      </c>
      <c r="BO384" s="363">
        <v>8.9904442682427277</v>
      </c>
      <c r="BP384" s="363">
        <v>8.9617348696749612</v>
      </c>
      <c r="BQ384" s="363">
        <v>8.933117149509453</v>
      </c>
      <c r="BR384" s="363">
        <v>8.9045908149873938</v>
      </c>
      <c r="BS384" s="363">
        <v>8.8761555742848408</v>
      </c>
      <c r="BT384" s="363">
        <v>8.9418122115349359</v>
      </c>
      <c r="BU384" s="363">
        <v>9.0079545088186919</v>
      </c>
      <c r="BV384" s="363">
        <v>9.0745860585477551</v>
      </c>
      <c r="BW384" s="363">
        <v>9.1417104797067292</v>
      </c>
      <c r="BX384" s="363">
        <v>9.2093314180497163</v>
      </c>
      <c r="BY384" s="435">
        <v>9.2464525466360339</v>
      </c>
      <c r="BZ384" s="435">
        <v>9.2835736752223497</v>
      </c>
      <c r="CA384" s="435">
        <v>9.3206948038086672</v>
      </c>
      <c r="CB384" s="435">
        <v>9.357815932394983</v>
      </c>
      <c r="CC384" s="363">
        <v>9.3949370609813005</v>
      </c>
      <c r="CD384" s="435">
        <v>9.4253654146599359</v>
      </c>
      <c r="CE384" s="435">
        <v>9.4557937683385731</v>
      </c>
      <c r="CF384" s="435">
        <v>9.4862221220172085</v>
      </c>
      <c r="CG384" s="435">
        <v>9.5166504756958457</v>
      </c>
      <c r="CH384" s="363">
        <v>9.547078829374481</v>
      </c>
      <c r="CI384" s="362">
        <v>7.035858403078211</v>
      </c>
      <c r="CJ384" s="362">
        <v>7.0719004954523248</v>
      </c>
      <c r="CK384" s="362">
        <v>7.1081272180944568</v>
      </c>
      <c r="CL384" s="363">
        <v>7.0613944002920501</v>
      </c>
      <c r="CM384" s="363">
        <v>7.0149688302628945</v>
      </c>
      <c r="CN384" s="363">
        <v>6.992567764188788</v>
      </c>
      <c r="CO384" s="363">
        <v>6.9702382319694136</v>
      </c>
      <c r="CP384" s="363">
        <v>6.9479800051740188</v>
      </c>
      <c r="CQ384" s="363">
        <v>6.9257928561013049</v>
      </c>
      <c r="CR384" s="363">
        <v>6.9036765577770982</v>
      </c>
      <c r="CS384" s="363">
        <v>6.9547428311938386</v>
      </c>
      <c r="CT384" s="363">
        <v>7.0061868401923153</v>
      </c>
      <c r="CU384" s="363">
        <v>7.0580113788704759</v>
      </c>
      <c r="CV384" s="363">
        <v>7.1102192619941214</v>
      </c>
      <c r="CW384" s="363">
        <v>7.1628133251497781</v>
      </c>
      <c r="CX384" s="435">
        <v>7.1916853140502468</v>
      </c>
      <c r="CY384" s="435">
        <v>7.2205573029507155</v>
      </c>
      <c r="CZ384" s="435">
        <v>7.2494292918511842</v>
      </c>
      <c r="DA384" s="435">
        <v>7.2783012807516529</v>
      </c>
      <c r="DB384" s="363">
        <v>7.3071732696521217</v>
      </c>
      <c r="DC384" s="435">
        <v>7.3308397669577277</v>
      </c>
      <c r="DD384" s="435">
        <v>7.3545062642633336</v>
      </c>
      <c r="DE384" s="435">
        <v>7.3781727615689388</v>
      </c>
      <c r="DF384" s="435">
        <v>7.4018392588745447</v>
      </c>
      <c r="DG384" s="363">
        <v>7.4255057561801507</v>
      </c>
      <c r="DH384" s="362">
        <v>0</v>
      </c>
      <c r="DI384" s="362">
        <v>0</v>
      </c>
      <c r="DJ384" s="362">
        <v>0</v>
      </c>
      <c r="DK384" s="363">
        <v>0</v>
      </c>
      <c r="DL384" s="363">
        <v>0</v>
      </c>
      <c r="DM384" s="363">
        <v>0</v>
      </c>
      <c r="DN384" s="363">
        <v>0</v>
      </c>
      <c r="DO384" s="363">
        <v>0</v>
      </c>
      <c r="DP384" s="363">
        <v>0</v>
      </c>
      <c r="DQ384" s="363">
        <v>0</v>
      </c>
      <c r="DR384" s="363">
        <v>0</v>
      </c>
      <c r="DS384" s="363">
        <v>0</v>
      </c>
      <c r="DT384" s="363">
        <v>0</v>
      </c>
      <c r="DU384" s="363">
        <v>0</v>
      </c>
      <c r="DV384" s="363">
        <v>0</v>
      </c>
      <c r="DW384" s="435">
        <v>0</v>
      </c>
      <c r="DX384" s="435">
        <v>0</v>
      </c>
      <c r="DY384" s="435">
        <v>0</v>
      </c>
      <c r="DZ384" s="435">
        <v>0</v>
      </c>
      <c r="EA384" s="363">
        <v>0</v>
      </c>
      <c r="EB384" s="435">
        <v>0</v>
      </c>
      <c r="EC384" s="435">
        <v>0</v>
      </c>
      <c r="ED384" s="435">
        <v>0</v>
      </c>
      <c r="EE384" s="435">
        <v>0</v>
      </c>
      <c r="EF384" s="363">
        <v>0</v>
      </c>
      <c r="EG384" s="364">
        <v>0</v>
      </c>
      <c r="EH384" s="364">
        <v>0</v>
      </c>
      <c r="EI384" s="364">
        <v>0</v>
      </c>
      <c r="EJ384" s="365">
        <v>0</v>
      </c>
      <c r="EK384" s="365">
        <v>0</v>
      </c>
      <c r="EL384" s="365">
        <v>0</v>
      </c>
      <c r="EM384" s="365">
        <v>0</v>
      </c>
      <c r="EN384" s="365">
        <v>0</v>
      </c>
      <c r="EO384" s="365">
        <v>0</v>
      </c>
      <c r="EP384" s="365">
        <v>0</v>
      </c>
      <c r="EQ384" s="365">
        <v>0</v>
      </c>
      <c r="ER384" s="365">
        <v>0</v>
      </c>
      <c r="ES384" s="365">
        <v>0</v>
      </c>
      <c r="ET384" s="365">
        <v>0</v>
      </c>
      <c r="EU384" s="365">
        <v>0</v>
      </c>
      <c r="EV384" s="436">
        <v>0</v>
      </c>
      <c r="EW384" s="436">
        <v>0</v>
      </c>
      <c r="EX384" s="436">
        <v>0</v>
      </c>
      <c r="EY384" s="436">
        <v>0</v>
      </c>
      <c r="EZ384" s="365">
        <v>0</v>
      </c>
      <c r="FA384" s="436">
        <v>0</v>
      </c>
      <c r="FB384" s="436">
        <v>0</v>
      </c>
      <c r="FC384" s="436">
        <v>0</v>
      </c>
      <c r="FD384" s="436">
        <v>0</v>
      </c>
      <c r="FE384" s="365">
        <v>0</v>
      </c>
      <c r="FF384" s="364">
        <v>0</v>
      </c>
      <c r="FG384" s="364">
        <v>0</v>
      </c>
      <c r="FH384" s="364">
        <v>0</v>
      </c>
      <c r="FI384" s="365">
        <v>0</v>
      </c>
      <c r="FJ384" s="365">
        <v>0</v>
      </c>
      <c r="FK384" s="365">
        <v>0</v>
      </c>
      <c r="FL384" s="365">
        <v>0</v>
      </c>
      <c r="FM384" s="365">
        <v>0</v>
      </c>
      <c r="FN384" s="365">
        <v>0</v>
      </c>
      <c r="FO384" s="365">
        <v>0</v>
      </c>
      <c r="FP384" s="365">
        <v>0</v>
      </c>
      <c r="FQ384" s="365">
        <v>0</v>
      </c>
      <c r="FR384" s="365">
        <v>0</v>
      </c>
      <c r="FS384" s="365">
        <v>0</v>
      </c>
      <c r="FT384" s="365">
        <v>0</v>
      </c>
      <c r="FU384" s="436">
        <v>0</v>
      </c>
      <c r="FV384" s="436">
        <v>0</v>
      </c>
      <c r="FW384" s="436">
        <v>0</v>
      </c>
      <c r="FX384" s="436">
        <v>0</v>
      </c>
      <c r="FY384" s="365">
        <v>0</v>
      </c>
      <c r="FZ384" s="436">
        <v>0</v>
      </c>
      <c r="GA384" s="436">
        <v>0</v>
      </c>
      <c r="GB384" s="436">
        <v>0</v>
      </c>
      <c r="GC384" s="436">
        <v>0</v>
      </c>
      <c r="GD384" s="365">
        <v>0</v>
      </c>
    </row>
    <row r="385" spans="1:186" ht="15" x14ac:dyDescent="0.25">
      <c r="A385" s="357">
        <v>92</v>
      </c>
      <c r="B385" s="357">
        <v>103</v>
      </c>
      <c r="C385" s="357" t="s">
        <v>1295</v>
      </c>
      <c r="D385" s="2">
        <v>99709</v>
      </c>
      <c r="E385" s="268" t="s">
        <v>19</v>
      </c>
      <c r="F385" s="358" t="s">
        <v>915</v>
      </c>
      <c r="G385" s="49">
        <v>34</v>
      </c>
      <c r="H385" s="49">
        <v>16</v>
      </c>
      <c r="I385" s="49">
        <v>13</v>
      </c>
      <c r="J385" s="49">
        <v>3</v>
      </c>
      <c r="K385" s="49">
        <v>0</v>
      </c>
      <c r="L385" s="49">
        <v>15</v>
      </c>
      <c r="M385" s="49">
        <v>15</v>
      </c>
      <c r="N385" s="49">
        <v>0</v>
      </c>
      <c r="O385" s="49">
        <v>0</v>
      </c>
      <c r="P385" s="49">
        <v>0</v>
      </c>
      <c r="Q385" s="49">
        <v>15</v>
      </c>
      <c r="R385" s="49">
        <v>0</v>
      </c>
      <c r="S385" s="49">
        <v>1211</v>
      </c>
      <c r="T385" s="49">
        <v>1211</v>
      </c>
      <c r="U385" s="49">
        <v>0</v>
      </c>
      <c r="V385" s="49">
        <v>0</v>
      </c>
      <c r="W385" s="49">
        <v>0</v>
      </c>
      <c r="X385" s="49">
        <v>1211</v>
      </c>
      <c r="Y385" s="434">
        <v>18165</v>
      </c>
      <c r="Z385" s="434">
        <v>0</v>
      </c>
      <c r="AA385" s="49">
        <v>0</v>
      </c>
      <c r="AB385" s="49">
        <v>16</v>
      </c>
      <c r="AC385" s="49">
        <v>0</v>
      </c>
      <c r="AD385" s="285">
        <v>0</v>
      </c>
      <c r="AE385" s="285">
        <v>0</v>
      </c>
      <c r="AF385" s="359">
        <v>16</v>
      </c>
      <c r="AG385" s="360">
        <v>0</v>
      </c>
      <c r="AH385" s="360">
        <v>13</v>
      </c>
      <c r="AI385" s="361">
        <v>13</v>
      </c>
      <c r="AJ385" s="360">
        <v>0</v>
      </c>
      <c r="AK385" s="360">
        <v>0</v>
      </c>
      <c r="AL385" s="360">
        <v>15.23453432012383</v>
      </c>
      <c r="AM385" s="360">
        <v>15.23453432012383</v>
      </c>
      <c r="AN385" s="360">
        <v>0</v>
      </c>
      <c r="AO385" s="360">
        <v>0</v>
      </c>
      <c r="AP385" s="360">
        <v>12.401410175673693</v>
      </c>
      <c r="AQ385" s="360">
        <v>12.401410175673693</v>
      </c>
      <c r="AR385" s="360">
        <v>0</v>
      </c>
      <c r="AS385" s="360">
        <v>0</v>
      </c>
      <c r="AT385" s="360">
        <v>0</v>
      </c>
      <c r="AU385" s="360">
        <v>14.505689746939428</v>
      </c>
      <c r="AV385" s="360">
        <v>14.865645908833462</v>
      </c>
      <c r="AW385" s="360">
        <v>15.23453432012383</v>
      </c>
      <c r="AX385" s="360">
        <v>15.612576633021893</v>
      </c>
      <c r="AY385" s="360">
        <v>16</v>
      </c>
      <c r="AZ385" s="360">
        <v>11.830382641946384</v>
      </c>
      <c r="BA385" s="360">
        <v>12.112531844249052</v>
      </c>
      <c r="BB385" s="360">
        <v>12.401410175673693</v>
      </c>
      <c r="BC385" s="360">
        <v>12.697178122864859</v>
      </c>
      <c r="BD385" s="360">
        <v>13</v>
      </c>
      <c r="BE385" s="360">
        <v>0</v>
      </c>
      <c r="BF385" s="360">
        <v>0</v>
      </c>
      <c r="BG385" s="360">
        <v>0</v>
      </c>
      <c r="BH385" s="360">
        <v>0</v>
      </c>
      <c r="BI385" s="360">
        <v>0</v>
      </c>
      <c r="BJ385" s="362">
        <v>16.081962064178768</v>
      </c>
      <c r="BK385" s="362">
        <v>16.164343989605314</v>
      </c>
      <c r="BL385" s="362">
        <v>16.247147927073044</v>
      </c>
      <c r="BM385" s="363">
        <v>16.140330057810399</v>
      </c>
      <c r="BN385" s="363">
        <v>16.03421446917233</v>
      </c>
      <c r="BO385" s="363">
        <v>15.983012032431514</v>
      </c>
      <c r="BP385" s="363">
        <v>15.931973101644374</v>
      </c>
      <c r="BQ385" s="363">
        <v>15.881097154683472</v>
      </c>
      <c r="BR385" s="363">
        <v>15.830383671088697</v>
      </c>
      <c r="BS385" s="363">
        <v>15.779832132061939</v>
      </c>
      <c r="BT385" s="363">
        <v>15.896555042728775</v>
      </c>
      <c r="BU385" s="363">
        <v>16.014141349011009</v>
      </c>
      <c r="BV385" s="363">
        <v>16.13259743741823</v>
      </c>
      <c r="BW385" s="363">
        <v>16.251929741700849</v>
      </c>
      <c r="BX385" s="363">
        <v>16.372144743199492</v>
      </c>
      <c r="BY385" s="435">
        <v>16.438137860686279</v>
      </c>
      <c r="BZ385" s="435">
        <v>16.504130978173063</v>
      </c>
      <c r="CA385" s="435">
        <v>16.57012409565985</v>
      </c>
      <c r="CB385" s="435">
        <v>16.636117213146633</v>
      </c>
      <c r="CC385" s="363">
        <v>16.70211033063342</v>
      </c>
      <c r="CD385" s="435">
        <v>16.756205181617663</v>
      </c>
      <c r="CE385" s="435">
        <v>16.810300032601905</v>
      </c>
      <c r="CF385" s="435">
        <v>16.864394883586147</v>
      </c>
      <c r="CG385" s="435">
        <v>16.91848973457039</v>
      </c>
      <c r="CH385" s="363">
        <v>16.972584585554632</v>
      </c>
      <c r="CI385" s="362">
        <v>13.066594177145248</v>
      </c>
      <c r="CJ385" s="362">
        <v>13.133529491554317</v>
      </c>
      <c r="CK385" s="362">
        <v>13.200807690746849</v>
      </c>
      <c r="CL385" s="363">
        <v>13.114018171970951</v>
      </c>
      <c r="CM385" s="363">
        <v>13.02779925620252</v>
      </c>
      <c r="CN385" s="363">
        <v>12.986197276350607</v>
      </c>
      <c r="CO385" s="363">
        <v>12.944728145086055</v>
      </c>
      <c r="CP385" s="363">
        <v>12.903391438180321</v>
      </c>
      <c r="CQ385" s="363">
        <v>12.862186732759568</v>
      </c>
      <c r="CR385" s="363">
        <v>12.821113607300326</v>
      </c>
      <c r="CS385" s="363">
        <v>12.91595097221713</v>
      </c>
      <c r="CT385" s="363">
        <v>13.011489846071445</v>
      </c>
      <c r="CU385" s="363">
        <v>13.107735417902314</v>
      </c>
      <c r="CV385" s="363">
        <v>13.204692915131941</v>
      </c>
      <c r="CW385" s="363">
        <v>13.302367603849589</v>
      </c>
      <c r="CX385" s="435">
        <v>13.355987011807603</v>
      </c>
      <c r="CY385" s="435">
        <v>13.409606419765616</v>
      </c>
      <c r="CZ385" s="435">
        <v>13.46322582772363</v>
      </c>
      <c r="DA385" s="435">
        <v>13.516845235681643</v>
      </c>
      <c r="DB385" s="363">
        <v>13.570464643639657</v>
      </c>
      <c r="DC385" s="435">
        <v>13.614416710064353</v>
      </c>
      <c r="DD385" s="435">
        <v>13.658368776489048</v>
      </c>
      <c r="DE385" s="435">
        <v>13.702320842913746</v>
      </c>
      <c r="DF385" s="435">
        <v>13.746272909338442</v>
      </c>
      <c r="DG385" s="363">
        <v>13.790224975763138</v>
      </c>
      <c r="DH385" s="362">
        <v>0</v>
      </c>
      <c r="DI385" s="362">
        <v>0</v>
      </c>
      <c r="DJ385" s="362">
        <v>0</v>
      </c>
      <c r="DK385" s="363">
        <v>0</v>
      </c>
      <c r="DL385" s="363">
        <v>0</v>
      </c>
      <c r="DM385" s="363">
        <v>0</v>
      </c>
      <c r="DN385" s="363">
        <v>0</v>
      </c>
      <c r="DO385" s="363">
        <v>0</v>
      </c>
      <c r="DP385" s="363">
        <v>0</v>
      </c>
      <c r="DQ385" s="363">
        <v>0</v>
      </c>
      <c r="DR385" s="363">
        <v>0</v>
      </c>
      <c r="DS385" s="363">
        <v>0</v>
      </c>
      <c r="DT385" s="363">
        <v>0</v>
      </c>
      <c r="DU385" s="363">
        <v>0</v>
      </c>
      <c r="DV385" s="363">
        <v>0</v>
      </c>
      <c r="DW385" s="435">
        <v>0</v>
      </c>
      <c r="DX385" s="435">
        <v>0</v>
      </c>
      <c r="DY385" s="435">
        <v>0</v>
      </c>
      <c r="DZ385" s="435">
        <v>0</v>
      </c>
      <c r="EA385" s="363">
        <v>0</v>
      </c>
      <c r="EB385" s="435">
        <v>0</v>
      </c>
      <c r="EC385" s="435">
        <v>0</v>
      </c>
      <c r="ED385" s="435">
        <v>0</v>
      </c>
      <c r="EE385" s="435">
        <v>0</v>
      </c>
      <c r="EF385" s="363">
        <v>0</v>
      </c>
      <c r="EG385" s="364">
        <v>0</v>
      </c>
      <c r="EH385" s="364">
        <v>0</v>
      </c>
      <c r="EI385" s="364">
        <v>0</v>
      </c>
      <c r="EJ385" s="365">
        <v>0</v>
      </c>
      <c r="EK385" s="365">
        <v>0</v>
      </c>
      <c r="EL385" s="365">
        <v>0</v>
      </c>
      <c r="EM385" s="365">
        <v>0</v>
      </c>
      <c r="EN385" s="365">
        <v>0</v>
      </c>
      <c r="EO385" s="365">
        <v>0</v>
      </c>
      <c r="EP385" s="365">
        <v>0</v>
      </c>
      <c r="EQ385" s="365">
        <v>0</v>
      </c>
      <c r="ER385" s="365">
        <v>0</v>
      </c>
      <c r="ES385" s="365">
        <v>0</v>
      </c>
      <c r="ET385" s="365">
        <v>0</v>
      </c>
      <c r="EU385" s="365">
        <v>0</v>
      </c>
      <c r="EV385" s="436">
        <v>0</v>
      </c>
      <c r="EW385" s="436">
        <v>0</v>
      </c>
      <c r="EX385" s="436">
        <v>0</v>
      </c>
      <c r="EY385" s="436">
        <v>0</v>
      </c>
      <c r="EZ385" s="365">
        <v>0</v>
      </c>
      <c r="FA385" s="436">
        <v>0</v>
      </c>
      <c r="FB385" s="436">
        <v>0</v>
      </c>
      <c r="FC385" s="436">
        <v>0</v>
      </c>
      <c r="FD385" s="436">
        <v>0</v>
      </c>
      <c r="FE385" s="365">
        <v>0</v>
      </c>
      <c r="FF385" s="364">
        <v>0</v>
      </c>
      <c r="FG385" s="364">
        <v>0</v>
      </c>
      <c r="FH385" s="364">
        <v>0</v>
      </c>
      <c r="FI385" s="365">
        <v>0</v>
      </c>
      <c r="FJ385" s="365">
        <v>0</v>
      </c>
      <c r="FK385" s="365">
        <v>0</v>
      </c>
      <c r="FL385" s="365">
        <v>0</v>
      </c>
      <c r="FM385" s="365">
        <v>0</v>
      </c>
      <c r="FN385" s="365">
        <v>0</v>
      </c>
      <c r="FO385" s="365">
        <v>0</v>
      </c>
      <c r="FP385" s="365">
        <v>0</v>
      </c>
      <c r="FQ385" s="365">
        <v>0</v>
      </c>
      <c r="FR385" s="365">
        <v>0</v>
      </c>
      <c r="FS385" s="365">
        <v>0</v>
      </c>
      <c r="FT385" s="365">
        <v>0</v>
      </c>
      <c r="FU385" s="436">
        <v>0</v>
      </c>
      <c r="FV385" s="436">
        <v>0</v>
      </c>
      <c r="FW385" s="436">
        <v>0</v>
      </c>
      <c r="FX385" s="436">
        <v>0</v>
      </c>
      <c r="FY385" s="365">
        <v>0</v>
      </c>
      <c r="FZ385" s="436">
        <v>0</v>
      </c>
      <c r="GA385" s="436">
        <v>0</v>
      </c>
      <c r="GB385" s="436">
        <v>0</v>
      </c>
      <c r="GC385" s="436">
        <v>0</v>
      </c>
      <c r="GD385" s="365">
        <v>0</v>
      </c>
    </row>
    <row r="386" spans="1:186" ht="15" x14ac:dyDescent="0.25">
      <c r="A386" s="357">
        <v>101</v>
      </c>
      <c r="B386" s="357">
        <v>103</v>
      </c>
      <c r="C386" s="357" t="s">
        <v>1296</v>
      </c>
      <c r="D386" s="2">
        <v>99709</v>
      </c>
      <c r="E386" s="268" t="s">
        <v>1527</v>
      </c>
      <c r="F386" s="358" t="s">
        <v>985</v>
      </c>
      <c r="G386" s="49">
        <v>632</v>
      </c>
      <c r="H386" s="49">
        <v>325</v>
      </c>
      <c r="I386" s="49">
        <v>271</v>
      </c>
      <c r="J386" s="49">
        <v>54</v>
      </c>
      <c r="K386" s="49">
        <v>0</v>
      </c>
      <c r="L386" s="49">
        <v>0</v>
      </c>
      <c r="M386" s="49">
        <v>0</v>
      </c>
      <c r="N386" s="49">
        <v>0</v>
      </c>
      <c r="O386" s="49">
        <v>0</v>
      </c>
      <c r="P386" s="49">
        <v>0</v>
      </c>
      <c r="Q386" s="49">
        <v>0</v>
      </c>
      <c r="R386" s="49">
        <v>0</v>
      </c>
      <c r="S386" s="49">
        <v>834.49503068156923</v>
      </c>
      <c r="T386" s="49">
        <v>834.49503068156923</v>
      </c>
      <c r="U386" s="49">
        <v>1408.3846153846155</v>
      </c>
      <c r="V386" s="49">
        <v>0</v>
      </c>
      <c r="W386" s="49">
        <v>0</v>
      </c>
      <c r="X386" s="49">
        <v>1365.173957061457</v>
      </c>
      <c r="Y386" s="434">
        <v>0</v>
      </c>
      <c r="Z386" s="434">
        <v>0</v>
      </c>
      <c r="AA386" s="49">
        <v>7.4465090090090094</v>
      </c>
      <c r="AB386" s="49">
        <v>317.13119369369372</v>
      </c>
      <c r="AC386" s="49">
        <v>0.42229729729729731</v>
      </c>
      <c r="AD386" s="285">
        <v>0</v>
      </c>
      <c r="AE386" s="285">
        <v>0</v>
      </c>
      <c r="AF386" s="359">
        <v>325</v>
      </c>
      <c r="AG386" s="360">
        <v>6.2092428967428974</v>
      </c>
      <c r="AH386" s="360">
        <v>264.43862612612611</v>
      </c>
      <c r="AI386" s="361">
        <v>270.64786902286903</v>
      </c>
      <c r="AJ386" s="360">
        <v>0.35213097713097719</v>
      </c>
      <c r="AK386" s="360">
        <v>7.0902560664286902</v>
      </c>
      <c r="AL386" s="360">
        <v>301.95912839427592</v>
      </c>
      <c r="AM386" s="360">
        <v>309.04938446070463</v>
      </c>
      <c r="AN386" s="360">
        <v>0.40209391681070078</v>
      </c>
      <c r="AO386" s="360">
        <v>5.9233360032997657</v>
      </c>
      <c r="AP386" s="360">
        <v>252.26245145243934</v>
      </c>
      <c r="AQ386" s="360">
        <v>258.1857874557391</v>
      </c>
      <c r="AR386" s="360">
        <v>0.33591697561246314</v>
      </c>
      <c r="AS386" s="360">
        <v>0</v>
      </c>
      <c r="AT386" s="360">
        <v>0</v>
      </c>
      <c r="AU386" s="360">
        <v>294.26396588623425</v>
      </c>
      <c r="AV386" s="360">
        <v>301.56607489256226</v>
      </c>
      <c r="AW386" s="360">
        <v>309.04938446070457</v>
      </c>
      <c r="AX386" s="360">
        <v>316.71839105100895</v>
      </c>
      <c r="AY386" s="360">
        <v>324.57770270270271</v>
      </c>
      <c r="AZ386" s="360">
        <v>246.2975270590714</v>
      </c>
      <c r="BA386" s="360">
        <v>252.17161016289597</v>
      </c>
      <c r="BB386" s="360">
        <v>258.1857874557391</v>
      </c>
      <c r="BC386" s="360">
        <v>264.34340011978202</v>
      </c>
      <c r="BD386" s="360">
        <v>270.64786902286903</v>
      </c>
      <c r="BE386" s="360">
        <v>0</v>
      </c>
      <c r="BF386" s="360">
        <v>0</v>
      </c>
      <c r="BG386" s="360">
        <v>0</v>
      </c>
      <c r="BH386" s="360">
        <v>0</v>
      </c>
      <c r="BI386" s="360">
        <v>0</v>
      </c>
      <c r="BJ386" s="362">
        <v>326.24039385894747</v>
      </c>
      <c r="BK386" s="362">
        <v>327.91160236514582</v>
      </c>
      <c r="BL386" s="362">
        <v>329.59137185252172</v>
      </c>
      <c r="BM386" s="363">
        <v>327.42445318921756</v>
      </c>
      <c r="BN386" s="363">
        <v>325.27178106539947</v>
      </c>
      <c r="BO386" s="363">
        <v>324.23308298476729</v>
      </c>
      <c r="BP386" s="363">
        <v>323.19770180331153</v>
      </c>
      <c r="BQ386" s="363">
        <v>322.16562692909935</v>
      </c>
      <c r="BR386" s="363">
        <v>321.13684780402167</v>
      </c>
      <c r="BS386" s="363">
        <v>320.11135390368474</v>
      </c>
      <c r="BT386" s="363">
        <v>322.47920729099815</v>
      </c>
      <c r="BU386" s="363">
        <v>324.86457561364711</v>
      </c>
      <c r="BV386" s="363">
        <v>327.26758842904491</v>
      </c>
      <c r="BW386" s="363">
        <v>329.68837625293691</v>
      </c>
      <c r="BX386" s="363">
        <v>332.1270705664889</v>
      </c>
      <c r="BY386" s="435">
        <v>333.46581397074203</v>
      </c>
      <c r="BZ386" s="435">
        <v>334.80455737499523</v>
      </c>
      <c r="CA386" s="435">
        <v>336.14330077924836</v>
      </c>
      <c r="CB386" s="435">
        <v>337.48204418350156</v>
      </c>
      <c r="CC386" s="363">
        <v>338.82078758775469</v>
      </c>
      <c r="CD386" s="435">
        <v>339.91816149153658</v>
      </c>
      <c r="CE386" s="435">
        <v>341.01553539531847</v>
      </c>
      <c r="CF386" s="435">
        <v>342.11290929910035</v>
      </c>
      <c r="CG386" s="435">
        <v>343.21028320288224</v>
      </c>
      <c r="CH386" s="363">
        <v>344.30765710666412</v>
      </c>
      <c r="CI386" s="362">
        <v>272.03429764853774</v>
      </c>
      <c r="CJ386" s="362">
        <v>273.42782843370622</v>
      </c>
      <c r="CK386" s="362">
        <v>274.82849776010272</v>
      </c>
      <c r="CL386" s="363">
        <v>273.02162096700908</v>
      </c>
      <c r="CM386" s="363">
        <v>271.22662359607153</v>
      </c>
      <c r="CN386" s="363">
        <v>270.36050919652905</v>
      </c>
      <c r="CO386" s="363">
        <v>269.49716058060744</v>
      </c>
      <c r="CP386" s="363">
        <v>268.63656891626437</v>
      </c>
      <c r="CQ386" s="363">
        <v>267.77872539966114</v>
      </c>
      <c r="CR386" s="363">
        <v>266.92362125507248</v>
      </c>
      <c r="CS386" s="363">
        <v>268.89804669495538</v>
      </c>
      <c r="CT386" s="363">
        <v>270.88707689630263</v>
      </c>
      <c r="CU386" s="363">
        <v>272.89081989006513</v>
      </c>
      <c r="CV386" s="363">
        <v>274.90938450629511</v>
      </c>
      <c r="CW386" s="363">
        <v>276.94288038005692</v>
      </c>
      <c r="CX386" s="435">
        <v>278.05918641868033</v>
      </c>
      <c r="CY386" s="435">
        <v>279.17549245730373</v>
      </c>
      <c r="CZ386" s="435">
        <v>280.29179849592708</v>
      </c>
      <c r="DA386" s="435">
        <v>281.40810453455049</v>
      </c>
      <c r="DB386" s="363">
        <v>282.5244105731739</v>
      </c>
      <c r="DC386" s="435">
        <v>283.43945158217355</v>
      </c>
      <c r="DD386" s="435">
        <v>284.35449259117325</v>
      </c>
      <c r="DE386" s="435">
        <v>285.26953360017291</v>
      </c>
      <c r="DF386" s="435">
        <v>286.18457460917261</v>
      </c>
      <c r="DG386" s="363">
        <v>287.09961561817227</v>
      </c>
      <c r="DH386" s="362">
        <v>0</v>
      </c>
      <c r="DI386" s="362">
        <v>0</v>
      </c>
      <c r="DJ386" s="362">
        <v>0</v>
      </c>
      <c r="DK386" s="363">
        <v>0</v>
      </c>
      <c r="DL386" s="363">
        <v>0</v>
      </c>
      <c r="DM386" s="363">
        <v>0</v>
      </c>
      <c r="DN386" s="363">
        <v>0</v>
      </c>
      <c r="DO386" s="363">
        <v>0</v>
      </c>
      <c r="DP386" s="363">
        <v>0</v>
      </c>
      <c r="DQ386" s="363">
        <v>0</v>
      </c>
      <c r="DR386" s="363">
        <v>0</v>
      </c>
      <c r="DS386" s="363">
        <v>0</v>
      </c>
      <c r="DT386" s="363">
        <v>0</v>
      </c>
      <c r="DU386" s="363">
        <v>0</v>
      </c>
      <c r="DV386" s="363">
        <v>0</v>
      </c>
      <c r="DW386" s="435">
        <v>0</v>
      </c>
      <c r="DX386" s="435">
        <v>0</v>
      </c>
      <c r="DY386" s="435">
        <v>0</v>
      </c>
      <c r="DZ386" s="435">
        <v>0</v>
      </c>
      <c r="EA386" s="363">
        <v>0</v>
      </c>
      <c r="EB386" s="435">
        <v>0</v>
      </c>
      <c r="EC386" s="435">
        <v>0</v>
      </c>
      <c r="ED386" s="435">
        <v>0</v>
      </c>
      <c r="EE386" s="435">
        <v>0</v>
      </c>
      <c r="EF386" s="363">
        <v>0</v>
      </c>
      <c r="EG386" s="364">
        <v>0.42446056968377238</v>
      </c>
      <c r="EH386" s="364">
        <v>0.42663492371213352</v>
      </c>
      <c r="EI386" s="364">
        <v>0.42882041614952082</v>
      </c>
      <c r="EJ386" s="365">
        <v>0.42600111005622893</v>
      </c>
      <c r="EK386" s="365">
        <v>0.42320033966354337</v>
      </c>
      <c r="EL386" s="365">
        <v>0.42184892399787571</v>
      </c>
      <c r="EM386" s="365">
        <v>0.42050182383985363</v>
      </c>
      <c r="EN386" s="365">
        <v>0.41915902540866429</v>
      </c>
      <c r="EO386" s="365">
        <v>0.41782051496750156</v>
      </c>
      <c r="EP386" s="365">
        <v>0.41648627882342537</v>
      </c>
      <c r="EQ386" s="365">
        <v>0.41956701443013028</v>
      </c>
      <c r="ER386" s="365">
        <v>0.42267053813901523</v>
      </c>
      <c r="ES386" s="365">
        <v>0.425797018512939</v>
      </c>
      <c r="ET386" s="365">
        <v>0.42894662536161449</v>
      </c>
      <c r="EU386" s="365">
        <v>0.43211952975083123</v>
      </c>
      <c r="EV386" s="436">
        <v>0.43386132444801201</v>
      </c>
      <c r="EW386" s="436">
        <v>0.43560311914519279</v>
      </c>
      <c r="EX386" s="436">
        <v>0.43734491384237362</v>
      </c>
      <c r="EY386" s="436">
        <v>0.43908670853955439</v>
      </c>
      <c r="EZ386" s="365">
        <v>0.44082850323673517</v>
      </c>
      <c r="FA386" s="436">
        <v>0.44225626007225677</v>
      </c>
      <c r="FB386" s="436">
        <v>0.44368401690777837</v>
      </c>
      <c r="FC386" s="436">
        <v>0.44511177374329991</v>
      </c>
      <c r="FD386" s="436">
        <v>0.44653953057882151</v>
      </c>
      <c r="FE386" s="365">
        <v>0.44796728741434311</v>
      </c>
      <c r="FF386" s="364">
        <v>0</v>
      </c>
      <c r="FG386" s="364">
        <v>0</v>
      </c>
      <c r="FH386" s="364">
        <v>0</v>
      </c>
      <c r="FI386" s="365">
        <v>0</v>
      </c>
      <c r="FJ386" s="365">
        <v>0</v>
      </c>
      <c r="FK386" s="365">
        <v>0</v>
      </c>
      <c r="FL386" s="365">
        <v>0</v>
      </c>
      <c r="FM386" s="365">
        <v>0</v>
      </c>
      <c r="FN386" s="365">
        <v>0</v>
      </c>
      <c r="FO386" s="365">
        <v>0</v>
      </c>
      <c r="FP386" s="365">
        <v>0</v>
      </c>
      <c r="FQ386" s="365">
        <v>0</v>
      </c>
      <c r="FR386" s="365">
        <v>0</v>
      </c>
      <c r="FS386" s="365">
        <v>0</v>
      </c>
      <c r="FT386" s="365">
        <v>0</v>
      </c>
      <c r="FU386" s="436">
        <v>0</v>
      </c>
      <c r="FV386" s="436">
        <v>0</v>
      </c>
      <c r="FW386" s="436">
        <v>0</v>
      </c>
      <c r="FX386" s="436">
        <v>0</v>
      </c>
      <c r="FY386" s="365">
        <v>0</v>
      </c>
      <c r="FZ386" s="436">
        <v>0</v>
      </c>
      <c r="GA386" s="436">
        <v>0</v>
      </c>
      <c r="GB386" s="436">
        <v>0</v>
      </c>
      <c r="GC386" s="436">
        <v>0</v>
      </c>
      <c r="GD386" s="365">
        <v>0</v>
      </c>
    </row>
    <row r="387" spans="1:186" ht="15" x14ac:dyDescent="0.25">
      <c r="A387" s="357">
        <v>108</v>
      </c>
      <c r="B387" s="357">
        <v>103</v>
      </c>
      <c r="C387" s="357" t="s">
        <v>1297</v>
      </c>
      <c r="D387" s="2">
        <v>99709</v>
      </c>
      <c r="E387" s="268" t="s">
        <v>1527</v>
      </c>
      <c r="F387" s="358" t="s">
        <v>985</v>
      </c>
      <c r="G387" s="49">
        <v>137</v>
      </c>
      <c r="H387" s="49">
        <v>61</v>
      </c>
      <c r="I387" s="49">
        <v>51</v>
      </c>
      <c r="J387" s="49">
        <v>10</v>
      </c>
      <c r="K387" s="49">
        <v>0</v>
      </c>
      <c r="L387" s="49">
        <v>23</v>
      </c>
      <c r="M387" s="49">
        <v>23</v>
      </c>
      <c r="N387" s="49">
        <v>0</v>
      </c>
      <c r="O387" s="49">
        <v>0</v>
      </c>
      <c r="P387" s="49">
        <v>0</v>
      </c>
      <c r="Q387" s="49">
        <v>23</v>
      </c>
      <c r="R387" s="49">
        <v>0</v>
      </c>
      <c r="S387" s="49">
        <v>1345.695652173913</v>
      </c>
      <c r="T387" s="49">
        <v>1345.695652173913</v>
      </c>
      <c r="U387" s="49">
        <v>0</v>
      </c>
      <c r="V387" s="49">
        <v>0</v>
      </c>
      <c r="W387" s="49">
        <v>0</v>
      </c>
      <c r="X387" s="49">
        <v>1345.695652173913</v>
      </c>
      <c r="Y387" s="434">
        <v>30951</v>
      </c>
      <c r="Z387" s="434">
        <v>0</v>
      </c>
      <c r="AA387" s="49">
        <v>0</v>
      </c>
      <c r="AB387" s="49">
        <v>61</v>
      </c>
      <c r="AC387" s="49">
        <v>0</v>
      </c>
      <c r="AD387" s="285">
        <v>0</v>
      </c>
      <c r="AE387" s="285">
        <v>0</v>
      </c>
      <c r="AF387" s="359">
        <v>61</v>
      </c>
      <c r="AG387" s="360">
        <v>0</v>
      </c>
      <c r="AH387" s="360">
        <v>51</v>
      </c>
      <c r="AI387" s="361">
        <v>51</v>
      </c>
      <c r="AJ387" s="360">
        <v>0</v>
      </c>
      <c r="AK387" s="360">
        <v>0</v>
      </c>
      <c r="AL387" s="360">
        <v>58.081662095472097</v>
      </c>
      <c r="AM387" s="360">
        <v>58.081662095472097</v>
      </c>
      <c r="AN387" s="360">
        <v>0</v>
      </c>
      <c r="AO387" s="360">
        <v>0</v>
      </c>
      <c r="AP387" s="360">
        <v>48.651686073796789</v>
      </c>
      <c r="AQ387" s="360">
        <v>48.651686073796789</v>
      </c>
      <c r="AR387" s="360">
        <v>0</v>
      </c>
      <c r="AS387" s="360">
        <v>0</v>
      </c>
      <c r="AT387" s="360">
        <v>0</v>
      </c>
      <c r="AU387" s="360">
        <v>55.302942160206563</v>
      </c>
      <c r="AV387" s="360">
        <v>56.675275027427574</v>
      </c>
      <c r="AW387" s="360">
        <v>58.081662095472097</v>
      </c>
      <c r="AX387" s="360">
        <v>59.522948413395973</v>
      </c>
      <c r="AY387" s="360">
        <v>61</v>
      </c>
      <c r="AZ387" s="360">
        <v>46.411501133789656</v>
      </c>
      <c r="BA387" s="360">
        <v>47.518394158207819</v>
      </c>
      <c r="BB387" s="360">
        <v>48.651686073796789</v>
      </c>
      <c r="BC387" s="360">
        <v>49.812006482008293</v>
      </c>
      <c r="BD387" s="360">
        <v>51</v>
      </c>
      <c r="BE387" s="360">
        <v>0</v>
      </c>
      <c r="BF387" s="360">
        <v>0</v>
      </c>
      <c r="BG387" s="360">
        <v>0</v>
      </c>
      <c r="BH387" s="360">
        <v>0</v>
      </c>
      <c r="BI387" s="360">
        <v>0</v>
      </c>
      <c r="BJ387" s="362">
        <v>61.312480369681552</v>
      </c>
      <c r="BK387" s="362">
        <v>61.626561460370262</v>
      </c>
      <c r="BL387" s="362">
        <v>61.942251471965982</v>
      </c>
      <c r="BM387" s="363">
        <v>61.535008345402147</v>
      </c>
      <c r="BN387" s="363">
        <v>61.130442663719514</v>
      </c>
      <c r="BO387" s="363">
        <v>60.935233373645147</v>
      </c>
      <c r="BP387" s="363">
        <v>60.740647450019175</v>
      </c>
      <c r="BQ387" s="363">
        <v>60.546682902230735</v>
      </c>
      <c r="BR387" s="363">
        <v>60.353337746025659</v>
      </c>
      <c r="BS387" s="363">
        <v>60.160610003486141</v>
      </c>
      <c r="BT387" s="363">
        <v>60.605616100403452</v>
      </c>
      <c r="BU387" s="363">
        <v>61.053913893104465</v>
      </c>
      <c r="BV387" s="363">
        <v>61.505527730157006</v>
      </c>
      <c r="BW387" s="363">
        <v>61.96048214023449</v>
      </c>
      <c r="BX387" s="363">
        <v>62.418801833448072</v>
      </c>
      <c r="BY387" s="435">
        <v>62.670400593866439</v>
      </c>
      <c r="BZ387" s="435">
        <v>62.921999354284807</v>
      </c>
      <c r="CA387" s="435">
        <v>63.173598114703182</v>
      </c>
      <c r="CB387" s="435">
        <v>63.42519687512155</v>
      </c>
      <c r="CC387" s="363">
        <v>63.676795635539918</v>
      </c>
      <c r="CD387" s="435">
        <v>63.883032254917339</v>
      </c>
      <c r="CE387" s="435">
        <v>64.08926887429476</v>
      </c>
      <c r="CF387" s="435">
        <v>64.295505493672195</v>
      </c>
      <c r="CG387" s="435">
        <v>64.501742113049616</v>
      </c>
      <c r="CH387" s="363">
        <v>64.707978732427037</v>
      </c>
      <c r="CI387" s="362">
        <v>51.261254079569824</v>
      </c>
      <c r="CJ387" s="362">
        <v>51.523846466866935</v>
      </c>
      <c r="CK387" s="362">
        <v>51.787784017545327</v>
      </c>
      <c r="CL387" s="363">
        <v>51.447302059270648</v>
      </c>
      <c r="CM387" s="363">
        <v>51.109058620486806</v>
      </c>
      <c r="CN387" s="363">
        <v>50.945850853375454</v>
      </c>
      <c r="CO387" s="363">
        <v>50.783164261491436</v>
      </c>
      <c r="CP387" s="363">
        <v>50.620997180553566</v>
      </c>
      <c r="CQ387" s="363">
        <v>50.45934795159522</v>
      </c>
      <c r="CR387" s="363">
        <v>50.29821492094743</v>
      </c>
      <c r="CS387" s="363">
        <v>50.670269198697966</v>
      </c>
      <c r="CT387" s="363">
        <v>51.045075549972587</v>
      </c>
      <c r="CU387" s="363">
        <v>51.422654331770609</v>
      </c>
      <c r="CV387" s="363">
        <v>51.803026051671459</v>
      </c>
      <c r="CW387" s="363">
        <v>52.186211368948385</v>
      </c>
      <c r="CX387" s="435">
        <v>52.396564430937516</v>
      </c>
      <c r="CY387" s="435">
        <v>52.606917492926641</v>
      </c>
      <c r="CZ387" s="435">
        <v>52.817270554915773</v>
      </c>
      <c r="DA387" s="435">
        <v>53.027623616904897</v>
      </c>
      <c r="DB387" s="363">
        <v>53.237976678894029</v>
      </c>
      <c r="DC387" s="435">
        <v>53.410404016406304</v>
      </c>
      <c r="DD387" s="435">
        <v>53.582831353918571</v>
      </c>
      <c r="DE387" s="435">
        <v>53.755258691430846</v>
      </c>
      <c r="DF387" s="435">
        <v>53.927686028943114</v>
      </c>
      <c r="DG387" s="363">
        <v>54.100113366455389</v>
      </c>
      <c r="DH387" s="362">
        <v>0</v>
      </c>
      <c r="DI387" s="362">
        <v>0</v>
      </c>
      <c r="DJ387" s="362">
        <v>0</v>
      </c>
      <c r="DK387" s="363">
        <v>0</v>
      </c>
      <c r="DL387" s="363">
        <v>0</v>
      </c>
      <c r="DM387" s="363">
        <v>0</v>
      </c>
      <c r="DN387" s="363">
        <v>0</v>
      </c>
      <c r="DO387" s="363">
        <v>0</v>
      </c>
      <c r="DP387" s="363">
        <v>0</v>
      </c>
      <c r="DQ387" s="363">
        <v>0</v>
      </c>
      <c r="DR387" s="363">
        <v>0</v>
      </c>
      <c r="DS387" s="363">
        <v>0</v>
      </c>
      <c r="DT387" s="363">
        <v>0</v>
      </c>
      <c r="DU387" s="363">
        <v>0</v>
      </c>
      <c r="DV387" s="363">
        <v>0</v>
      </c>
      <c r="DW387" s="435">
        <v>0</v>
      </c>
      <c r="DX387" s="435">
        <v>0</v>
      </c>
      <c r="DY387" s="435">
        <v>0</v>
      </c>
      <c r="DZ387" s="435">
        <v>0</v>
      </c>
      <c r="EA387" s="363">
        <v>0</v>
      </c>
      <c r="EB387" s="435">
        <v>0</v>
      </c>
      <c r="EC387" s="435">
        <v>0</v>
      </c>
      <c r="ED387" s="435">
        <v>0</v>
      </c>
      <c r="EE387" s="435">
        <v>0</v>
      </c>
      <c r="EF387" s="363">
        <v>0</v>
      </c>
      <c r="EG387" s="364">
        <v>0</v>
      </c>
      <c r="EH387" s="364">
        <v>0</v>
      </c>
      <c r="EI387" s="364">
        <v>0</v>
      </c>
      <c r="EJ387" s="365">
        <v>0</v>
      </c>
      <c r="EK387" s="365">
        <v>0</v>
      </c>
      <c r="EL387" s="365">
        <v>0</v>
      </c>
      <c r="EM387" s="365">
        <v>0</v>
      </c>
      <c r="EN387" s="365">
        <v>0</v>
      </c>
      <c r="EO387" s="365">
        <v>0</v>
      </c>
      <c r="EP387" s="365">
        <v>0</v>
      </c>
      <c r="EQ387" s="365">
        <v>0</v>
      </c>
      <c r="ER387" s="365">
        <v>0</v>
      </c>
      <c r="ES387" s="365">
        <v>0</v>
      </c>
      <c r="ET387" s="365">
        <v>0</v>
      </c>
      <c r="EU387" s="365">
        <v>0</v>
      </c>
      <c r="EV387" s="436">
        <v>0</v>
      </c>
      <c r="EW387" s="436">
        <v>0</v>
      </c>
      <c r="EX387" s="436">
        <v>0</v>
      </c>
      <c r="EY387" s="436">
        <v>0</v>
      </c>
      <c r="EZ387" s="365">
        <v>0</v>
      </c>
      <c r="FA387" s="436">
        <v>0</v>
      </c>
      <c r="FB387" s="436">
        <v>0</v>
      </c>
      <c r="FC387" s="436">
        <v>0</v>
      </c>
      <c r="FD387" s="436">
        <v>0</v>
      </c>
      <c r="FE387" s="365">
        <v>0</v>
      </c>
      <c r="FF387" s="364">
        <v>0</v>
      </c>
      <c r="FG387" s="364">
        <v>0</v>
      </c>
      <c r="FH387" s="364">
        <v>0</v>
      </c>
      <c r="FI387" s="365">
        <v>0</v>
      </c>
      <c r="FJ387" s="365">
        <v>0</v>
      </c>
      <c r="FK387" s="365">
        <v>0</v>
      </c>
      <c r="FL387" s="365">
        <v>0</v>
      </c>
      <c r="FM387" s="365">
        <v>0</v>
      </c>
      <c r="FN387" s="365">
        <v>0</v>
      </c>
      <c r="FO387" s="365">
        <v>0</v>
      </c>
      <c r="FP387" s="365">
        <v>0</v>
      </c>
      <c r="FQ387" s="365">
        <v>0</v>
      </c>
      <c r="FR387" s="365">
        <v>0</v>
      </c>
      <c r="FS387" s="365">
        <v>0</v>
      </c>
      <c r="FT387" s="365">
        <v>0</v>
      </c>
      <c r="FU387" s="436">
        <v>0</v>
      </c>
      <c r="FV387" s="436">
        <v>0</v>
      </c>
      <c r="FW387" s="436">
        <v>0</v>
      </c>
      <c r="FX387" s="436">
        <v>0</v>
      </c>
      <c r="FY387" s="365">
        <v>0</v>
      </c>
      <c r="FZ387" s="436">
        <v>0</v>
      </c>
      <c r="GA387" s="436">
        <v>0</v>
      </c>
      <c r="GB387" s="436">
        <v>0</v>
      </c>
      <c r="GC387" s="436">
        <v>0</v>
      </c>
      <c r="GD387" s="365">
        <v>0</v>
      </c>
    </row>
    <row r="388" spans="1:186" ht="15" x14ac:dyDescent="0.25">
      <c r="A388" s="357">
        <v>111</v>
      </c>
      <c r="B388" s="357">
        <v>103</v>
      </c>
      <c r="C388" s="357" t="s">
        <v>1298</v>
      </c>
      <c r="D388" s="2">
        <v>99709</v>
      </c>
      <c r="E388" s="268" t="s">
        <v>1527</v>
      </c>
      <c r="F388" s="358" t="s">
        <v>985</v>
      </c>
      <c r="G388" s="49">
        <v>4</v>
      </c>
      <c r="H388" s="49">
        <v>4</v>
      </c>
      <c r="I388" s="49">
        <v>4</v>
      </c>
      <c r="J388" s="49">
        <v>0</v>
      </c>
      <c r="K388" s="49">
        <v>0</v>
      </c>
      <c r="L388" s="49">
        <v>3</v>
      </c>
      <c r="M388" s="49">
        <v>3</v>
      </c>
      <c r="N388" s="49">
        <v>3</v>
      </c>
      <c r="O388" s="49">
        <v>0</v>
      </c>
      <c r="P388" s="49">
        <v>0</v>
      </c>
      <c r="Q388" s="49">
        <v>6</v>
      </c>
      <c r="R388" s="49">
        <v>0</v>
      </c>
      <c r="S388" s="49">
        <v>1512</v>
      </c>
      <c r="T388" s="49">
        <v>1512</v>
      </c>
      <c r="U388" s="49">
        <v>3873.3333333333335</v>
      </c>
      <c r="V388" s="49">
        <v>0</v>
      </c>
      <c r="W388" s="49">
        <v>0</v>
      </c>
      <c r="X388" s="49">
        <v>2692.6666666666665</v>
      </c>
      <c r="Y388" s="434">
        <v>4536</v>
      </c>
      <c r="Z388" s="434">
        <v>11620</v>
      </c>
      <c r="AA388" s="49">
        <v>0</v>
      </c>
      <c r="AB388" s="49">
        <v>4</v>
      </c>
      <c r="AC388" s="49">
        <v>0</v>
      </c>
      <c r="AD388" s="285">
        <v>3</v>
      </c>
      <c r="AE388" s="285">
        <v>0</v>
      </c>
      <c r="AF388" s="359">
        <v>7</v>
      </c>
      <c r="AG388" s="360">
        <v>0</v>
      </c>
      <c r="AH388" s="360">
        <v>4</v>
      </c>
      <c r="AI388" s="361">
        <v>4</v>
      </c>
      <c r="AJ388" s="360">
        <v>0</v>
      </c>
      <c r="AK388" s="360">
        <v>0</v>
      </c>
      <c r="AL388" s="360">
        <v>3.8086335800309574</v>
      </c>
      <c r="AM388" s="360">
        <v>3.8086335800309574</v>
      </c>
      <c r="AN388" s="360">
        <v>0</v>
      </c>
      <c r="AO388" s="360">
        <v>0</v>
      </c>
      <c r="AP388" s="360">
        <v>3.8158185155919053</v>
      </c>
      <c r="AQ388" s="360">
        <v>3.8158185155919053</v>
      </c>
      <c r="AR388" s="360">
        <v>0</v>
      </c>
      <c r="AS388" s="360">
        <v>2.8789972155037225</v>
      </c>
      <c r="AT388" s="360">
        <v>0</v>
      </c>
      <c r="AU388" s="360">
        <v>3.626422436734857</v>
      </c>
      <c r="AV388" s="360">
        <v>3.7164114772083656</v>
      </c>
      <c r="AW388" s="360">
        <v>3.8086335800309574</v>
      </c>
      <c r="AX388" s="360">
        <v>3.9031441582554733</v>
      </c>
      <c r="AY388" s="360">
        <v>4</v>
      </c>
      <c r="AZ388" s="360">
        <v>3.6401177359835026</v>
      </c>
      <c r="BA388" s="360">
        <v>3.7269328751535542</v>
      </c>
      <c r="BB388" s="360">
        <v>3.8158185155919053</v>
      </c>
      <c r="BC388" s="360">
        <v>3.9068240378045722</v>
      </c>
      <c r="BD388" s="360">
        <v>4</v>
      </c>
      <c r="BE388" s="360">
        <v>2.7628749889593962</v>
      </c>
      <c r="BF388" s="360">
        <v>2.8203385257800138</v>
      </c>
      <c r="BG388" s="360">
        <v>2.8789972155037225</v>
      </c>
      <c r="BH388" s="360">
        <v>2.9388759154668591</v>
      </c>
      <c r="BI388" s="360">
        <v>3</v>
      </c>
      <c r="BJ388" s="362">
        <v>4.020490516044692</v>
      </c>
      <c r="BK388" s="362">
        <v>4.0410859974013285</v>
      </c>
      <c r="BL388" s="362">
        <v>4.061786981768261</v>
      </c>
      <c r="BM388" s="363">
        <v>4.0350825144525997</v>
      </c>
      <c r="BN388" s="363">
        <v>4.0085536172930825</v>
      </c>
      <c r="BO388" s="363">
        <v>3.9957530081078785</v>
      </c>
      <c r="BP388" s="363">
        <v>3.9829932754110935</v>
      </c>
      <c r="BQ388" s="363">
        <v>3.970274288670868</v>
      </c>
      <c r="BR388" s="363">
        <v>3.9575959177721742</v>
      </c>
      <c r="BS388" s="363">
        <v>3.9449580330154848</v>
      </c>
      <c r="BT388" s="363">
        <v>3.9741387606821936</v>
      </c>
      <c r="BU388" s="363">
        <v>4.0035353372527522</v>
      </c>
      <c r="BV388" s="363">
        <v>4.0331493593545575</v>
      </c>
      <c r="BW388" s="363">
        <v>4.0629824354252122</v>
      </c>
      <c r="BX388" s="363">
        <v>4.0930361857998729</v>
      </c>
      <c r="BY388" s="435">
        <v>4.1095344651715697</v>
      </c>
      <c r="BZ388" s="435">
        <v>4.1260327445432656</v>
      </c>
      <c r="CA388" s="435">
        <v>4.1425310239149624</v>
      </c>
      <c r="CB388" s="435">
        <v>4.1590293032866583</v>
      </c>
      <c r="CC388" s="363">
        <v>4.1755275826583551</v>
      </c>
      <c r="CD388" s="435">
        <v>4.1890512954044157</v>
      </c>
      <c r="CE388" s="435">
        <v>4.2025750081504762</v>
      </c>
      <c r="CF388" s="435">
        <v>4.2160987208965368</v>
      </c>
      <c r="CG388" s="435">
        <v>4.2296224336425974</v>
      </c>
      <c r="CH388" s="363">
        <v>4.2431461463886579</v>
      </c>
      <c r="CI388" s="362">
        <v>4.020490516044692</v>
      </c>
      <c r="CJ388" s="362">
        <v>4.0410859974013285</v>
      </c>
      <c r="CK388" s="362">
        <v>4.061786981768261</v>
      </c>
      <c r="CL388" s="363">
        <v>4.0350825144525997</v>
      </c>
      <c r="CM388" s="363">
        <v>4.0085536172930825</v>
      </c>
      <c r="CN388" s="363">
        <v>3.9957530081078785</v>
      </c>
      <c r="CO388" s="363">
        <v>3.9829932754110935</v>
      </c>
      <c r="CP388" s="363">
        <v>3.970274288670868</v>
      </c>
      <c r="CQ388" s="363">
        <v>3.9575959177721742</v>
      </c>
      <c r="CR388" s="363">
        <v>3.9449580330154848</v>
      </c>
      <c r="CS388" s="363">
        <v>3.9741387606821936</v>
      </c>
      <c r="CT388" s="363">
        <v>4.0035353372527522</v>
      </c>
      <c r="CU388" s="363">
        <v>4.0331493593545575</v>
      </c>
      <c r="CV388" s="363">
        <v>4.0629824354252122</v>
      </c>
      <c r="CW388" s="363">
        <v>4.0930361857998729</v>
      </c>
      <c r="CX388" s="435">
        <v>4.1095344651715697</v>
      </c>
      <c r="CY388" s="435">
        <v>4.1260327445432656</v>
      </c>
      <c r="CZ388" s="435">
        <v>4.1425310239149624</v>
      </c>
      <c r="DA388" s="435">
        <v>4.1590293032866583</v>
      </c>
      <c r="DB388" s="363">
        <v>4.1755275826583551</v>
      </c>
      <c r="DC388" s="435">
        <v>4.1890512954044157</v>
      </c>
      <c r="DD388" s="435">
        <v>4.2025750081504762</v>
      </c>
      <c r="DE388" s="435">
        <v>4.2160987208965368</v>
      </c>
      <c r="DF388" s="435">
        <v>4.2296224336425974</v>
      </c>
      <c r="DG388" s="363">
        <v>4.2431461463886579</v>
      </c>
      <c r="DH388" s="362">
        <v>3.015367887033519</v>
      </c>
      <c r="DI388" s="362">
        <v>3.0308144980509963</v>
      </c>
      <c r="DJ388" s="362">
        <v>3.0463402363261958</v>
      </c>
      <c r="DK388" s="363">
        <v>3.02631188583945</v>
      </c>
      <c r="DL388" s="363">
        <v>3.0064152129698121</v>
      </c>
      <c r="DM388" s="363">
        <v>2.9968147560809091</v>
      </c>
      <c r="DN388" s="363">
        <v>2.9872449565583201</v>
      </c>
      <c r="DO388" s="363">
        <v>2.9777057165031509</v>
      </c>
      <c r="DP388" s="363">
        <v>2.9681969383291307</v>
      </c>
      <c r="DQ388" s="363">
        <v>2.9587185247616135</v>
      </c>
      <c r="DR388" s="363">
        <v>2.9806040705116454</v>
      </c>
      <c r="DS388" s="363">
        <v>3.002651502939564</v>
      </c>
      <c r="DT388" s="363">
        <v>3.0248620195159184</v>
      </c>
      <c r="DU388" s="363">
        <v>3.0472368265689092</v>
      </c>
      <c r="DV388" s="363">
        <v>3.0697771393499051</v>
      </c>
      <c r="DW388" s="435">
        <v>3.0821508488786775</v>
      </c>
      <c r="DX388" s="435">
        <v>3.0945245584074499</v>
      </c>
      <c r="DY388" s="435">
        <v>3.1068982679362218</v>
      </c>
      <c r="DZ388" s="435">
        <v>3.1192719774649942</v>
      </c>
      <c r="EA388" s="363">
        <v>3.1316456869937666</v>
      </c>
      <c r="EB388" s="435">
        <v>3.141788471553312</v>
      </c>
      <c r="EC388" s="435">
        <v>3.1519312561128574</v>
      </c>
      <c r="ED388" s="435">
        <v>3.1620740406724024</v>
      </c>
      <c r="EE388" s="435">
        <v>3.1722168252319478</v>
      </c>
      <c r="EF388" s="363">
        <v>3.1823596097914932</v>
      </c>
      <c r="EG388" s="364">
        <v>0</v>
      </c>
      <c r="EH388" s="364">
        <v>0</v>
      </c>
      <c r="EI388" s="364">
        <v>0</v>
      </c>
      <c r="EJ388" s="365">
        <v>0</v>
      </c>
      <c r="EK388" s="365">
        <v>0</v>
      </c>
      <c r="EL388" s="365">
        <v>0</v>
      </c>
      <c r="EM388" s="365">
        <v>0</v>
      </c>
      <c r="EN388" s="365">
        <v>0</v>
      </c>
      <c r="EO388" s="365">
        <v>0</v>
      </c>
      <c r="EP388" s="365">
        <v>0</v>
      </c>
      <c r="EQ388" s="365">
        <v>0</v>
      </c>
      <c r="ER388" s="365">
        <v>0</v>
      </c>
      <c r="ES388" s="365">
        <v>0</v>
      </c>
      <c r="ET388" s="365">
        <v>0</v>
      </c>
      <c r="EU388" s="365">
        <v>0</v>
      </c>
      <c r="EV388" s="436">
        <v>0</v>
      </c>
      <c r="EW388" s="436">
        <v>0</v>
      </c>
      <c r="EX388" s="436">
        <v>0</v>
      </c>
      <c r="EY388" s="436">
        <v>0</v>
      </c>
      <c r="EZ388" s="365">
        <v>0</v>
      </c>
      <c r="FA388" s="436">
        <v>0</v>
      </c>
      <c r="FB388" s="436">
        <v>0</v>
      </c>
      <c r="FC388" s="436">
        <v>0</v>
      </c>
      <c r="FD388" s="436">
        <v>0</v>
      </c>
      <c r="FE388" s="365">
        <v>0</v>
      </c>
      <c r="FF388" s="364">
        <v>0</v>
      </c>
      <c r="FG388" s="364">
        <v>0</v>
      </c>
      <c r="FH388" s="364">
        <v>0</v>
      </c>
      <c r="FI388" s="365">
        <v>0</v>
      </c>
      <c r="FJ388" s="365">
        <v>0</v>
      </c>
      <c r="FK388" s="365">
        <v>0</v>
      </c>
      <c r="FL388" s="365">
        <v>0</v>
      </c>
      <c r="FM388" s="365">
        <v>0</v>
      </c>
      <c r="FN388" s="365">
        <v>0</v>
      </c>
      <c r="FO388" s="365">
        <v>0</v>
      </c>
      <c r="FP388" s="365">
        <v>0</v>
      </c>
      <c r="FQ388" s="365">
        <v>0</v>
      </c>
      <c r="FR388" s="365">
        <v>0</v>
      </c>
      <c r="FS388" s="365">
        <v>0</v>
      </c>
      <c r="FT388" s="365">
        <v>0</v>
      </c>
      <c r="FU388" s="436">
        <v>0</v>
      </c>
      <c r="FV388" s="436">
        <v>0</v>
      </c>
      <c r="FW388" s="436">
        <v>0</v>
      </c>
      <c r="FX388" s="436">
        <v>0</v>
      </c>
      <c r="FY388" s="365">
        <v>0</v>
      </c>
      <c r="FZ388" s="436">
        <v>0</v>
      </c>
      <c r="GA388" s="436">
        <v>0</v>
      </c>
      <c r="GB388" s="436">
        <v>0</v>
      </c>
      <c r="GC388" s="436">
        <v>0</v>
      </c>
      <c r="GD388" s="365">
        <v>0</v>
      </c>
    </row>
    <row r="389" spans="1:186" ht="15" x14ac:dyDescent="0.25">
      <c r="A389" s="357">
        <v>112</v>
      </c>
      <c r="B389" s="357">
        <v>103</v>
      </c>
      <c r="C389" s="357" t="s">
        <v>1299</v>
      </c>
      <c r="D389" s="2">
        <v>99712</v>
      </c>
      <c r="E389" s="268" t="s">
        <v>1527</v>
      </c>
      <c r="F389" s="358" t="s">
        <v>985</v>
      </c>
      <c r="G389" s="49">
        <v>75</v>
      </c>
      <c r="H389" s="49">
        <v>34</v>
      </c>
      <c r="I389" s="49">
        <v>33</v>
      </c>
      <c r="J389" s="49">
        <v>1</v>
      </c>
      <c r="K389" s="49">
        <v>0</v>
      </c>
      <c r="L389" s="49">
        <v>20</v>
      </c>
      <c r="M389" s="49">
        <v>20</v>
      </c>
      <c r="N389" s="49">
        <v>7</v>
      </c>
      <c r="O389" s="49">
        <v>0</v>
      </c>
      <c r="P389" s="49">
        <v>0</v>
      </c>
      <c r="Q389" s="49">
        <v>27</v>
      </c>
      <c r="R389" s="49">
        <v>0</v>
      </c>
      <c r="S389" s="49">
        <v>1558.5</v>
      </c>
      <c r="T389" s="49">
        <v>1558.5</v>
      </c>
      <c r="U389" s="49">
        <v>3936.2857142857142</v>
      </c>
      <c r="V389" s="49">
        <v>0</v>
      </c>
      <c r="W389" s="49">
        <v>0</v>
      </c>
      <c r="X389" s="49">
        <v>2174.962962962963</v>
      </c>
      <c r="Y389" s="434">
        <v>31170</v>
      </c>
      <c r="Z389" s="434">
        <v>27554</v>
      </c>
      <c r="AA389" s="49">
        <v>0</v>
      </c>
      <c r="AB389" s="49">
        <v>34</v>
      </c>
      <c r="AC389" s="49">
        <v>0</v>
      </c>
      <c r="AD389" s="285">
        <v>7</v>
      </c>
      <c r="AE389" s="285">
        <v>0</v>
      </c>
      <c r="AF389" s="359">
        <v>41</v>
      </c>
      <c r="AG389" s="360">
        <v>0</v>
      </c>
      <c r="AH389" s="360">
        <v>33</v>
      </c>
      <c r="AI389" s="361">
        <v>33</v>
      </c>
      <c r="AJ389" s="360">
        <v>0</v>
      </c>
      <c r="AK389" s="360">
        <v>0</v>
      </c>
      <c r="AL389" s="360">
        <v>30.909884334955098</v>
      </c>
      <c r="AM389" s="360">
        <v>30.909884334955098</v>
      </c>
      <c r="AN389" s="360">
        <v>0</v>
      </c>
      <c r="AO389" s="360">
        <v>0</v>
      </c>
      <c r="AP389" s="360">
        <v>30.110985642801005</v>
      </c>
      <c r="AQ389" s="360">
        <v>30.110985642801005</v>
      </c>
      <c r="AR389" s="360">
        <v>0</v>
      </c>
      <c r="AS389" s="360">
        <v>6.5088894556968713</v>
      </c>
      <c r="AT389" s="360">
        <v>0</v>
      </c>
      <c r="AU389" s="360">
        <v>28.100616164714783</v>
      </c>
      <c r="AV389" s="360">
        <v>29.471796609509639</v>
      </c>
      <c r="AW389" s="360">
        <v>30.909884334955098</v>
      </c>
      <c r="AX389" s="360">
        <v>32.41814410771341</v>
      </c>
      <c r="AY389" s="360">
        <v>34</v>
      </c>
      <c r="AZ389" s="360">
        <v>27.474892617605096</v>
      </c>
      <c r="BA389" s="360">
        <v>28.762755381677298</v>
      </c>
      <c r="BB389" s="360">
        <v>30.110985642801005</v>
      </c>
      <c r="BC389" s="360">
        <v>31.522413077244472</v>
      </c>
      <c r="BD389" s="360">
        <v>33</v>
      </c>
      <c r="BE389" s="360">
        <v>6.0522345637831299</v>
      </c>
      <c r="BF389" s="360">
        <v>6.2764102587077728</v>
      </c>
      <c r="BG389" s="360">
        <v>6.5088894556968713</v>
      </c>
      <c r="BH389" s="360">
        <v>6.7499797177382765</v>
      </c>
      <c r="BI389" s="360">
        <v>7</v>
      </c>
      <c r="BJ389" s="362">
        <v>34.455824585999579</v>
      </c>
      <c r="BK389" s="362">
        <v>34.917760232387451</v>
      </c>
      <c r="BL389" s="362">
        <v>35.385888867739233</v>
      </c>
      <c r="BM389" s="363">
        <v>35.153242173822072</v>
      </c>
      <c r="BN389" s="363">
        <v>34.922125029844793</v>
      </c>
      <c r="BO389" s="363">
        <v>34.810607381061104</v>
      </c>
      <c r="BP389" s="363">
        <v>34.69944584422592</v>
      </c>
      <c r="BQ389" s="363">
        <v>34.588639282158518</v>
      </c>
      <c r="BR389" s="363">
        <v>34.47818656130957</v>
      </c>
      <c r="BS389" s="363">
        <v>34.368086551749535</v>
      </c>
      <c r="BT389" s="363">
        <v>34.62230618240195</v>
      </c>
      <c r="BU389" s="363">
        <v>34.878406267484429</v>
      </c>
      <c r="BV389" s="363">
        <v>35.136400716657903</v>
      </c>
      <c r="BW389" s="363">
        <v>35.396303542472616</v>
      </c>
      <c r="BX389" s="363">
        <v>35.658128861129171</v>
      </c>
      <c r="BY389" s="435">
        <v>35.801860249056759</v>
      </c>
      <c r="BZ389" s="435">
        <v>35.945591636984346</v>
      </c>
      <c r="CA389" s="435">
        <v>36.089323024911941</v>
      </c>
      <c r="CB389" s="435">
        <v>36.233054412839529</v>
      </c>
      <c r="CC389" s="363">
        <v>36.376785800767117</v>
      </c>
      <c r="CD389" s="435">
        <v>36.494603056684113</v>
      </c>
      <c r="CE389" s="435">
        <v>36.612420312601117</v>
      </c>
      <c r="CF389" s="435">
        <v>36.730237568518113</v>
      </c>
      <c r="CG389" s="435">
        <v>36.848054824435117</v>
      </c>
      <c r="CH389" s="363">
        <v>36.965872080352113</v>
      </c>
      <c r="CI389" s="362">
        <v>33.442417980529008</v>
      </c>
      <c r="CJ389" s="362">
        <v>33.890767284376054</v>
      </c>
      <c r="CK389" s="362">
        <v>34.345127430452784</v>
      </c>
      <c r="CL389" s="363">
        <v>34.119323286356718</v>
      </c>
      <c r="CM389" s="363">
        <v>33.895003705437595</v>
      </c>
      <c r="CN389" s="363">
        <v>33.78676598750048</v>
      </c>
      <c r="CO389" s="363">
        <v>33.678873907631043</v>
      </c>
      <c r="CP389" s="363">
        <v>33.571326362095036</v>
      </c>
      <c r="CQ389" s="363">
        <v>33.46412225068282</v>
      </c>
      <c r="CR389" s="363">
        <v>33.35726047669808</v>
      </c>
      <c r="CS389" s="363">
        <v>33.604003059390131</v>
      </c>
      <c r="CT389" s="363">
        <v>33.852570789029009</v>
      </c>
      <c r="CU389" s="363">
        <v>34.10297716616796</v>
      </c>
      <c r="CV389" s="363">
        <v>34.355235791223421</v>
      </c>
      <c r="CW389" s="363">
        <v>34.609360365213611</v>
      </c>
      <c r="CX389" s="435">
        <v>34.748864359378622</v>
      </c>
      <c r="CY389" s="435">
        <v>34.888368353543633</v>
      </c>
      <c r="CZ389" s="435">
        <v>35.027872347708652</v>
      </c>
      <c r="DA389" s="435">
        <v>35.167376341873663</v>
      </c>
      <c r="DB389" s="363">
        <v>35.306880336038674</v>
      </c>
      <c r="DC389" s="435">
        <v>35.42123237854635</v>
      </c>
      <c r="DD389" s="435">
        <v>35.535584421054025</v>
      </c>
      <c r="DE389" s="435">
        <v>35.649936463561694</v>
      </c>
      <c r="DF389" s="435">
        <v>35.76428850606937</v>
      </c>
      <c r="DG389" s="363">
        <v>35.878640548577046</v>
      </c>
      <c r="DH389" s="362">
        <v>7.0938462382940317</v>
      </c>
      <c r="DI389" s="362">
        <v>7.1889506360797686</v>
      </c>
      <c r="DJ389" s="362">
        <v>7.2853300610051361</v>
      </c>
      <c r="DK389" s="363">
        <v>7.2374322122574846</v>
      </c>
      <c r="DL389" s="363">
        <v>7.1898492708503987</v>
      </c>
      <c r="DM389" s="363">
        <v>7.1668897549243447</v>
      </c>
      <c r="DN389" s="363">
        <v>7.1440035561641597</v>
      </c>
      <c r="DO389" s="363">
        <v>7.1211904404444004</v>
      </c>
      <c r="DP389" s="363">
        <v>7.0984501743872643</v>
      </c>
      <c r="DQ389" s="363">
        <v>7.0757825253601982</v>
      </c>
      <c r="DR389" s="363">
        <v>7.1281218610827546</v>
      </c>
      <c r="DS389" s="363">
        <v>7.1808483491879711</v>
      </c>
      <c r="DT389" s="363">
        <v>7.2339648534295682</v>
      </c>
      <c r="DU389" s="363">
        <v>7.2874742587443624</v>
      </c>
      <c r="DV389" s="363">
        <v>7.3413794714089473</v>
      </c>
      <c r="DW389" s="435">
        <v>7.3709712277469803</v>
      </c>
      <c r="DX389" s="435">
        <v>7.4005629840850133</v>
      </c>
      <c r="DY389" s="435">
        <v>7.4301547404230464</v>
      </c>
      <c r="DZ389" s="435">
        <v>7.4597464967610794</v>
      </c>
      <c r="EA389" s="363">
        <v>7.4893382530991124</v>
      </c>
      <c r="EB389" s="435">
        <v>7.5135947469643769</v>
      </c>
      <c r="EC389" s="435">
        <v>7.5378512408296414</v>
      </c>
      <c r="ED389" s="435">
        <v>7.5621077346949059</v>
      </c>
      <c r="EE389" s="435">
        <v>7.5863642285601705</v>
      </c>
      <c r="EF389" s="363">
        <v>7.610620722425435</v>
      </c>
      <c r="EG389" s="364">
        <v>0</v>
      </c>
      <c r="EH389" s="364">
        <v>0</v>
      </c>
      <c r="EI389" s="364">
        <v>0</v>
      </c>
      <c r="EJ389" s="365">
        <v>0</v>
      </c>
      <c r="EK389" s="365">
        <v>0</v>
      </c>
      <c r="EL389" s="365">
        <v>0</v>
      </c>
      <c r="EM389" s="365">
        <v>0</v>
      </c>
      <c r="EN389" s="365">
        <v>0</v>
      </c>
      <c r="EO389" s="365">
        <v>0</v>
      </c>
      <c r="EP389" s="365">
        <v>0</v>
      </c>
      <c r="EQ389" s="365">
        <v>0</v>
      </c>
      <c r="ER389" s="365">
        <v>0</v>
      </c>
      <c r="ES389" s="365">
        <v>0</v>
      </c>
      <c r="ET389" s="365">
        <v>0</v>
      </c>
      <c r="EU389" s="365">
        <v>0</v>
      </c>
      <c r="EV389" s="436">
        <v>0</v>
      </c>
      <c r="EW389" s="436">
        <v>0</v>
      </c>
      <c r="EX389" s="436">
        <v>0</v>
      </c>
      <c r="EY389" s="436">
        <v>0</v>
      </c>
      <c r="EZ389" s="365">
        <v>0</v>
      </c>
      <c r="FA389" s="436">
        <v>0</v>
      </c>
      <c r="FB389" s="436">
        <v>0</v>
      </c>
      <c r="FC389" s="436">
        <v>0</v>
      </c>
      <c r="FD389" s="436">
        <v>0</v>
      </c>
      <c r="FE389" s="365">
        <v>0</v>
      </c>
      <c r="FF389" s="364">
        <v>0</v>
      </c>
      <c r="FG389" s="364">
        <v>0</v>
      </c>
      <c r="FH389" s="364">
        <v>0</v>
      </c>
      <c r="FI389" s="365">
        <v>0</v>
      </c>
      <c r="FJ389" s="365">
        <v>0</v>
      </c>
      <c r="FK389" s="365">
        <v>0</v>
      </c>
      <c r="FL389" s="365">
        <v>0</v>
      </c>
      <c r="FM389" s="365">
        <v>0</v>
      </c>
      <c r="FN389" s="365">
        <v>0</v>
      </c>
      <c r="FO389" s="365">
        <v>0</v>
      </c>
      <c r="FP389" s="365">
        <v>0</v>
      </c>
      <c r="FQ389" s="365">
        <v>0</v>
      </c>
      <c r="FR389" s="365">
        <v>0</v>
      </c>
      <c r="FS389" s="365">
        <v>0</v>
      </c>
      <c r="FT389" s="365">
        <v>0</v>
      </c>
      <c r="FU389" s="436">
        <v>0</v>
      </c>
      <c r="FV389" s="436">
        <v>0</v>
      </c>
      <c r="FW389" s="436">
        <v>0</v>
      </c>
      <c r="FX389" s="436">
        <v>0</v>
      </c>
      <c r="FY389" s="365">
        <v>0</v>
      </c>
      <c r="FZ389" s="436">
        <v>0</v>
      </c>
      <c r="GA389" s="436">
        <v>0</v>
      </c>
      <c r="GB389" s="436">
        <v>0</v>
      </c>
      <c r="GC389" s="436">
        <v>0</v>
      </c>
      <c r="GD389" s="365">
        <v>0</v>
      </c>
    </row>
    <row r="390" spans="1:186" ht="15" x14ac:dyDescent="0.25">
      <c r="A390" s="357">
        <v>113</v>
      </c>
      <c r="B390" s="357">
        <v>103</v>
      </c>
      <c r="C390" s="357" t="s">
        <v>1300</v>
      </c>
      <c r="D390" s="2">
        <v>99712</v>
      </c>
      <c r="E390" s="268" t="s">
        <v>1527</v>
      </c>
      <c r="F390" s="358" t="s">
        <v>985</v>
      </c>
      <c r="G390" s="49">
        <v>33</v>
      </c>
      <c r="H390" s="49">
        <v>21</v>
      </c>
      <c r="I390" s="49">
        <v>15</v>
      </c>
      <c r="J390" s="49">
        <v>6</v>
      </c>
      <c r="K390" s="49">
        <v>0</v>
      </c>
      <c r="L390" s="49">
        <v>12</v>
      </c>
      <c r="M390" s="49">
        <v>12</v>
      </c>
      <c r="N390" s="49">
        <v>4</v>
      </c>
      <c r="O390" s="49">
        <v>0</v>
      </c>
      <c r="P390" s="49">
        <v>0</v>
      </c>
      <c r="Q390" s="49">
        <v>16</v>
      </c>
      <c r="R390" s="49">
        <v>0</v>
      </c>
      <c r="S390" s="49">
        <v>2071.0833333333335</v>
      </c>
      <c r="T390" s="49">
        <v>2071.0833333333335</v>
      </c>
      <c r="U390" s="49">
        <v>4285.75</v>
      </c>
      <c r="V390" s="49">
        <v>0</v>
      </c>
      <c r="W390" s="49">
        <v>0</v>
      </c>
      <c r="X390" s="49">
        <v>2624.75</v>
      </c>
      <c r="Y390" s="434">
        <v>24853</v>
      </c>
      <c r="Z390" s="434">
        <v>17143</v>
      </c>
      <c r="AA390" s="49">
        <v>0</v>
      </c>
      <c r="AB390" s="49">
        <v>21</v>
      </c>
      <c r="AC390" s="49">
        <v>0</v>
      </c>
      <c r="AD390" s="285">
        <v>4</v>
      </c>
      <c r="AE390" s="285">
        <v>0</v>
      </c>
      <c r="AF390" s="359">
        <v>25</v>
      </c>
      <c r="AG390" s="360">
        <v>0</v>
      </c>
      <c r="AH390" s="360">
        <v>15</v>
      </c>
      <c r="AI390" s="361">
        <v>15</v>
      </c>
      <c r="AJ390" s="360">
        <v>0</v>
      </c>
      <c r="AK390" s="360">
        <v>0</v>
      </c>
      <c r="AL390" s="360">
        <v>19.091399148060503</v>
      </c>
      <c r="AM390" s="360">
        <v>19.091399148060503</v>
      </c>
      <c r="AN390" s="360">
        <v>0</v>
      </c>
      <c r="AO390" s="360">
        <v>0</v>
      </c>
      <c r="AP390" s="360">
        <v>13.686811655818639</v>
      </c>
      <c r="AQ390" s="360">
        <v>13.686811655818639</v>
      </c>
      <c r="AR390" s="360">
        <v>0</v>
      </c>
      <c r="AS390" s="360">
        <v>3.7193654032553547</v>
      </c>
      <c r="AT390" s="360">
        <v>0</v>
      </c>
      <c r="AU390" s="360">
        <v>17.356262925265014</v>
      </c>
      <c r="AV390" s="360">
        <v>18.203168494108894</v>
      </c>
      <c r="AW390" s="360">
        <v>19.091399148060503</v>
      </c>
      <c r="AX390" s="360">
        <v>20.022971360646515</v>
      </c>
      <c r="AY390" s="360">
        <v>21</v>
      </c>
      <c r="AZ390" s="360">
        <v>12.488587553456863</v>
      </c>
      <c r="BA390" s="360">
        <v>13.073979718944226</v>
      </c>
      <c r="BB390" s="360">
        <v>13.686811655818639</v>
      </c>
      <c r="BC390" s="360">
        <v>14.328369580565669</v>
      </c>
      <c r="BD390" s="360">
        <v>15</v>
      </c>
      <c r="BE390" s="360">
        <v>3.4584197507332171</v>
      </c>
      <c r="BF390" s="360">
        <v>3.5865201478330131</v>
      </c>
      <c r="BG390" s="360">
        <v>3.7193654032553547</v>
      </c>
      <c r="BH390" s="360">
        <v>3.8571312672790152</v>
      </c>
      <c r="BI390" s="360">
        <v>4</v>
      </c>
      <c r="BJ390" s="362">
        <v>21.19443687868592</v>
      </c>
      <c r="BK390" s="362">
        <v>21.39067402879056</v>
      </c>
      <c r="BL390" s="362">
        <v>21.588728118845129</v>
      </c>
      <c r="BM390" s="363">
        <v>21.446791703414153</v>
      </c>
      <c r="BN390" s="363">
        <v>21.305788457640716</v>
      </c>
      <c r="BO390" s="363">
        <v>21.237752178856184</v>
      </c>
      <c r="BP390" s="363">
        <v>21.169933161931738</v>
      </c>
      <c r="BQ390" s="363">
        <v>21.10233071307993</v>
      </c>
      <c r="BR390" s="363">
        <v>21.034944140728808</v>
      </c>
      <c r="BS390" s="363">
        <v>20.967772755514833</v>
      </c>
      <c r="BT390" s="363">
        <v>21.122870696084917</v>
      </c>
      <c r="BU390" s="363">
        <v>21.279115891132125</v>
      </c>
      <c r="BV390" s="363">
        <v>21.43651682686092</v>
      </c>
      <c r="BW390" s="363">
        <v>21.59508205224795</v>
      </c>
      <c r="BX390" s="363">
        <v>21.754820179506346</v>
      </c>
      <c r="BY390" s="435">
        <v>21.842509876032295</v>
      </c>
      <c r="BZ390" s="435">
        <v>21.930199572558241</v>
      </c>
      <c r="CA390" s="435">
        <v>22.01788926908419</v>
      </c>
      <c r="CB390" s="435">
        <v>22.105578965610135</v>
      </c>
      <c r="CC390" s="363">
        <v>22.193268662136084</v>
      </c>
      <c r="CD390" s="435">
        <v>22.265148295150457</v>
      </c>
      <c r="CE390" s="435">
        <v>22.337027928164829</v>
      </c>
      <c r="CF390" s="435">
        <v>22.408907561179205</v>
      </c>
      <c r="CG390" s="435">
        <v>22.480787194193578</v>
      </c>
      <c r="CH390" s="363">
        <v>22.55266682720795</v>
      </c>
      <c r="CI390" s="362">
        <v>15.138883484775656</v>
      </c>
      <c r="CJ390" s="362">
        <v>15.279052877707542</v>
      </c>
      <c r="CK390" s="362">
        <v>15.420520084889379</v>
      </c>
      <c r="CL390" s="363">
        <v>15.31913693101011</v>
      </c>
      <c r="CM390" s="363">
        <v>15.218420326886227</v>
      </c>
      <c r="CN390" s="363">
        <v>15.169822984897275</v>
      </c>
      <c r="CO390" s="363">
        <v>15.121380829951242</v>
      </c>
      <c r="CP390" s="363">
        <v>15.073093366485665</v>
      </c>
      <c r="CQ390" s="363">
        <v>15.024960100520579</v>
      </c>
      <c r="CR390" s="363">
        <v>14.976980539653454</v>
      </c>
      <c r="CS390" s="363">
        <v>15.0877647829178</v>
      </c>
      <c r="CT390" s="363">
        <v>15.199368493665805</v>
      </c>
      <c r="CU390" s="363">
        <v>15.311797733472087</v>
      </c>
      <c r="CV390" s="363">
        <v>15.425058608748538</v>
      </c>
      <c r="CW390" s="363">
        <v>15.539157271075963</v>
      </c>
      <c r="CX390" s="435">
        <v>15.601792768594498</v>
      </c>
      <c r="CY390" s="435">
        <v>15.664428266113031</v>
      </c>
      <c r="CZ390" s="435">
        <v>15.727063763631566</v>
      </c>
      <c r="DA390" s="435">
        <v>15.789699261150099</v>
      </c>
      <c r="DB390" s="363">
        <v>15.852334758668635</v>
      </c>
      <c r="DC390" s="435">
        <v>15.903677353678901</v>
      </c>
      <c r="DD390" s="435">
        <v>15.955019948689166</v>
      </c>
      <c r="DE390" s="435">
        <v>16.006362543699431</v>
      </c>
      <c r="DF390" s="435">
        <v>16.0577051387097</v>
      </c>
      <c r="DG390" s="363">
        <v>16.109047733719965</v>
      </c>
      <c r="DH390" s="362">
        <v>4.0370355959401749</v>
      </c>
      <c r="DI390" s="362">
        <v>4.0744141007220112</v>
      </c>
      <c r="DJ390" s="362">
        <v>4.1121386893038343</v>
      </c>
      <c r="DK390" s="363">
        <v>4.0851031816026957</v>
      </c>
      <c r="DL390" s="363">
        <v>4.0582454205029936</v>
      </c>
      <c r="DM390" s="363">
        <v>4.0452861293059401</v>
      </c>
      <c r="DN390" s="363">
        <v>4.0323682213203309</v>
      </c>
      <c r="DO390" s="363">
        <v>4.0194915643961773</v>
      </c>
      <c r="DP390" s="363">
        <v>4.0066560268054872</v>
      </c>
      <c r="DQ390" s="363">
        <v>3.9938614772409209</v>
      </c>
      <c r="DR390" s="363">
        <v>4.0234039421114129</v>
      </c>
      <c r="DS390" s="363">
        <v>4.0531649316442149</v>
      </c>
      <c r="DT390" s="363">
        <v>4.0831460622592228</v>
      </c>
      <c r="DU390" s="363">
        <v>4.1133489623329433</v>
      </c>
      <c r="DV390" s="363">
        <v>4.1437752722869234</v>
      </c>
      <c r="DW390" s="435">
        <v>4.1604780716251994</v>
      </c>
      <c r="DX390" s="435">
        <v>4.1771808709634755</v>
      </c>
      <c r="DY390" s="435">
        <v>4.1938836703017506</v>
      </c>
      <c r="DZ390" s="435">
        <v>4.2105864696400266</v>
      </c>
      <c r="EA390" s="363">
        <v>4.2272892689783026</v>
      </c>
      <c r="EB390" s="435">
        <v>4.2409806276477067</v>
      </c>
      <c r="EC390" s="435">
        <v>4.2546719863171107</v>
      </c>
      <c r="ED390" s="435">
        <v>4.2683633449865157</v>
      </c>
      <c r="EE390" s="435">
        <v>4.2820547036559198</v>
      </c>
      <c r="EF390" s="363">
        <v>4.2957460623253239</v>
      </c>
      <c r="EG390" s="364">
        <v>0</v>
      </c>
      <c r="EH390" s="364">
        <v>0</v>
      </c>
      <c r="EI390" s="364">
        <v>0</v>
      </c>
      <c r="EJ390" s="365">
        <v>0</v>
      </c>
      <c r="EK390" s="365">
        <v>0</v>
      </c>
      <c r="EL390" s="365">
        <v>0</v>
      </c>
      <c r="EM390" s="365">
        <v>0</v>
      </c>
      <c r="EN390" s="365">
        <v>0</v>
      </c>
      <c r="EO390" s="365">
        <v>0</v>
      </c>
      <c r="EP390" s="365">
        <v>0</v>
      </c>
      <c r="EQ390" s="365">
        <v>0</v>
      </c>
      <c r="ER390" s="365">
        <v>0</v>
      </c>
      <c r="ES390" s="365">
        <v>0</v>
      </c>
      <c r="ET390" s="365">
        <v>0</v>
      </c>
      <c r="EU390" s="365">
        <v>0</v>
      </c>
      <c r="EV390" s="436">
        <v>0</v>
      </c>
      <c r="EW390" s="436">
        <v>0</v>
      </c>
      <c r="EX390" s="436">
        <v>0</v>
      </c>
      <c r="EY390" s="436">
        <v>0</v>
      </c>
      <c r="EZ390" s="365">
        <v>0</v>
      </c>
      <c r="FA390" s="436">
        <v>0</v>
      </c>
      <c r="FB390" s="436">
        <v>0</v>
      </c>
      <c r="FC390" s="436">
        <v>0</v>
      </c>
      <c r="FD390" s="436">
        <v>0</v>
      </c>
      <c r="FE390" s="365">
        <v>0</v>
      </c>
      <c r="FF390" s="364">
        <v>0</v>
      </c>
      <c r="FG390" s="364">
        <v>0</v>
      </c>
      <c r="FH390" s="364">
        <v>0</v>
      </c>
      <c r="FI390" s="365">
        <v>0</v>
      </c>
      <c r="FJ390" s="365">
        <v>0</v>
      </c>
      <c r="FK390" s="365">
        <v>0</v>
      </c>
      <c r="FL390" s="365">
        <v>0</v>
      </c>
      <c r="FM390" s="365">
        <v>0</v>
      </c>
      <c r="FN390" s="365">
        <v>0</v>
      </c>
      <c r="FO390" s="365">
        <v>0</v>
      </c>
      <c r="FP390" s="365">
        <v>0</v>
      </c>
      <c r="FQ390" s="365">
        <v>0</v>
      </c>
      <c r="FR390" s="365">
        <v>0</v>
      </c>
      <c r="FS390" s="365">
        <v>0</v>
      </c>
      <c r="FT390" s="365">
        <v>0</v>
      </c>
      <c r="FU390" s="436">
        <v>0</v>
      </c>
      <c r="FV390" s="436">
        <v>0</v>
      </c>
      <c r="FW390" s="436">
        <v>0</v>
      </c>
      <c r="FX390" s="436">
        <v>0</v>
      </c>
      <c r="FY390" s="365">
        <v>0</v>
      </c>
      <c r="FZ390" s="436">
        <v>0</v>
      </c>
      <c r="GA390" s="436">
        <v>0</v>
      </c>
      <c r="GB390" s="436">
        <v>0</v>
      </c>
      <c r="GC390" s="436">
        <v>0</v>
      </c>
      <c r="GD390" s="365">
        <v>0</v>
      </c>
    </row>
    <row r="391" spans="1:186" ht="15" x14ac:dyDescent="0.25">
      <c r="A391" s="357">
        <v>114</v>
      </c>
      <c r="B391" s="357">
        <v>103</v>
      </c>
      <c r="C391" s="357" t="s">
        <v>1301</v>
      </c>
      <c r="D391" s="2">
        <v>99712</v>
      </c>
      <c r="E391" s="268" t="s">
        <v>1527</v>
      </c>
      <c r="F391" s="358" t="s">
        <v>985</v>
      </c>
      <c r="G391" s="49">
        <v>415</v>
      </c>
      <c r="H391" s="49">
        <v>177</v>
      </c>
      <c r="I391" s="49">
        <v>164</v>
      </c>
      <c r="J391" s="49">
        <v>13</v>
      </c>
      <c r="K391" s="49">
        <v>0</v>
      </c>
      <c r="L391" s="49">
        <v>0</v>
      </c>
      <c r="M391" s="49">
        <v>0</v>
      </c>
      <c r="N391" s="49">
        <v>0</v>
      </c>
      <c r="O391" s="49">
        <v>0</v>
      </c>
      <c r="P391" s="49">
        <v>0</v>
      </c>
      <c r="Q391" s="49">
        <v>0</v>
      </c>
      <c r="R391" s="49">
        <v>0</v>
      </c>
      <c r="S391" s="49">
        <v>834.49503068156923</v>
      </c>
      <c r="T391" s="49">
        <v>834.49503068156923</v>
      </c>
      <c r="U391" s="49">
        <v>1408.3846153846155</v>
      </c>
      <c r="V391" s="49">
        <v>0</v>
      </c>
      <c r="W391" s="49">
        <v>0</v>
      </c>
      <c r="X391" s="49">
        <v>1365.173957061457</v>
      </c>
      <c r="Y391" s="434">
        <v>0</v>
      </c>
      <c r="Z391" s="434">
        <v>0</v>
      </c>
      <c r="AA391" s="49">
        <v>4.0554833679833679</v>
      </c>
      <c r="AB391" s="49">
        <v>172.71452702702703</v>
      </c>
      <c r="AC391" s="49">
        <v>0.229989604989605</v>
      </c>
      <c r="AD391" s="285">
        <v>0</v>
      </c>
      <c r="AE391" s="285">
        <v>0</v>
      </c>
      <c r="AF391" s="359">
        <v>177</v>
      </c>
      <c r="AG391" s="360">
        <v>3.7576230076230077</v>
      </c>
      <c r="AH391" s="360">
        <v>160.02927927927928</v>
      </c>
      <c r="AI391" s="361">
        <v>163.78690228690229</v>
      </c>
      <c r="AJ391" s="360">
        <v>0.21309771309771308</v>
      </c>
      <c r="AK391" s="360">
        <v>3.6868977007852957</v>
      </c>
      <c r="AL391" s="360">
        <v>157.01723686387888</v>
      </c>
      <c r="AM391" s="360">
        <v>160.70413456466417</v>
      </c>
      <c r="AN391" s="360">
        <v>0.20908682613149127</v>
      </c>
      <c r="AO391" s="360">
        <v>3.4286585585937916</v>
      </c>
      <c r="AP391" s="360">
        <v>146.01937366079306</v>
      </c>
      <c r="AQ391" s="360">
        <v>149.44803221938685</v>
      </c>
      <c r="AR391" s="360">
        <v>0.1944418842302717</v>
      </c>
      <c r="AS391" s="360">
        <v>0</v>
      </c>
      <c r="AT391" s="360">
        <v>0</v>
      </c>
      <c r="AU391" s="360">
        <v>146.09841798655381</v>
      </c>
      <c r="AV391" s="360">
        <v>153.22734685360737</v>
      </c>
      <c r="AW391" s="360">
        <v>160.70413456466417</v>
      </c>
      <c r="AX391" s="360">
        <v>168.54575502668951</v>
      </c>
      <c r="AY391" s="360">
        <v>176.77001039501039</v>
      </c>
      <c r="AZ391" s="360">
        <v>136.36447128796422</v>
      </c>
      <c r="BA391" s="360">
        <v>142.75644258184403</v>
      </c>
      <c r="BB391" s="360">
        <v>149.44803221938685</v>
      </c>
      <c r="BC391" s="360">
        <v>156.45328456151549</v>
      </c>
      <c r="BD391" s="360">
        <v>163.78690228690229</v>
      </c>
      <c r="BE391" s="360">
        <v>0</v>
      </c>
      <c r="BF391" s="360">
        <v>0</v>
      </c>
      <c r="BG391" s="360">
        <v>0</v>
      </c>
      <c r="BH391" s="360">
        <v>0</v>
      </c>
      <c r="BI391" s="360">
        <v>0</v>
      </c>
      <c r="BJ391" s="362">
        <v>178.40670606484292</v>
      </c>
      <c r="BK391" s="362">
        <v>180.0585557345517</v>
      </c>
      <c r="BL391" s="362">
        <v>181.7256997134908</v>
      </c>
      <c r="BM391" s="363">
        <v>180.53093296914963</v>
      </c>
      <c r="BN391" s="363">
        <v>179.34402129195436</v>
      </c>
      <c r="BO391" s="363">
        <v>178.7713177820506</v>
      </c>
      <c r="BP391" s="363">
        <v>178.20044309982612</v>
      </c>
      <c r="BQ391" s="363">
        <v>177.63139140524223</v>
      </c>
      <c r="BR391" s="363">
        <v>177.06415687690927</v>
      </c>
      <c r="BS391" s="363">
        <v>176.49873371202727</v>
      </c>
      <c r="BT391" s="363">
        <v>177.80428916759007</v>
      </c>
      <c r="BU391" s="363">
        <v>179.11950177485986</v>
      </c>
      <c r="BV391" s="363">
        <v>180.44444296747716</v>
      </c>
      <c r="BW391" s="363">
        <v>181.77918470747488</v>
      </c>
      <c r="BX391" s="363">
        <v>183.12379948918661</v>
      </c>
      <c r="BY391" s="435">
        <v>183.86193799234979</v>
      </c>
      <c r="BZ391" s="435">
        <v>184.60007649551301</v>
      </c>
      <c r="CA391" s="435">
        <v>185.33821499867619</v>
      </c>
      <c r="CB391" s="435">
        <v>186.07635350183941</v>
      </c>
      <c r="CC391" s="363">
        <v>186.81449200500259</v>
      </c>
      <c r="CD391" s="435">
        <v>187.41954740858071</v>
      </c>
      <c r="CE391" s="435">
        <v>188.0246028121588</v>
      </c>
      <c r="CF391" s="435">
        <v>188.62965821573692</v>
      </c>
      <c r="CG391" s="435">
        <v>189.23471361931502</v>
      </c>
      <c r="CH391" s="363">
        <v>189.83976902289314</v>
      </c>
      <c r="CI391" s="362">
        <v>165.30338867024994</v>
      </c>
      <c r="CJ391" s="362">
        <v>166.83391604783321</v>
      </c>
      <c r="CK391" s="362">
        <v>168.37861442379941</v>
      </c>
      <c r="CL391" s="363">
        <v>167.27159890926862</v>
      </c>
      <c r="CM391" s="363">
        <v>166.17186153604814</v>
      </c>
      <c r="CN391" s="363">
        <v>165.64122099579831</v>
      </c>
      <c r="CO391" s="363">
        <v>165.11227496255077</v>
      </c>
      <c r="CP391" s="363">
        <v>164.58501802519621</v>
      </c>
      <c r="CQ391" s="363">
        <v>164.05944478990466</v>
      </c>
      <c r="CR391" s="363">
        <v>163.5355498800705</v>
      </c>
      <c r="CS391" s="363">
        <v>164.74521708183488</v>
      </c>
      <c r="CT391" s="363">
        <v>165.96383215297752</v>
      </c>
      <c r="CU391" s="363">
        <v>167.19146128060032</v>
      </c>
      <c r="CV391" s="363">
        <v>168.42817114138919</v>
      </c>
      <c r="CW391" s="363">
        <v>169.67402890523508</v>
      </c>
      <c r="CX391" s="435">
        <v>170.35795384601906</v>
      </c>
      <c r="CY391" s="435">
        <v>171.04187878680304</v>
      </c>
      <c r="CZ391" s="435">
        <v>171.72580372758699</v>
      </c>
      <c r="DA391" s="435">
        <v>172.40972866837097</v>
      </c>
      <c r="DB391" s="363">
        <v>173.09365360915496</v>
      </c>
      <c r="DC391" s="435">
        <v>173.65426991529512</v>
      </c>
      <c r="DD391" s="435">
        <v>174.21488622143528</v>
      </c>
      <c r="DE391" s="435">
        <v>174.77550252757547</v>
      </c>
      <c r="DF391" s="435">
        <v>175.33611883371563</v>
      </c>
      <c r="DG391" s="363">
        <v>175.89673513985579</v>
      </c>
      <c r="DH391" s="362">
        <v>0</v>
      </c>
      <c r="DI391" s="362">
        <v>0</v>
      </c>
      <c r="DJ391" s="362">
        <v>0</v>
      </c>
      <c r="DK391" s="363">
        <v>0</v>
      </c>
      <c r="DL391" s="363">
        <v>0</v>
      </c>
      <c r="DM391" s="363">
        <v>0</v>
      </c>
      <c r="DN391" s="363">
        <v>0</v>
      </c>
      <c r="DO391" s="363">
        <v>0</v>
      </c>
      <c r="DP391" s="363">
        <v>0</v>
      </c>
      <c r="DQ391" s="363">
        <v>0</v>
      </c>
      <c r="DR391" s="363">
        <v>0</v>
      </c>
      <c r="DS391" s="363">
        <v>0</v>
      </c>
      <c r="DT391" s="363">
        <v>0</v>
      </c>
      <c r="DU391" s="363">
        <v>0</v>
      </c>
      <c r="DV391" s="363">
        <v>0</v>
      </c>
      <c r="DW391" s="435">
        <v>0</v>
      </c>
      <c r="DX391" s="435">
        <v>0</v>
      </c>
      <c r="DY391" s="435">
        <v>0</v>
      </c>
      <c r="DZ391" s="435">
        <v>0</v>
      </c>
      <c r="EA391" s="363">
        <v>0</v>
      </c>
      <c r="EB391" s="435">
        <v>0</v>
      </c>
      <c r="EC391" s="435">
        <v>0</v>
      </c>
      <c r="ED391" s="435">
        <v>0</v>
      </c>
      <c r="EE391" s="435">
        <v>0</v>
      </c>
      <c r="EF391" s="363">
        <v>0</v>
      </c>
      <c r="EG391" s="364">
        <v>0.23211905550981385</v>
      </c>
      <c r="EH391" s="364">
        <v>0.23426822239728301</v>
      </c>
      <c r="EI391" s="364">
        <v>0.23643728820386523</v>
      </c>
      <c r="EJ391" s="365">
        <v>0.23488281676964567</v>
      </c>
      <c r="EK391" s="365">
        <v>0.23333856530308922</v>
      </c>
      <c r="EL391" s="365">
        <v>0.23259343973725033</v>
      </c>
      <c r="EM391" s="365">
        <v>0.23185069359852478</v>
      </c>
      <c r="EN391" s="365">
        <v>0.23111031928863157</v>
      </c>
      <c r="EO391" s="365">
        <v>0.23037230923355359</v>
      </c>
      <c r="EP391" s="365">
        <v>0.22963665588345991</v>
      </c>
      <c r="EQ391" s="365">
        <v>0.23133527083995589</v>
      </c>
      <c r="ER391" s="365">
        <v>0.23304645039664307</v>
      </c>
      <c r="ES391" s="365">
        <v>0.23477028749346496</v>
      </c>
      <c r="ET391" s="365">
        <v>0.2365068757578388</v>
      </c>
      <c r="EU391" s="365">
        <v>0.23825630950974061</v>
      </c>
      <c r="EV391" s="436">
        <v>0.23921667706524827</v>
      </c>
      <c r="EW391" s="436">
        <v>0.24017704462075595</v>
      </c>
      <c r="EX391" s="436">
        <v>0.24113741217626361</v>
      </c>
      <c r="EY391" s="436">
        <v>0.2420977797317713</v>
      </c>
      <c r="EZ391" s="365">
        <v>0.24305814728727895</v>
      </c>
      <c r="FA391" s="436">
        <v>0.24384536483031577</v>
      </c>
      <c r="FB391" s="436">
        <v>0.24463258237335261</v>
      </c>
      <c r="FC391" s="436">
        <v>0.24541979991638943</v>
      </c>
      <c r="FD391" s="436">
        <v>0.24620701745942628</v>
      </c>
      <c r="FE391" s="365">
        <v>0.24699423500246309</v>
      </c>
      <c r="FF391" s="364">
        <v>0</v>
      </c>
      <c r="FG391" s="364">
        <v>0</v>
      </c>
      <c r="FH391" s="364">
        <v>0</v>
      </c>
      <c r="FI391" s="365">
        <v>0</v>
      </c>
      <c r="FJ391" s="365">
        <v>0</v>
      </c>
      <c r="FK391" s="365">
        <v>0</v>
      </c>
      <c r="FL391" s="365">
        <v>0</v>
      </c>
      <c r="FM391" s="365">
        <v>0</v>
      </c>
      <c r="FN391" s="365">
        <v>0</v>
      </c>
      <c r="FO391" s="365">
        <v>0</v>
      </c>
      <c r="FP391" s="365">
        <v>0</v>
      </c>
      <c r="FQ391" s="365">
        <v>0</v>
      </c>
      <c r="FR391" s="365">
        <v>0</v>
      </c>
      <c r="FS391" s="365">
        <v>0</v>
      </c>
      <c r="FT391" s="365">
        <v>0</v>
      </c>
      <c r="FU391" s="436">
        <v>0</v>
      </c>
      <c r="FV391" s="436">
        <v>0</v>
      </c>
      <c r="FW391" s="436">
        <v>0</v>
      </c>
      <c r="FX391" s="436">
        <v>0</v>
      </c>
      <c r="FY391" s="365">
        <v>0</v>
      </c>
      <c r="FZ391" s="436">
        <v>0</v>
      </c>
      <c r="GA391" s="436">
        <v>0</v>
      </c>
      <c r="GB391" s="436">
        <v>0</v>
      </c>
      <c r="GC391" s="436">
        <v>0</v>
      </c>
      <c r="GD391" s="365">
        <v>0</v>
      </c>
    </row>
    <row r="392" spans="1:186" ht="15" x14ac:dyDescent="0.25">
      <c r="A392" s="357">
        <v>107</v>
      </c>
      <c r="B392" s="357">
        <v>104</v>
      </c>
      <c r="C392" s="357" t="s">
        <v>1302</v>
      </c>
      <c r="D392" s="2">
        <v>99709</v>
      </c>
      <c r="E392" s="268" t="s">
        <v>1527</v>
      </c>
      <c r="F392" s="358" t="s">
        <v>985</v>
      </c>
      <c r="G392" s="49">
        <v>638</v>
      </c>
      <c r="H392" s="49">
        <v>289</v>
      </c>
      <c r="I392" s="49">
        <v>262</v>
      </c>
      <c r="J392" s="49">
        <v>27</v>
      </c>
      <c r="K392" s="49">
        <v>0</v>
      </c>
      <c r="L392" s="49">
        <v>2</v>
      </c>
      <c r="M392" s="49">
        <v>2</v>
      </c>
      <c r="N392" s="49">
        <v>0</v>
      </c>
      <c r="O392" s="49">
        <v>0</v>
      </c>
      <c r="P392" s="49">
        <v>0</v>
      </c>
      <c r="Q392" s="49">
        <v>2</v>
      </c>
      <c r="R392" s="49">
        <v>0</v>
      </c>
      <c r="S392" s="49">
        <v>1724.5</v>
      </c>
      <c r="T392" s="49">
        <v>1724.5</v>
      </c>
      <c r="U392" s="49">
        <v>0</v>
      </c>
      <c r="V392" s="49">
        <v>0</v>
      </c>
      <c r="W392" s="49">
        <v>0</v>
      </c>
      <c r="X392" s="49">
        <v>1724.5</v>
      </c>
      <c r="Y392" s="434">
        <v>3449</v>
      </c>
      <c r="Z392" s="434">
        <v>0</v>
      </c>
      <c r="AA392" s="49">
        <v>0</v>
      </c>
      <c r="AB392" s="49">
        <v>289</v>
      </c>
      <c r="AC392" s="49">
        <v>0</v>
      </c>
      <c r="AD392" s="285">
        <v>0</v>
      </c>
      <c r="AE392" s="285">
        <v>0</v>
      </c>
      <c r="AF392" s="359">
        <v>289</v>
      </c>
      <c r="AG392" s="360">
        <v>0</v>
      </c>
      <c r="AH392" s="360">
        <v>262</v>
      </c>
      <c r="AI392" s="361">
        <v>262</v>
      </c>
      <c r="AJ392" s="360">
        <v>0</v>
      </c>
      <c r="AK392" s="360">
        <v>0</v>
      </c>
      <c r="AL392" s="360">
        <v>275.17377615723666</v>
      </c>
      <c r="AM392" s="360">
        <v>275.17377615723666</v>
      </c>
      <c r="AN392" s="360">
        <v>0</v>
      </c>
      <c r="AO392" s="360">
        <v>0</v>
      </c>
      <c r="AP392" s="360">
        <v>249.93611277126979</v>
      </c>
      <c r="AQ392" s="360">
        <v>249.93611277126979</v>
      </c>
      <c r="AR392" s="360">
        <v>0</v>
      </c>
      <c r="AS392" s="360">
        <v>0</v>
      </c>
      <c r="AT392" s="360">
        <v>0</v>
      </c>
      <c r="AU392" s="360">
        <v>262.00902105409341</v>
      </c>
      <c r="AV392" s="360">
        <v>268.5107292283044</v>
      </c>
      <c r="AW392" s="360">
        <v>275.17377615723666</v>
      </c>
      <c r="AX392" s="360">
        <v>282.00216543395794</v>
      </c>
      <c r="AY392" s="360">
        <v>289</v>
      </c>
      <c r="AZ392" s="360">
        <v>238.42771170691941</v>
      </c>
      <c r="BA392" s="360">
        <v>244.11410332255781</v>
      </c>
      <c r="BB392" s="360">
        <v>249.93611277126979</v>
      </c>
      <c r="BC392" s="360">
        <v>255.89697447619946</v>
      </c>
      <c r="BD392" s="360">
        <v>262</v>
      </c>
      <c r="BE392" s="360">
        <v>0</v>
      </c>
      <c r="BF392" s="360">
        <v>0</v>
      </c>
      <c r="BG392" s="360">
        <v>0</v>
      </c>
      <c r="BH392" s="360">
        <v>0</v>
      </c>
      <c r="BI392" s="360">
        <v>0</v>
      </c>
      <c r="BJ392" s="362">
        <v>290.48043978422902</v>
      </c>
      <c r="BK392" s="362">
        <v>291.968463312246</v>
      </c>
      <c r="BL392" s="362">
        <v>293.46410943275686</v>
      </c>
      <c r="BM392" s="363">
        <v>291.53471166920036</v>
      </c>
      <c r="BN392" s="363">
        <v>289.61799884942525</v>
      </c>
      <c r="BO392" s="363">
        <v>288.69315483579425</v>
      </c>
      <c r="BP392" s="363">
        <v>287.77126414845151</v>
      </c>
      <c r="BQ392" s="363">
        <v>286.85231735647017</v>
      </c>
      <c r="BR392" s="363">
        <v>285.93630505903957</v>
      </c>
      <c r="BS392" s="363">
        <v>285.02321788536875</v>
      </c>
      <c r="BT392" s="363">
        <v>287.13152545928847</v>
      </c>
      <c r="BU392" s="363">
        <v>289.25542811651133</v>
      </c>
      <c r="BV392" s="363">
        <v>291.39504121336682</v>
      </c>
      <c r="BW392" s="363">
        <v>293.5504809594716</v>
      </c>
      <c r="BX392" s="363">
        <v>295.72186442404086</v>
      </c>
      <c r="BY392" s="435">
        <v>296.91386510864589</v>
      </c>
      <c r="BZ392" s="435">
        <v>298.10586579325098</v>
      </c>
      <c r="CA392" s="435">
        <v>299.29786647785602</v>
      </c>
      <c r="CB392" s="435">
        <v>300.48986716246111</v>
      </c>
      <c r="CC392" s="363">
        <v>301.68186784706614</v>
      </c>
      <c r="CD392" s="435">
        <v>302.65895609296899</v>
      </c>
      <c r="CE392" s="435">
        <v>303.6360443388719</v>
      </c>
      <c r="CF392" s="435">
        <v>304.61313258477475</v>
      </c>
      <c r="CG392" s="435">
        <v>305.59022083067765</v>
      </c>
      <c r="CH392" s="363">
        <v>306.5673090765805</v>
      </c>
      <c r="CI392" s="362">
        <v>263.3421288009273</v>
      </c>
      <c r="CJ392" s="362">
        <v>264.69113282978702</v>
      </c>
      <c r="CK392" s="362">
        <v>266.04704730582108</v>
      </c>
      <c r="CL392" s="363">
        <v>264.29790469664528</v>
      </c>
      <c r="CM392" s="363">
        <v>262.5602619326969</v>
      </c>
      <c r="CN392" s="363">
        <v>261.72182203106604</v>
      </c>
      <c r="CO392" s="363">
        <v>260.88605953942658</v>
      </c>
      <c r="CP392" s="363">
        <v>260.05296590794183</v>
      </c>
      <c r="CQ392" s="363">
        <v>259.22253261407741</v>
      </c>
      <c r="CR392" s="363">
        <v>258.39475116251424</v>
      </c>
      <c r="CS392" s="363">
        <v>260.30608882468368</v>
      </c>
      <c r="CT392" s="363">
        <v>262.23156459005526</v>
      </c>
      <c r="CU392" s="363">
        <v>264.17128303772353</v>
      </c>
      <c r="CV392" s="363">
        <v>266.12534952035139</v>
      </c>
      <c r="CW392" s="363">
        <v>268.09387016989166</v>
      </c>
      <c r="CX392" s="435">
        <v>269.17450746873777</v>
      </c>
      <c r="CY392" s="435">
        <v>270.25514476758389</v>
      </c>
      <c r="CZ392" s="435">
        <v>271.33578206643006</v>
      </c>
      <c r="DA392" s="435">
        <v>272.41641936527617</v>
      </c>
      <c r="DB392" s="363">
        <v>273.49705666412228</v>
      </c>
      <c r="DC392" s="435">
        <v>274.38285984898926</v>
      </c>
      <c r="DD392" s="435">
        <v>275.26866303385623</v>
      </c>
      <c r="DE392" s="435">
        <v>276.15446621872314</v>
      </c>
      <c r="DF392" s="435">
        <v>277.04026940359012</v>
      </c>
      <c r="DG392" s="363">
        <v>277.92607258845709</v>
      </c>
      <c r="DH392" s="362">
        <v>0</v>
      </c>
      <c r="DI392" s="362">
        <v>0</v>
      </c>
      <c r="DJ392" s="362">
        <v>0</v>
      </c>
      <c r="DK392" s="363">
        <v>0</v>
      </c>
      <c r="DL392" s="363">
        <v>0</v>
      </c>
      <c r="DM392" s="363">
        <v>0</v>
      </c>
      <c r="DN392" s="363">
        <v>0</v>
      </c>
      <c r="DO392" s="363">
        <v>0</v>
      </c>
      <c r="DP392" s="363">
        <v>0</v>
      </c>
      <c r="DQ392" s="363">
        <v>0</v>
      </c>
      <c r="DR392" s="363">
        <v>0</v>
      </c>
      <c r="DS392" s="363">
        <v>0</v>
      </c>
      <c r="DT392" s="363">
        <v>0</v>
      </c>
      <c r="DU392" s="363">
        <v>0</v>
      </c>
      <c r="DV392" s="363">
        <v>0</v>
      </c>
      <c r="DW392" s="435">
        <v>0</v>
      </c>
      <c r="DX392" s="435">
        <v>0</v>
      </c>
      <c r="DY392" s="435">
        <v>0</v>
      </c>
      <c r="DZ392" s="435">
        <v>0</v>
      </c>
      <c r="EA392" s="363">
        <v>0</v>
      </c>
      <c r="EB392" s="435">
        <v>0</v>
      </c>
      <c r="EC392" s="435">
        <v>0</v>
      </c>
      <c r="ED392" s="435">
        <v>0</v>
      </c>
      <c r="EE392" s="435">
        <v>0</v>
      </c>
      <c r="EF392" s="363">
        <v>0</v>
      </c>
      <c r="EG392" s="364">
        <v>0</v>
      </c>
      <c r="EH392" s="364">
        <v>0</v>
      </c>
      <c r="EI392" s="364">
        <v>0</v>
      </c>
      <c r="EJ392" s="365">
        <v>0</v>
      </c>
      <c r="EK392" s="365">
        <v>0</v>
      </c>
      <c r="EL392" s="365">
        <v>0</v>
      </c>
      <c r="EM392" s="365">
        <v>0</v>
      </c>
      <c r="EN392" s="365">
        <v>0</v>
      </c>
      <c r="EO392" s="365">
        <v>0</v>
      </c>
      <c r="EP392" s="365">
        <v>0</v>
      </c>
      <c r="EQ392" s="365">
        <v>0</v>
      </c>
      <c r="ER392" s="365">
        <v>0</v>
      </c>
      <c r="ES392" s="365">
        <v>0</v>
      </c>
      <c r="ET392" s="365">
        <v>0</v>
      </c>
      <c r="EU392" s="365">
        <v>0</v>
      </c>
      <c r="EV392" s="436">
        <v>0</v>
      </c>
      <c r="EW392" s="436">
        <v>0</v>
      </c>
      <c r="EX392" s="436">
        <v>0</v>
      </c>
      <c r="EY392" s="436">
        <v>0</v>
      </c>
      <c r="EZ392" s="365">
        <v>0</v>
      </c>
      <c r="FA392" s="436">
        <v>0</v>
      </c>
      <c r="FB392" s="436">
        <v>0</v>
      </c>
      <c r="FC392" s="436">
        <v>0</v>
      </c>
      <c r="FD392" s="436">
        <v>0</v>
      </c>
      <c r="FE392" s="365">
        <v>0</v>
      </c>
      <c r="FF392" s="364">
        <v>0</v>
      </c>
      <c r="FG392" s="364">
        <v>0</v>
      </c>
      <c r="FH392" s="364">
        <v>0</v>
      </c>
      <c r="FI392" s="365">
        <v>0</v>
      </c>
      <c r="FJ392" s="365">
        <v>0</v>
      </c>
      <c r="FK392" s="365">
        <v>0</v>
      </c>
      <c r="FL392" s="365">
        <v>0</v>
      </c>
      <c r="FM392" s="365">
        <v>0</v>
      </c>
      <c r="FN392" s="365">
        <v>0</v>
      </c>
      <c r="FO392" s="365">
        <v>0</v>
      </c>
      <c r="FP392" s="365">
        <v>0</v>
      </c>
      <c r="FQ392" s="365">
        <v>0</v>
      </c>
      <c r="FR392" s="365">
        <v>0</v>
      </c>
      <c r="FS392" s="365">
        <v>0</v>
      </c>
      <c r="FT392" s="365">
        <v>0</v>
      </c>
      <c r="FU392" s="436">
        <v>0</v>
      </c>
      <c r="FV392" s="436">
        <v>0</v>
      </c>
      <c r="FW392" s="436">
        <v>0</v>
      </c>
      <c r="FX392" s="436">
        <v>0</v>
      </c>
      <c r="FY392" s="365">
        <v>0</v>
      </c>
      <c r="FZ392" s="436">
        <v>0</v>
      </c>
      <c r="GA392" s="436">
        <v>0</v>
      </c>
      <c r="GB392" s="436">
        <v>0</v>
      </c>
      <c r="GC392" s="436">
        <v>0</v>
      </c>
      <c r="GD392" s="365">
        <v>0</v>
      </c>
    </row>
    <row r="393" spans="1:186" ht="15" x14ac:dyDescent="0.25">
      <c r="A393" s="357">
        <v>108</v>
      </c>
      <c r="B393" s="357">
        <v>104</v>
      </c>
      <c r="C393" s="357" t="s">
        <v>1303</v>
      </c>
      <c r="D393" s="2">
        <v>99709</v>
      </c>
      <c r="E393" s="268" t="s">
        <v>1527</v>
      </c>
      <c r="F393" s="358" t="s">
        <v>985</v>
      </c>
      <c r="G393" s="49">
        <v>45</v>
      </c>
      <c r="H393" s="49">
        <v>21</v>
      </c>
      <c r="I393" s="49">
        <v>20</v>
      </c>
      <c r="J393" s="49">
        <v>1</v>
      </c>
      <c r="K393" s="49">
        <v>0</v>
      </c>
      <c r="L393" s="49">
        <v>36</v>
      </c>
      <c r="M393" s="49">
        <v>36</v>
      </c>
      <c r="N393" s="49">
        <v>0</v>
      </c>
      <c r="O393" s="49">
        <v>0</v>
      </c>
      <c r="P393" s="49">
        <v>0</v>
      </c>
      <c r="Q393" s="49">
        <v>36</v>
      </c>
      <c r="R393" s="49">
        <v>0</v>
      </c>
      <c r="S393" s="49">
        <v>1871.0277777777778</v>
      </c>
      <c r="T393" s="49">
        <v>1871.0277777777778</v>
      </c>
      <c r="U393" s="49">
        <v>0</v>
      </c>
      <c r="V393" s="49">
        <v>0</v>
      </c>
      <c r="W393" s="49">
        <v>0</v>
      </c>
      <c r="X393" s="49">
        <v>1871.0277777777778</v>
      </c>
      <c r="Y393" s="434">
        <v>67357</v>
      </c>
      <c r="Z393" s="434">
        <v>0</v>
      </c>
      <c r="AA393" s="49">
        <v>0</v>
      </c>
      <c r="AB393" s="49">
        <v>21</v>
      </c>
      <c r="AC393" s="49">
        <v>0</v>
      </c>
      <c r="AD393" s="285">
        <v>0</v>
      </c>
      <c r="AE393" s="285">
        <v>0</v>
      </c>
      <c r="AF393" s="359">
        <v>21</v>
      </c>
      <c r="AG393" s="360">
        <v>0</v>
      </c>
      <c r="AH393" s="360">
        <v>20</v>
      </c>
      <c r="AI393" s="361">
        <v>20</v>
      </c>
      <c r="AJ393" s="360">
        <v>0</v>
      </c>
      <c r="AK393" s="360">
        <v>0</v>
      </c>
      <c r="AL393" s="360">
        <v>19.995326295162528</v>
      </c>
      <c r="AM393" s="360">
        <v>19.995326295162528</v>
      </c>
      <c r="AN393" s="360">
        <v>0</v>
      </c>
      <c r="AO393" s="360">
        <v>0</v>
      </c>
      <c r="AP393" s="360">
        <v>19.079092577959525</v>
      </c>
      <c r="AQ393" s="360">
        <v>19.079092577959525</v>
      </c>
      <c r="AR393" s="360">
        <v>0</v>
      </c>
      <c r="AS393" s="360">
        <v>0</v>
      </c>
      <c r="AT393" s="360">
        <v>0</v>
      </c>
      <c r="AU393" s="360">
        <v>19.038717792857998</v>
      </c>
      <c r="AV393" s="360">
        <v>19.511160255343917</v>
      </c>
      <c r="AW393" s="360">
        <v>19.995326295162528</v>
      </c>
      <c r="AX393" s="360">
        <v>20.491506830841235</v>
      </c>
      <c r="AY393" s="360">
        <v>21</v>
      </c>
      <c r="AZ393" s="360">
        <v>18.200588679917512</v>
      </c>
      <c r="BA393" s="360">
        <v>18.63466437576777</v>
      </c>
      <c r="BB393" s="360">
        <v>19.079092577959525</v>
      </c>
      <c r="BC393" s="360">
        <v>19.534120189022861</v>
      </c>
      <c r="BD393" s="360">
        <v>20</v>
      </c>
      <c r="BE393" s="360">
        <v>0</v>
      </c>
      <c r="BF393" s="360">
        <v>0</v>
      </c>
      <c r="BG393" s="360">
        <v>0</v>
      </c>
      <c r="BH393" s="360">
        <v>0</v>
      </c>
      <c r="BI393" s="360">
        <v>0</v>
      </c>
      <c r="BJ393" s="362">
        <v>21.107575209234632</v>
      </c>
      <c r="BK393" s="362">
        <v>21.215701486356974</v>
      </c>
      <c r="BL393" s="362">
        <v>21.324381654283371</v>
      </c>
      <c r="BM393" s="363">
        <v>21.184183200876152</v>
      </c>
      <c r="BN393" s="363">
        <v>21.044906490788687</v>
      </c>
      <c r="BO393" s="363">
        <v>20.977703292566364</v>
      </c>
      <c r="BP393" s="363">
        <v>20.91071469590824</v>
      </c>
      <c r="BQ393" s="363">
        <v>20.843940015522058</v>
      </c>
      <c r="BR393" s="363">
        <v>20.777378568303916</v>
      </c>
      <c r="BS393" s="363">
        <v>20.711029673331296</v>
      </c>
      <c r="BT393" s="363">
        <v>20.864228493581518</v>
      </c>
      <c r="BU393" s="363">
        <v>21.018560520576948</v>
      </c>
      <c r="BV393" s="363">
        <v>21.174034136611429</v>
      </c>
      <c r="BW393" s="363">
        <v>21.330657785982368</v>
      </c>
      <c r="BX393" s="363">
        <v>21.488439975449335</v>
      </c>
      <c r="BY393" s="435">
        <v>21.57505594215074</v>
      </c>
      <c r="BZ393" s="435">
        <v>21.661671908852146</v>
      </c>
      <c r="CA393" s="435">
        <v>21.748287875553554</v>
      </c>
      <c r="CB393" s="435">
        <v>21.83490384225496</v>
      </c>
      <c r="CC393" s="363">
        <v>21.921519808956365</v>
      </c>
      <c r="CD393" s="435">
        <v>21.992519300873184</v>
      </c>
      <c r="CE393" s="435">
        <v>22.063518792790003</v>
      </c>
      <c r="CF393" s="435">
        <v>22.134518284706818</v>
      </c>
      <c r="CG393" s="435">
        <v>22.205517776623637</v>
      </c>
      <c r="CH393" s="363">
        <v>22.276517268540456</v>
      </c>
      <c r="CI393" s="362">
        <v>20.10245258022346</v>
      </c>
      <c r="CJ393" s="362">
        <v>20.205429987006642</v>
      </c>
      <c r="CK393" s="362">
        <v>20.308934908841305</v>
      </c>
      <c r="CL393" s="363">
        <v>20.175412572262999</v>
      </c>
      <c r="CM393" s="363">
        <v>20.042768086465415</v>
      </c>
      <c r="CN393" s="363">
        <v>19.978765040539393</v>
      </c>
      <c r="CO393" s="363">
        <v>19.914966377055467</v>
      </c>
      <c r="CP393" s="363">
        <v>19.851371443354338</v>
      </c>
      <c r="CQ393" s="363">
        <v>19.787979588860871</v>
      </c>
      <c r="CR393" s="363">
        <v>19.724790165077422</v>
      </c>
      <c r="CS393" s="363">
        <v>19.870693803410969</v>
      </c>
      <c r="CT393" s="363">
        <v>20.017676686263759</v>
      </c>
      <c r="CU393" s="363">
        <v>20.16574679677279</v>
      </c>
      <c r="CV393" s="363">
        <v>20.314912177126061</v>
      </c>
      <c r="CW393" s="363">
        <v>20.465180928999366</v>
      </c>
      <c r="CX393" s="435">
        <v>20.54767232585785</v>
      </c>
      <c r="CY393" s="435">
        <v>20.630163722716333</v>
      </c>
      <c r="CZ393" s="435">
        <v>20.712655119574812</v>
      </c>
      <c r="DA393" s="435">
        <v>20.795146516433295</v>
      </c>
      <c r="DB393" s="363">
        <v>20.877637913291778</v>
      </c>
      <c r="DC393" s="435">
        <v>20.945256477022081</v>
      </c>
      <c r="DD393" s="435">
        <v>21.012875040752384</v>
      </c>
      <c r="DE393" s="435">
        <v>21.080493604482683</v>
      </c>
      <c r="DF393" s="435">
        <v>21.148112168212986</v>
      </c>
      <c r="DG393" s="363">
        <v>21.215730731943289</v>
      </c>
      <c r="DH393" s="362">
        <v>0</v>
      </c>
      <c r="DI393" s="362">
        <v>0</v>
      </c>
      <c r="DJ393" s="362">
        <v>0</v>
      </c>
      <c r="DK393" s="363">
        <v>0</v>
      </c>
      <c r="DL393" s="363">
        <v>0</v>
      </c>
      <c r="DM393" s="363">
        <v>0</v>
      </c>
      <c r="DN393" s="363">
        <v>0</v>
      </c>
      <c r="DO393" s="363">
        <v>0</v>
      </c>
      <c r="DP393" s="363">
        <v>0</v>
      </c>
      <c r="DQ393" s="363">
        <v>0</v>
      </c>
      <c r="DR393" s="363">
        <v>0</v>
      </c>
      <c r="DS393" s="363">
        <v>0</v>
      </c>
      <c r="DT393" s="363">
        <v>0</v>
      </c>
      <c r="DU393" s="363">
        <v>0</v>
      </c>
      <c r="DV393" s="363">
        <v>0</v>
      </c>
      <c r="DW393" s="435">
        <v>0</v>
      </c>
      <c r="DX393" s="435">
        <v>0</v>
      </c>
      <c r="DY393" s="435">
        <v>0</v>
      </c>
      <c r="DZ393" s="435">
        <v>0</v>
      </c>
      <c r="EA393" s="363">
        <v>0</v>
      </c>
      <c r="EB393" s="435">
        <v>0</v>
      </c>
      <c r="EC393" s="435">
        <v>0</v>
      </c>
      <c r="ED393" s="435">
        <v>0</v>
      </c>
      <c r="EE393" s="435">
        <v>0</v>
      </c>
      <c r="EF393" s="363">
        <v>0</v>
      </c>
      <c r="EG393" s="364">
        <v>0</v>
      </c>
      <c r="EH393" s="364">
        <v>0</v>
      </c>
      <c r="EI393" s="364">
        <v>0</v>
      </c>
      <c r="EJ393" s="365">
        <v>0</v>
      </c>
      <c r="EK393" s="365">
        <v>0</v>
      </c>
      <c r="EL393" s="365">
        <v>0</v>
      </c>
      <c r="EM393" s="365">
        <v>0</v>
      </c>
      <c r="EN393" s="365">
        <v>0</v>
      </c>
      <c r="EO393" s="365">
        <v>0</v>
      </c>
      <c r="EP393" s="365">
        <v>0</v>
      </c>
      <c r="EQ393" s="365">
        <v>0</v>
      </c>
      <c r="ER393" s="365">
        <v>0</v>
      </c>
      <c r="ES393" s="365">
        <v>0</v>
      </c>
      <c r="ET393" s="365">
        <v>0</v>
      </c>
      <c r="EU393" s="365">
        <v>0</v>
      </c>
      <c r="EV393" s="436">
        <v>0</v>
      </c>
      <c r="EW393" s="436">
        <v>0</v>
      </c>
      <c r="EX393" s="436">
        <v>0</v>
      </c>
      <c r="EY393" s="436">
        <v>0</v>
      </c>
      <c r="EZ393" s="365">
        <v>0</v>
      </c>
      <c r="FA393" s="436">
        <v>0</v>
      </c>
      <c r="FB393" s="436">
        <v>0</v>
      </c>
      <c r="FC393" s="436">
        <v>0</v>
      </c>
      <c r="FD393" s="436">
        <v>0</v>
      </c>
      <c r="FE393" s="365">
        <v>0</v>
      </c>
      <c r="FF393" s="364">
        <v>0</v>
      </c>
      <c r="FG393" s="364">
        <v>0</v>
      </c>
      <c r="FH393" s="364">
        <v>0</v>
      </c>
      <c r="FI393" s="365">
        <v>0</v>
      </c>
      <c r="FJ393" s="365">
        <v>0</v>
      </c>
      <c r="FK393" s="365">
        <v>0</v>
      </c>
      <c r="FL393" s="365">
        <v>0</v>
      </c>
      <c r="FM393" s="365">
        <v>0</v>
      </c>
      <c r="FN393" s="365">
        <v>0</v>
      </c>
      <c r="FO393" s="365">
        <v>0</v>
      </c>
      <c r="FP393" s="365">
        <v>0</v>
      </c>
      <c r="FQ393" s="365">
        <v>0</v>
      </c>
      <c r="FR393" s="365">
        <v>0</v>
      </c>
      <c r="FS393" s="365">
        <v>0</v>
      </c>
      <c r="FT393" s="365">
        <v>0</v>
      </c>
      <c r="FU393" s="436">
        <v>0</v>
      </c>
      <c r="FV393" s="436">
        <v>0</v>
      </c>
      <c r="FW393" s="436">
        <v>0</v>
      </c>
      <c r="FX393" s="436">
        <v>0</v>
      </c>
      <c r="FY393" s="365">
        <v>0</v>
      </c>
      <c r="FZ393" s="436">
        <v>0</v>
      </c>
      <c r="GA393" s="436">
        <v>0</v>
      </c>
      <c r="GB393" s="436">
        <v>0</v>
      </c>
      <c r="GC393" s="436">
        <v>0</v>
      </c>
      <c r="GD393" s="365">
        <v>0</v>
      </c>
    </row>
    <row r="394" spans="1:186" ht="15" x14ac:dyDescent="0.25">
      <c r="A394" s="357">
        <v>112</v>
      </c>
      <c r="B394" s="357">
        <v>104</v>
      </c>
      <c r="C394" s="357" t="s">
        <v>1304</v>
      </c>
      <c r="D394" s="2">
        <v>99712</v>
      </c>
      <c r="E394" s="268" t="s">
        <v>1527</v>
      </c>
      <c r="F394" s="358" t="s">
        <v>985</v>
      </c>
      <c r="G394" s="49">
        <v>1</v>
      </c>
      <c r="H394" s="49">
        <v>1</v>
      </c>
      <c r="I394" s="49">
        <v>1</v>
      </c>
      <c r="J394" s="49">
        <v>0</v>
      </c>
      <c r="K394" s="49">
        <v>0</v>
      </c>
      <c r="L394" s="49">
        <v>1</v>
      </c>
      <c r="M394" s="49">
        <v>1</v>
      </c>
      <c r="N394" s="49">
        <v>0</v>
      </c>
      <c r="O394" s="49">
        <v>0</v>
      </c>
      <c r="P394" s="49">
        <v>0</v>
      </c>
      <c r="Q394" s="49">
        <v>1</v>
      </c>
      <c r="R394" s="49">
        <v>0</v>
      </c>
      <c r="S394" s="49">
        <v>6285</v>
      </c>
      <c r="T394" s="49">
        <v>6285</v>
      </c>
      <c r="U394" s="49">
        <v>0</v>
      </c>
      <c r="V394" s="49">
        <v>0</v>
      </c>
      <c r="W394" s="49">
        <v>0</v>
      </c>
      <c r="X394" s="49">
        <v>6285</v>
      </c>
      <c r="Y394" s="434">
        <v>6285</v>
      </c>
      <c r="Z394" s="434">
        <v>0</v>
      </c>
      <c r="AA394" s="49">
        <v>0</v>
      </c>
      <c r="AB394" s="49">
        <v>1</v>
      </c>
      <c r="AC394" s="49">
        <v>0</v>
      </c>
      <c r="AD394" s="285">
        <v>0</v>
      </c>
      <c r="AE394" s="285">
        <v>0</v>
      </c>
      <c r="AF394" s="359">
        <v>1</v>
      </c>
      <c r="AG394" s="360">
        <v>0</v>
      </c>
      <c r="AH394" s="360">
        <v>1</v>
      </c>
      <c r="AI394" s="361">
        <v>1</v>
      </c>
      <c r="AJ394" s="360">
        <v>0</v>
      </c>
      <c r="AK394" s="360">
        <v>0</v>
      </c>
      <c r="AL394" s="360">
        <v>0.90911424514573824</v>
      </c>
      <c r="AM394" s="360">
        <v>0.90911424514573824</v>
      </c>
      <c r="AN394" s="360">
        <v>0</v>
      </c>
      <c r="AO394" s="360">
        <v>0</v>
      </c>
      <c r="AP394" s="360">
        <v>0.91245411038790925</v>
      </c>
      <c r="AQ394" s="360">
        <v>0.91245411038790925</v>
      </c>
      <c r="AR394" s="360">
        <v>0</v>
      </c>
      <c r="AS394" s="360">
        <v>0</v>
      </c>
      <c r="AT394" s="360">
        <v>0</v>
      </c>
      <c r="AU394" s="360">
        <v>0.82648871072690544</v>
      </c>
      <c r="AV394" s="360">
        <v>0.86681754733851879</v>
      </c>
      <c r="AW394" s="360">
        <v>0.90911424514573824</v>
      </c>
      <c r="AX394" s="360">
        <v>0.95347482669745309</v>
      </c>
      <c r="AY394" s="360">
        <v>1</v>
      </c>
      <c r="AZ394" s="360">
        <v>0.83257250356379087</v>
      </c>
      <c r="BA394" s="360">
        <v>0.87159864792961517</v>
      </c>
      <c r="BB394" s="360">
        <v>0.91245411038790925</v>
      </c>
      <c r="BC394" s="360">
        <v>0.9552246387043779</v>
      </c>
      <c r="BD394" s="360">
        <v>1</v>
      </c>
      <c r="BE394" s="360">
        <v>0</v>
      </c>
      <c r="BF394" s="360">
        <v>0</v>
      </c>
      <c r="BG394" s="360">
        <v>0</v>
      </c>
      <c r="BH394" s="360">
        <v>0</v>
      </c>
      <c r="BI394" s="360">
        <v>0</v>
      </c>
      <c r="BJ394" s="362">
        <v>1.0134066054705759</v>
      </c>
      <c r="BK394" s="362">
        <v>1.0269929480113955</v>
      </c>
      <c r="BL394" s="362">
        <v>1.040761437286448</v>
      </c>
      <c r="BM394" s="363">
        <v>1.0339188874653549</v>
      </c>
      <c r="BN394" s="363">
        <v>1.0271213244071997</v>
      </c>
      <c r="BO394" s="363">
        <v>1.0238413935606208</v>
      </c>
      <c r="BP394" s="363">
        <v>1.02057193659488</v>
      </c>
      <c r="BQ394" s="363">
        <v>1.0173129200634858</v>
      </c>
      <c r="BR394" s="363">
        <v>1.014064310626752</v>
      </c>
      <c r="BS394" s="363">
        <v>1.0108260750514568</v>
      </c>
      <c r="BT394" s="363">
        <v>1.018303123011822</v>
      </c>
      <c r="BU394" s="363">
        <v>1.0258354784554244</v>
      </c>
      <c r="BV394" s="363">
        <v>1.0334235504899383</v>
      </c>
      <c r="BW394" s="363">
        <v>1.0410677512491946</v>
      </c>
      <c r="BX394" s="363">
        <v>1.0487684959155639</v>
      </c>
      <c r="BY394" s="435">
        <v>1.05299588967814</v>
      </c>
      <c r="BZ394" s="435">
        <v>1.057223283440716</v>
      </c>
      <c r="CA394" s="435">
        <v>1.0614506772032923</v>
      </c>
      <c r="CB394" s="435">
        <v>1.0656780709658684</v>
      </c>
      <c r="CC394" s="363">
        <v>1.0699054647284445</v>
      </c>
      <c r="CD394" s="435">
        <v>1.0733706781377681</v>
      </c>
      <c r="CE394" s="435">
        <v>1.0768358915470915</v>
      </c>
      <c r="CF394" s="435">
        <v>1.0803011049564151</v>
      </c>
      <c r="CG394" s="435">
        <v>1.0837663183657384</v>
      </c>
      <c r="CH394" s="363">
        <v>1.087231531775062</v>
      </c>
      <c r="CI394" s="362">
        <v>1.0134066054705759</v>
      </c>
      <c r="CJ394" s="362">
        <v>1.0269929480113955</v>
      </c>
      <c r="CK394" s="362">
        <v>1.040761437286448</v>
      </c>
      <c r="CL394" s="363">
        <v>1.0339188874653549</v>
      </c>
      <c r="CM394" s="363">
        <v>1.0271213244071997</v>
      </c>
      <c r="CN394" s="363">
        <v>1.0238413935606208</v>
      </c>
      <c r="CO394" s="363">
        <v>1.02057193659488</v>
      </c>
      <c r="CP394" s="363">
        <v>1.0173129200634858</v>
      </c>
      <c r="CQ394" s="363">
        <v>1.014064310626752</v>
      </c>
      <c r="CR394" s="363">
        <v>1.0108260750514568</v>
      </c>
      <c r="CS394" s="363">
        <v>1.018303123011822</v>
      </c>
      <c r="CT394" s="363">
        <v>1.0258354784554244</v>
      </c>
      <c r="CU394" s="363">
        <v>1.0334235504899383</v>
      </c>
      <c r="CV394" s="363">
        <v>1.0410677512491946</v>
      </c>
      <c r="CW394" s="363">
        <v>1.0487684959155639</v>
      </c>
      <c r="CX394" s="435">
        <v>1.05299588967814</v>
      </c>
      <c r="CY394" s="435">
        <v>1.057223283440716</v>
      </c>
      <c r="CZ394" s="435">
        <v>1.0614506772032923</v>
      </c>
      <c r="DA394" s="435">
        <v>1.0656780709658684</v>
      </c>
      <c r="DB394" s="363">
        <v>1.0699054647284445</v>
      </c>
      <c r="DC394" s="435">
        <v>1.0733706781377681</v>
      </c>
      <c r="DD394" s="435">
        <v>1.0768358915470915</v>
      </c>
      <c r="DE394" s="435">
        <v>1.0803011049564151</v>
      </c>
      <c r="DF394" s="435">
        <v>1.0837663183657384</v>
      </c>
      <c r="DG394" s="363">
        <v>1.087231531775062</v>
      </c>
      <c r="DH394" s="362">
        <v>0</v>
      </c>
      <c r="DI394" s="362">
        <v>0</v>
      </c>
      <c r="DJ394" s="362">
        <v>0</v>
      </c>
      <c r="DK394" s="363">
        <v>0</v>
      </c>
      <c r="DL394" s="363">
        <v>0</v>
      </c>
      <c r="DM394" s="363">
        <v>0</v>
      </c>
      <c r="DN394" s="363">
        <v>0</v>
      </c>
      <c r="DO394" s="363">
        <v>0</v>
      </c>
      <c r="DP394" s="363">
        <v>0</v>
      </c>
      <c r="DQ394" s="363">
        <v>0</v>
      </c>
      <c r="DR394" s="363">
        <v>0</v>
      </c>
      <c r="DS394" s="363">
        <v>0</v>
      </c>
      <c r="DT394" s="363">
        <v>0</v>
      </c>
      <c r="DU394" s="363">
        <v>0</v>
      </c>
      <c r="DV394" s="363">
        <v>0</v>
      </c>
      <c r="DW394" s="435">
        <v>0</v>
      </c>
      <c r="DX394" s="435">
        <v>0</v>
      </c>
      <c r="DY394" s="435">
        <v>0</v>
      </c>
      <c r="DZ394" s="435">
        <v>0</v>
      </c>
      <c r="EA394" s="363">
        <v>0</v>
      </c>
      <c r="EB394" s="435">
        <v>0</v>
      </c>
      <c r="EC394" s="435">
        <v>0</v>
      </c>
      <c r="ED394" s="435">
        <v>0</v>
      </c>
      <c r="EE394" s="435">
        <v>0</v>
      </c>
      <c r="EF394" s="363">
        <v>0</v>
      </c>
      <c r="EG394" s="364">
        <v>0</v>
      </c>
      <c r="EH394" s="364">
        <v>0</v>
      </c>
      <c r="EI394" s="364">
        <v>0</v>
      </c>
      <c r="EJ394" s="365">
        <v>0</v>
      </c>
      <c r="EK394" s="365">
        <v>0</v>
      </c>
      <c r="EL394" s="365">
        <v>0</v>
      </c>
      <c r="EM394" s="365">
        <v>0</v>
      </c>
      <c r="EN394" s="365">
        <v>0</v>
      </c>
      <c r="EO394" s="365">
        <v>0</v>
      </c>
      <c r="EP394" s="365">
        <v>0</v>
      </c>
      <c r="EQ394" s="365">
        <v>0</v>
      </c>
      <c r="ER394" s="365">
        <v>0</v>
      </c>
      <c r="ES394" s="365">
        <v>0</v>
      </c>
      <c r="ET394" s="365">
        <v>0</v>
      </c>
      <c r="EU394" s="365">
        <v>0</v>
      </c>
      <c r="EV394" s="436">
        <v>0</v>
      </c>
      <c r="EW394" s="436">
        <v>0</v>
      </c>
      <c r="EX394" s="436">
        <v>0</v>
      </c>
      <c r="EY394" s="436">
        <v>0</v>
      </c>
      <c r="EZ394" s="365">
        <v>0</v>
      </c>
      <c r="FA394" s="436">
        <v>0</v>
      </c>
      <c r="FB394" s="436">
        <v>0</v>
      </c>
      <c r="FC394" s="436">
        <v>0</v>
      </c>
      <c r="FD394" s="436">
        <v>0</v>
      </c>
      <c r="FE394" s="365">
        <v>0</v>
      </c>
      <c r="FF394" s="364">
        <v>0</v>
      </c>
      <c r="FG394" s="364">
        <v>0</v>
      </c>
      <c r="FH394" s="364">
        <v>0</v>
      </c>
      <c r="FI394" s="365">
        <v>0</v>
      </c>
      <c r="FJ394" s="365">
        <v>0</v>
      </c>
      <c r="FK394" s="365">
        <v>0</v>
      </c>
      <c r="FL394" s="365">
        <v>0</v>
      </c>
      <c r="FM394" s="365">
        <v>0</v>
      </c>
      <c r="FN394" s="365">
        <v>0</v>
      </c>
      <c r="FO394" s="365">
        <v>0</v>
      </c>
      <c r="FP394" s="365">
        <v>0</v>
      </c>
      <c r="FQ394" s="365">
        <v>0</v>
      </c>
      <c r="FR394" s="365">
        <v>0</v>
      </c>
      <c r="FS394" s="365">
        <v>0</v>
      </c>
      <c r="FT394" s="365">
        <v>0</v>
      </c>
      <c r="FU394" s="436">
        <v>0</v>
      </c>
      <c r="FV394" s="436">
        <v>0</v>
      </c>
      <c r="FW394" s="436">
        <v>0</v>
      </c>
      <c r="FX394" s="436">
        <v>0</v>
      </c>
      <c r="FY394" s="365">
        <v>0</v>
      </c>
      <c r="FZ394" s="436">
        <v>0</v>
      </c>
      <c r="GA394" s="436">
        <v>0</v>
      </c>
      <c r="GB394" s="436">
        <v>0</v>
      </c>
      <c r="GC394" s="436">
        <v>0</v>
      </c>
      <c r="GD394" s="365">
        <v>0</v>
      </c>
    </row>
    <row r="395" spans="1:186" ht="15" x14ac:dyDescent="0.25">
      <c r="A395" s="357">
        <v>113</v>
      </c>
      <c r="B395" s="357">
        <v>104</v>
      </c>
      <c r="C395" s="357" t="s">
        <v>1305</v>
      </c>
      <c r="D395" s="2">
        <v>99712</v>
      </c>
      <c r="E395" s="268" t="s">
        <v>1527</v>
      </c>
      <c r="F395" s="358" t="s">
        <v>985</v>
      </c>
      <c r="G395" s="49">
        <v>66</v>
      </c>
      <c r="H395" s="49">
        <v>52</v>
      </c>
      <c r="I395" s="49">
        <v>37</v>
      </c>
      <c r="J395" s="49">
        <v>15</v>
      </c>
      <c r="K395" s="49">
        <v>3</v>
      </c>
      <c r="L395" s="49">
        <v>41</v>
      </c>
      <c r="M395" s="49">
        <v>44</v>
      </c>
      <c r="N395" s="49">
        <v>9</v>
      </c>
      <c r="O395" s="49">
        <v>0</v>
      </c>
      <c r="P395" s="49">
        <v>0</v>
      </c>
      <c r="Q395" s="49">
        <v>53</v>
      </c>
      <c r="R395" s="49">
        <v>2249</v>
      </c>
      <c r="S395" s="49">
        <v>1688.1219512195121</v>
      </c>
      <c r="T395" s="49">
        <v>1726.3636363636363</v>
      </c>
      <c r="U395" s="49">
        <v>7577.8888888888887</v>
      </c>
      <c r="V395" s="49">
        <v>0</v>
      </c>
      <c r="W395" s="49">
        <v>0</v>
      </c>
      <c r="X395" s="49">
        <v>2720.0188679245284</v>
      </c>
      <c r="Y395" s="434">
        <v>75960</v>
      </c>
      <c r="Z395" s="434">
        <v>68201</v>
      </c>
      <c r="AA395" s="49">
        <v>3.5454545454545454</v>
      </c>
      <c r="AB395" s="49">
        <v>48.454545454545453</v>
      </c>
      <c r="AC395" s="49">
        <v>0</v>
      </c>
      <c r="AD395" s="285">
        <v>9</v>
      </c>
      <c r="AE395" s="285">
        <v>0</v>
      </c>
      <c r="AF395" s="359">
        <v>61</v>
      </c>
      <c r="AG395" s="360">
        <v>2.5227272727272729</v>
      </c>
      <c r="AH395" s="360">
        <v>34.477272727272727</v>
      </c>
      <c r="AI395" s="361">
        <v>37</v>
      </c>
      <c r="AJ395" s="360">
        <v>0</v>
      </c>
      <c r="AK395" s="360">
        <v>3.2232232327894357</v>
      </c>
      <c r="AL395" s="360">
        <v>44.05071751478895</v>
      </c>
      <c r="AM395" s="360">
        <v>47.273940747578386</v>
      </c>
      <c r="AN395" s="360">
        <v>0</v>
      </c>
      <c r="AO395" s="360">
        <v>2.3018728693876804</v>
      </c>
      <c r="AP395" s="360">
        <v>31.458929214964961</v>
      </c>
      <c r="AQ395" s="360">
        <v>33.76080208435264</v>
      </c>
      <c r="AR395" s="360">
        <v>0</v>
      </c>
      <c r="AS395" s="360">
        <v>8.3685721573245484</v>
      </c>
      <c r="AT395" s="360">
        <v>0</v>
      </c>
      <c r="AU395" s="360">
        <v>42.977412957799082</v>
      </c>
      <c r="AV395" s="360">
        <v>45.074512461602971</v>
      </c>
      <c r="AW395" s="360">
        <v>47.273940747578386</v>
      </c>
      <c r="AX395" s="360">
        <v>49.580690988267563</v>
      </c>
      <c r="AY395" s="360">
        <v>52</v>
      </c>
      <c r="AZ395" s="360">
        <v>30.805182631860262</v>
      </c>
      <c r="BA395" s="360">
        <v>32.24914997339576</v>
      </c>
      <c r="BB395" s="360">
        <v>33.76080208435264</v>
      </c>
      <c r="BC395" s="360">
        <v>35.343311632061983</v>
      </c>
      <c r="BD395" s="360">
        <v>37</v>
      </c>
      <c r="BE395" s="360">
        <v>7.7814444391497384</v>
      </c>
      <c r="BF395" s="360">
        <v>8.0696703326242787</v>
      </c>
      <c r="BG395" s="360">
        <v>8.3685721573245484</v>
      </c>
      <c r="BH395" s="360">
        <v>8.6785453513777835</v>
      </c>
      <c r="BI395" s="360">
        <v>9</v>
      </c>
      <c r="BJ395" s="362">
        <v>52.697143484469947</v>
      </c>
      <c r="BK395" s="362">
        <v>53.403633296592567</v>
      </c>
      <c r="BL395" s="362">
        <v>54.119594738895294</v>
      </c>
      <c r="BM395" s="363">
        <v>53.763782148198459</v>
      </c>
      <c r="BN395" s="363">
        <v>53.410308869174386</v>
      </c>
      <c r="BO395" s="363">
        <v>53.239752465152279</v>
      </c>
      <c r="BP395" s="363">
        <v>53.069740702933757</v>
      </c>
      <c r="BQ395" s="363">
        <v>52.900271843301262</v>
      </c>
      <c r="BR395" s="363">
        <v>52.731344152591106</v>
      </c>
      <c r="BS395" s="363">
        <v>52.562955902675753</v>
      </c>
      <c r="BT395" s="363">
        <v>52.951762396614747</v>
      </c>
      <c r="BU395" s="363">
        <v>53.343444879682067</v>
      </c>
      <c r="BV395" s="363">
        <v>53.73802462547679</v>
      </c>
      <c r="BW395" s="363">
        <v>54.135523064958122</v>
      </c>
      <c r="BX395" s="363">
        <v>54.535961787609324</v>
      </c>
      <c r="BY395" s="435">
        <v>54.755786263263282</v>
      </c>
      <c r="BZ395" s="435">
        <v>54.97561073891724</v>
      </c>
      <c r="CA395" s="435">
        <v>55.195435214571205</v>
      </c>
      <c r="CB395" s="435">
        <v>55.415259690225163</v>
      </c>
      <c r="CC395" s="363">
        <v>55.635084165879121</v>
      </c>
      <c r="CD395" s="435">
        <v>55.81527526316394</v>
      </c>
      <c r="CE395" s="435">
        <v>55.995466360448759</v>
      </c>
      <c r="CF395" s="435">
        <v>56.175657457733585</v>
      </c>
      <c r="CG395" s="435">
        <v>56.355848555018405</v>
      </c>
      <c r="CH395" s="363">
        <v>56.536039652303224</v>
      </c>
      <c r="CI395" s="362">
        <v>37.496044402411307</v>
      </c>
      <c r="CJ395" s="362">
        <v>37.998739076421636</v>
      </c>
      <c r="CK395" s="362">
        <v>38.508173179598579</v>
      </c>
      <c r="CL395" s="363">
        <v>38.254998836218135</v>
      </c>
      <c r="CM395" s="363">
        <v>38.003489003066399</v>
      </c>
      <c r="CN395" s="363">
        <v>37.882131561742966</v>
      </c>
      <c r="CO395" s="363">
        <v>37.761161654010564</v>
      </c>
      <c r="CP395" s="363">
        <v>37.640578042348977</v>
      </c>
      <c r="CQ395" s="363">
        <v>37.520379493189829</v>
      </c>
      <c r="CR395" s="363">
        <v>37.400564776903906</v>
      </c>
      <c r="CS395" s="363">
        <v>37.677215551437421</v>
      </c>
      <c r="CT395" s="363">
        <v>37.955912702850704</v>
      </c>
      <c r="CU395" s="363">
        <v>38.236671368127716</v>
      </c>
      <c r="CV395" s="363">
        <v>38.519506796220206</v>
      </c>
      <c r="CW395" s="363">
        <v>38.804434348875866</v>
      </c>
      <c r="CX395" s="435">
        <v>38.960847918091183</v>
      </c>
      <c r="CY395" s="435">
        <v>39.1172614873065</v>
      </c>
      <c r="CZ395" s="435">
        <v>39.273675056521817</v>
      </c>
      <c r="DA395" s="435">
        <v>39.430088625737135</v>
      </c>
      <c r="DB395" s="363">
        <v>39.586502194952452</v>
      </c>
      <c r="DC395" s="435">
        <v>39.714715091097425</v>
      </c>
      <c r="DD395" s="435">
        <v>39.84292798724239</v>
      </c>
      <c r="DE395" s="435">
        <v>39.971140883387363</v>
      </c>
      <c r="DF395" s="435">
        <v>40.099353779532329</v>
      </c>
      <c r="DG395" s="363">
        <v>40.227566675677302</v>
      </c>
      <c r="DH395" s="362">
        <v>9.120659449235184</v>
      </c>
      <c r="DI395" s="362">
        <v>9.2429365321025596</v>
      </c>
      <c r="DJ395" s="362">
        <v>9.3668529355780326</v>
      </c>
      <c r="DK395" s="363">
        <v>9.3052699871881952</v>
      </c>
      <c r="DL395" s="363">
        <v>9.2440919196647986</v>
      </c>
      <c r="DM395" s="363">
        <v>9.2145725420455875</v>
      </c>
      <c r="DN395" s="363">
        <v>9.1851474293539201</v>
      </c>
      <c r="DO395" s="363">
        <v>9.1558162805713721</v>
      </c>
      <c r="DP395" s="363">
        <v>9.1265787956407696</v>
      </c>
      <c r="DQ395" s="363">
        <v>9.0974346754631128</v>
      </c>
      <c r="DR395" s="363">
        <v>9.1647281071063986</v>
      </c>
      <c r="DS395" s="363">
        <v>9.2325193060988209</v>
      </c>
      <c r="DT395" s="363">
        <v>9.3008119544094452</v>
      </c>
      <c r="DU395" s="363">
        <v>9.3696097612427529</v>
      </c>
      <c r="DV395" s="363">
        <v>9.4389164632400764</v>
      </c>
      <c r="DW395" s="435">
        <v>9.4769630071032616</v>
      </c>
      <c r="DX395" s="435">
        <v>9.5150095509664467</v>
      </c>
      <c r="DY395" s="435">
        <v>9.5530560948296319</v>
      </c>
      <c r="DZ395" s="435">
        <v>9.5911026386928171</v>
      </c>
      <c r="EA395" s="363">
        <v>9.6291491825560023</v>
      </c>
      <c r="EB395" s="435">
        <v>9.6603361032399135</v>
      </c>
      <c r="EC395" s="435">
        <v>9.6915230239238248</v>
      </c>
      <c r="ED395" s="435">
        <v>9.7227099446077361</v>
      </c>
      <c r="EE395" s="435">
        <v>9.7538968652916473</v>
      </c>
      <c r="EF395" s="363">
        <v>9.7850837859755586</v>
      </c>
      <c r="EG395" s="364">
        <v>0</v>
      </c>
      <c r="EH395" s="364">
        <v>0</v>
      </c>
      <c r="EI395" s="364">
        <v>0</v>
      </c>
      <c r="EJ395" s="365">
        <v>0</v>
      </c>
      <c r="EK395" s="365">
        <v>0</v>
      </c>
      <c r="EL395" s="365">
        <v>0</v>
      </c>
      <c r="EM395" s="365">
        <v>0</v>
      </c>
      <c r="EN395" s="365">
        <v>0</v>
      </c>
      <c r="EO395" s="365">
        <v>0</v>
      </c>
      <c r="EP395" s="365">
        <v>0</v>
      </c>
      <c r="EQ395" s="365">
        <v>0</v>
      </c>
      <c r="ER395" s="365">
        <v>0</v>
      </c>
      <c r="ES395" s="365">
        <v>0</v>
      </c>
      <c r="ET395" s="365">
        <v>0</v>
      </c>
      <c r="EU395" s="365">
        <v>0</v>
      </c>
      <c r="EV395" s="436">
        <v>0</v>
      </c>
      <c r="EW395" s="436">
        <v>0</v>
      </c>
      <c r="EX395" s="436">
        <v>0</v>
      </c>
      <c r="EY395" s="436">
        <v>0</v>
      </c>
      <c r="EZ395" s="365">
        <v>0</v>
      </c>
      <c r="FA395" s="436">
        <v>0</v>
      </c>
      <c r="FB395" s="436">
        <v>0</v>
      </c>
      <c r="FC395" s="436">
        <v>0</v>
      </c>
      <c r="FD395" s="436">
        <v>0</v>
      </c>
      <c r="FE395" s="365">
        <v>0</v>
      </c>
      <c r="FF395" s="364">
        <v>0</v>
      </c>
      <c r="FG395" s="364">
        <v>0</v>
      </c>
      <c r="FH395" s="364">
        <v>0</v>
      </c>
      <c r="FI395" s="365">
        <v>0</v>
      </c>
      <c r="FJ395" s="365">
        <v>0</v>
      </c>
      <c r="FK395" s="365">
        <v>0</v>
      </c>
      <c r="FL395" s="365">
        <v>0</v>
      </c>
      <c r="FM395" s="365">
        <v>0</v>
      </c>
      <c r="FN395" s="365">
        <v>0</v>
      </c>
      <c r="FO395" s="365">
        <v>0</v>
      </c>
      <c r="FP395" s="365">
        <v>0</v>
      </c>
      <c r="FQ395" s="365">
        <v>0</v>
      </c>
      <c r="FR395" s="365">
        <v>0</v>
      </c>
      <c r="FS395" s="365">
        <v>0</v>
      </c>
      <c r="FT395" s="365">
        <v>0</v>
      </c>
      <c r="FU395" s="436">
        <v>0</v>
      </c>
      <c r="FV395" s="436">
        <v>0</v>
      </c>
      <c r="FW395" s="436">
        <v>0</v>
      </c>
      <c r="FX395" s="436">
        <v>0</v>
      </c>
      <c r="FY395" s="365">
        <v>0</v>
      </c>
      <c r="FZ395" s="436">
        <v>0</v>
      </c>
      <c r="GA395" s="436">
        <v>0</v>
      </c>
      <c r="GB395" s="436">
        <v>0</v>
      </c>
      <c r="GC395" s="436">
        <v>0</v>
      </c>
      <c r="GD395" s="365">
        <v>0</v>
      </c>
    </row>
    <row r="396" spans="1:186" ht="15" x14ac:dyDescent="0.25">
      <c r="A396" s="357">
        <v>114</v>
      </c>
      <c r="B396" s="357">
        <v>104</v>
      </c>
      <c r="C396" s="357" t="s">
        <v>1306</v>
      </c>
      <c r="D396" s="2">
        <v>99712</v>
      </c>
      <c r="E396" s="268" t="s">
        <v>1527</v>
      </c>
      <c r="F396" s="358" t="s">
        <v>985</v>
      </c>
      <c r="G396" s="49">
        <v>33</v>
      </c>
      <c r="H396" s="49">
        <v>21</v>
      </c>
      <c r="I396" s="49">
        <v>19</v>
      </c>
      <c r="J396" s="49">
        <v>2</v>
      </c>
      <c r="K396" s="49">
        <v>0</v>
      </c>
      <c r="L396" s="49">
        <v>8</v>
      </c>
      <c r="M396" s="49">
        <v>8</v>
      </c>
      <c r="N396" s="49">
        <v>5</v>
      </c>
      <c r="O396" s="49">
        <v>0</v>
      </c>
      <c r="P396" s="49">
        <v>0</v>
      </c>
      <c r="Q396" s="49">
        <v>13</v>
      </c>
      <c r="R396" s="49">
        <v>0</v>
      </c>
      <c r="S396" s="49">
        <v>2291.25</v>
      </c>
      <c r="T396" s="49">
        <v>2291.25</v>
      </c>
      <c r="U396" s="49">
        <v>6010.6</v>
      </c>
      <c r="V396" s="49">
        <v>0</v>
      </c>
      <c r="W396" s="49">
        <v>0</v>
      </c>
      <c r="X396" s="49">
        <v>3721.7692307692309</v>
      </c>
      <c r="Y396" s="434">
        <v>18330</v>
      </c>
      <c r="Z396" s="434">
        <v>30053</v>
      </c>
      <c r="AA396" s="49">
        <v>0</v>
      </c>
      <c r="AB396" s="49">
        <v>21</v>
      </c>
      <c r="AC396" s="49">
        <v>0</v>
      </c>
      <c r="AD396" s="285">
        <v>5</v>
      </c>
      <c r="AE396" s="285">
        <v>0</v>
      </c>
      <c r="AF396" s="359">
        <v>26</v>
      </c>
      <c r="AG396" s="360">
        <v>0</v>
      </c>
      <c r="AH396" s="360">
        <v>19</v>
      </c>
      <c r="AI396" s="361">
        <v>19</v>
      </c>
      <c r="AJ396" s="360">
        <v>0</v>
      </c>
      <c r="AK396" s="360">
        <v>0</v>
      </c>
      <c r="AL396" s="360">
        <v>19.091399148060503</v>
      </c>
      <c r="AM396" s="360">
        <v>19.091399148060503</v>
      </c>
      <c r="AN396" s="360">
        <v>0</v>
      </c>
      <c r="AO396" s="360">
        <v>0</v>
      </c>
      <c r="AP396" s="360">
        <v>17.336628097370276</v>
      </c>
      <c r="AQ396" s="360">
        <v>17.336628097370276</v>
      </c>
      <c r="AR396" s="360">
        <v>0</v>
      </c>
      <c r="AS396" s="360">
        <v>4.6492067540691933</v>
      </c>
      <c r="AT396" s="360">
        <v>0</v>
      </c>
      <c r="AU396" s="360">
        <v>17.356262925265014</v>
      </c>
      <c r="AV396" s="360">
        <v>18.203168494108894</v>
      </c>
      <c r="AW396" s="360">
        <v>19.091399148060503</v>
      </c>
      <c r="AX396" s="360">
        <v>20.022971360646515</v>
      </c>
      <c r="AY396" s="360">
        <v>21</v>
      </c>
      <c r="AZ396" s="360">
        <v>15.818877567712025</v>
      </c>
      <c r="BA396" s="360">
        <v>16.560374310662688</v>
      </c>
      <c r="BB396" s="360">
        <v>17.336628097370276</v>
      </c>
      <c r="BC396" s="360">
        <v>18.149268135383181</v>
      </c>
      <c r="BD396" s="360">
        <v>19</v>
      </c>
      <c r="BE396" s="360">
        <v>4.3230246884165213</v>
      </c>
      <c r="BF396" s="360">
        <v>4.483150184791266</v>
      </c>
      <c r="BG396" s="360">
        <v>4.6492067540691933</v>
      </c>
      <c r="BH396" s="360">
        <v>4.8214140840987687</v>
      </c>
      <c r="BI396" s="360">
        <v>5</v>
      </c>
      <c r="BJ396" s="362">
        <v>21.19443687868592</v>
      </c>
      <c r="BK396" s="362">
        <v>21.39067402879056</v>
      </c>
      <c r="BL396" s="362">
        <v>21.588728118845129</v>
      </c>
      <c r="BM396" s="363">
        <v>21.446791703414153</v>
      </c>
      <c r="BN396" s="363">
        <v>21.305788457640716</v>
      </c>
      <c r="BO396" s="363">
        <v>21.237752178856184</v>
      </c>
      <c r="BP396" s="363">
        <v>21.169933161931738</v>
      </c>
      <c r="BQ396" s="363">
        <v>21.10233071307993</v>
      </c>
      <c r="BR396" s="363">
        <v>21.034944140728808</v>
      </c>
      <c r="BS396" s="363">
        <v>20.967772755514833</v>
      </c>
      <c r="BT396" s="363">
        <v>21.122870696084917</v>
      </c>
      <c r="BU396" s="363">
        <v>21.279115891132125</v>
      </c>
      <c r="BV396" s="363">
        <v>21.43651682686092</v>
      </c>
      <c r="BW396" s="363">
        <v>21.59508205224795</v>
      </c>
      <c r="BX396" s="363">
        <v>21.754820179506346</v>
      </c>
      <c r="BY396" s="435">
        <v>21.842509876032295</v>
      </c>
      <c r="BZ396" s="435">
        <v>21.930199572558241</v>
      </c>
      <c r="CA396" s="435">
        <v>22.01788926908419</v>
      </c>
      <c r="CB396" s="435">
        <v>22.105578965610135</v>
      </c>
      <c r="CC396" s="363">
        <v>22.193268662136084</v>
      </c>
      <c r="CD396" s="435">
        <v>22.265148295150457</v>
      </c>
      <c r="CE396" s="435">
        <v>22.337027928164829</v>
      </c>
      <c r="CF396" s="435">
        <v>22.408907561179205</v>
      </c>
      <c r="CG396" s="435">
        <v>22.480787194193578</v>
      </c>
      <c r="CH396" s="363">
        <v>22.55266682720795</v>
      </c>
      <c r="CI396" s="362">
        <v>19.175919080715829</v>
      </c>
      <c r="CJ396" s="362">
        <v>19.353466978429552</v>
      </c>
      <c r="CK396" s="362">
        <v>19.532658774193212</v>
      </c>
      <c r="CL396" s="363">
        <v>19.404240112612804</v>
      </c>
      <c r="CM396" s="363">
        <v>19.27666574738922</v>
      </c>
      <c r="CN396" s="363">
        <v>19.215109114203216</v>
      </c>
      <c r="CO396" s="363">
        <v>19.153749051271571</v>
      </c>
      <c r="CP396" s="363">
        <v>19.092584930881841</v>
      </c>
      <c r="CQ396" s="363">
        <v>19.031616127326064</v>
      </c>
      <c r="CR396" s="363">
        <v>18.970842016894373</v>
      </c>
      <c r="CS396" s="363">
        <v>19.111168725029213</v>
      </c>
      <c r="CT396" s="363">
        <v>19.25253342531002</v>
      </c>
      <c r="CU396" s="363">
        <v>19.394943795731308</v>
      </c>
      <c r="CV396" s="363">
        <v>19.538407571081478</v>
      </c>
      <c r="CW396" s="363">
        <v>19.682932543362885</v>
      </c>
      <c r="CX396" s="435">
        <v>19.762270840219696</v>
      </c>
      <c r="CY396" s="435">
        <v>19.841609137076507</v>
      </c>
      <c r="CZ396" s="435">
        <v>19.920947433933314</v>
      </c>
      <c r="DA396" s="435">
        <v>20.000285730790125</v>
      </c>
      <c r="DB396" s="363">
        <v>20.079624027646936</v>
      </c>
      <c r="DC396" s="435">
        <v>20.144657981326606</v>
      </c>
      <c r="DD396" s="435">
        <v>20.209691935006276</v>
      </c>
      <c r="DE396" s="435">
        <v>20.27472588868595</v>
      </c>
      <c r="DF396" s="435">
        <v>20.33975984236562</v>
      </c>
      <c r="DG396" s="363">
        <v>20.40479379604529</v>
      </c>
      <c r="DH396" s="362">
        <v>5.0462944949252186</v>
      </c>
      <c r="DI396" s="362">
        <v>5.0930176259025135</v>
      </c>
      <c r="DJ396" s="362">
        <v>5.1401733616297927</v>
      </c>
      <c r="DK396" s="363">
        <v>5.1063789770033701</v>
      </c>
      <c r="DL396" s="363">
        <v>5.0728067756287416</v>
      </c>
      <c r="DM396" s="363">
        <v>5.0566076616324249</v>
      </c>
      <c r="DN396" s="363">
        <v>5.0404602766504141</v>
      </c>
      <c r="DO396" s="363">
        <v>5.0243644554952214</v>
      </c>
      <c r="DP396" s="363">
        <v>5.0083200335068589</v>
      </c>
      <c r="DQ396" s="363">
        <v>4.9923268465511503</v>
      </c>
      <c r="DR396" s="363">
        <v>5.0292549276392666</v>
      </c>
      <c r="DS396" s="363">
        <v>5.0664561645552686</v>
      </c>
      <c r="DT396" s="363">
        <v>5.103932577824029</v>
      </c>
      <c r="DU396" s="363">
        <v>5.1416862029161789</v>
      </c>
      <c r="DV396" s="363">
        <v>5.1797190903586543</v>
      </c>
      <c r="DW396" s="435">
        <v>5.2005975895314993</v>
      </c>
      <c r="DX396" s="435">
        <v>5.2214760887043434</v>
      </c>
      <c r="DY396" s="435">
        <v>5.2423545878771884</v>
      </c>
      <c r="DZ396" s="435">
        <v>5.2632330870500326</v>
      </c>
      <c r="EA396" s="363">
        <v>5.2841115862228776</v>
      </c>
      <c r="EB396" s="435">
        <v>5.3012257845596329</v>
      </c>
      <c r="EC396" s="435">
        <v>5.3183399828963882</v>
      </c>
      <c r="ED396" s="435">
        <v>5.3354541812331444</v>
      </c>
      <c r="EE396" s="435">
        <v>5.3525683795698997</v>
      </c>
      <c r="EF396" s="363">
        <v>5.369682577906655</v>
      </c>
      <c r="EG396" s="364">
        <v>0</v>
      </c>
      <c r="EH396" s="364">
        <v>0</v>
      </c>
      <c r="EI396" s="364">
        <v>0</v>
      </c>
      <c r="EJ396" s="365">
        <v>0</v>
      </c>
      <c r="EK396" s="365">
        <v>0</v>
      </c>
      <c r="EL396" s="365">
        <v>0</v>
      </c>
      <c r="EM396" s="365">
        <v>0</v>
      </c>
      <c r="EN396" s="365">
        <v>0</v>
      </c>
      <c r="EO396" s="365">
        <v>0</v>
      </c>
      <c r="EP396" s="365">
        <v>0</v>
      </c>
      <c r="EQ396" s="365">
        <v>0</v>
      </c>
      <c r="ER396" s="365">
        <v>0</v>
      </c>
      <c r="ES396" s="365">
        <v>0</v>
      </c>
      <c r="ET396" s="365">
        <v>0</v>
      </c>
      <c r="EU396" s="365">
        <v>0</v>
      </c>
      <c r="EV396" s="436">
        <v>0</v>
      </c>
      <c r="EW396" s="436">
        <v>0</v>
      </c>
      <c r="EX396" s="436">
        <v>0</v>
      </c>
      <c r="EY396" s="436">
        <v>0</v>
      </c>
      <c r="EZ396" s="365">
        <v>0</v>
      </c>
      <c r="FA396" s="436">
        <v>0</v>
      </c>
      <c r="FB396" s="436">
        <v>0</v>
      </c>
      <c r="FC396" s="436">
        <v>0</v>
      </c>
      <c r="FD396" s="436">
        <v>0</v>
      </c>
      <c r="FE396" s="365">
        <v>0</v>
      </c>
      <c r="FF396" s="364">
        <v>0</v>
      </c>
      <c r="FG396" s="364">
        <v>0</v>
      </c>
      <c r="FH396" s="364">
        <v>0</v>
      </c>
      <c r="FI396" s="365">
        <v>0</v>
      </c>
      <c r="FJ396" s="365">
        <v>0</v>
      </c>
      <c r="FK396" s="365">
        <v>0</v>
      </c>
      <c r="FL396" s="365">
        <v>0</v>
      </c>
      <c r="FM396" s="365">
        <v>0</v>
      </c>
      <c r="FN396" s="365">
        <v>0</v>
      </c>
      <c r="FO396" s="365">
        <v>0</v>
      </c>
      <c r="FP396" s="365">
        <v>0</v>
      </c>
      <c r="FQ396" s="365">
        <v>0</v>
      </c>
      <c r="FR396" s="365">
        <v>0</v>
      </c>
      <c r="FS396" s="365">
        <v>0</v>
      </c>
      <c r="FT396" s="365">
        <v>0</v>
      </c>
      <c r="FU396" s="436">
        <v>0</v>
      </c>
      <c r="FV396" s="436">
        <v>0</v>
      </c>
      <c r="FW396" s="436">
        <v>0</v>
      </c>
      <c r="FX396" s="436">
        <v>0</v>
      </c>
      <c r="FY396" s="365">
        <v>0</v>
      </c>
      <c r="FZ396" s="436">
        <v>0</v>
      </c>
      <c r="GA396" s="436">
        <v>0</v>
      </c>
      <c r="GB396" s="436">
        <v>0</v>
      </c>
      <c r="GC396" s="436">
        <v>0</v>
      </c>
      <c r="GD396" s="365">
        <v>0</v>
      </c>
    </row>
    <row r="397" spans="1:186" ht="15" x14ac:dyDescent="0.25">
      <c r="A397" s="357">
        <v>115</v>
      </c>
      <c r="B397" s="357">
        <v>104</v>
      </c>
      <c r="C397" s="357" t="s">
        <v>1307</v>
      </c>
      <c r="D397" s="2">
        <v>99712</v>
      </c>
      <c r="E397" s="268" t="s">
        <v>1527</v>
      </c>
      <c r="F397" s="358" t="s">
        <v>985</v>
      </c>
      <c r="G397" s="49">
        <v>70</v>
      </c>
      <c r="H397" s="49">
        <v>43</v>
      </c>
      <c r="I397" s="49">
        <v>33</v>
      </c>
      <c r="J397" s="49">
        <v>10</v>
      </c>
      <c r="K397" s="49">
        <v>0</v>
      </c>
      <c r="L397" s="49">
        <v>1</v>
      </c>
      <c r="M397" s="49">
        <v>1</v>
      </c>
      <c r="N397" s="49">
        <v>0</v>
      </c>
      <c r="O397" s="49">
        <v>0</v>
      </c>
      <c r="P397" s="49">
        <v>0</v>
      </c>
      <c r="Q397" s="49">
        <v>1</v>
      </c>
      <c r="R397" s="49">
        <v>0</v>
      </c>
      <c r="S397" s="49">
        <v>960</v>
      </c>
      <c r="T397" s="49">
        <v>960</v>
      </c>
      <c r="U397" s="49">
        <v>0</v>
      </c>
      <c r="V397" s="49">
        <v>0</v>
      </c>
      <c r="W397" s="49">
        <v>0</v>
      </c>
      <c r="X397" s="49">
        <v>960</v>
      </c>
      <c r="Y397" s="434">
        <v>960</v>
      </c>
      <c r="Z397" s="434">
        <v>0</v>
      </c>
      <c r="AA397" s="49">
        <v>0</v>
      </c>
      <c r="AB397" s="49">
        <v>43</v>
      </c>
      <c r="AC397" s="49">
        <v>0</v>
      </c>
      <c r="AD397" s="285">
        <v>0</v>
      </c>
      <c r="AE397" s="285">
        <v>0</v>
      </c>
      <c r="AF397" s="359">
        <v>43</v>
      </c>
      <c r="AG397" s="360">
        <v>0</v>
      </c>
      <c r="AH397" s="360">
        <v>33</v>
      </c>
      <c r="AI397" s="361">
        <v>33</v>
      </c>
      <c r="AJ397" s="360">
        <v>0</v>
      </c>
      <c r="AK397" s="360">
        <v>0</v>
      </c>
      <c r="AL397" s="360">
        <v>39.091912541266744</v>
      </c>
      <c r="AM397" s="360">
        <v>39.091912541266744</v>
      </c>
      <c r="AN397" s="360">
        <v>0</v>
      </c>
      <c r="AO397" s="360">
        <v>0</v>
      </c>
      <c r="AP397" s="360">
        <v>30.110985642801005</v>
      </c>
      <c r="AQ397" s="360">
        <v>30.110985642801005</v>
      </c>
      <c r="AR397" s="360">
        <v>0</v>
      </c>
      <c r="AS397" s="360">
        <v>0</v>
      </c>
      <c r="AT397" s="360">
        <v>0</v>
      </c>
      <c r="AU397" s="360">
        <v>35.539014561256934</v>
      </c>
      <c r="AV397" s="360">
        <v>37.273154535556309</v>
      </c>
      <c r="AW397" s="360">
        <v>39.091912541266744</v>
      </c>
      <c r="AX397" s="360">
        <v>40.999417547990483</v>
      </c>
      <c r="AY397" s="360">
        <v>43</v>
      </c>
      <c r="AZ397" s="360">
        <v>27.474892617605096</v>
      </c>
      <c r="BA397" s="360">
        <v>28.762755381677298</v>
      </c>
      <c r="BB397" s="360">
        <v>30.110985642801005</v>
      </c>
      <c r="BC397" s="360">
        <v>31.522413077244472</v>
      </c>
      <c r="BD397" s="360">
        <v>33</v>
      </c>
      <c r="BE397" s="360">
        <v>0</v>
      </c>
      <c r="BF397" s="360">
        <v>0</v>
      </c>
      <c r="BG397" s="360">
        <v>0</v>
      </c>
      <c r="BH397" s="360">
        <v>0</v>
      </c>
      <c r="BI397" s="360">
        <v>0</v>
      </c>
      <c r="BJ397" s="362">
        <v>43.398132656356879</v>
      </c>
      <c r="BK397" s="362">
        <v>43.799951582761622</v>
      </c>
      <c r="BL397" s="362">
        <v>44.205490910016216</v>
      </c>
      <c r="BM397" s="363">
        <v>43.914859202228982</v>
      </c>
      <c r="BN397" s="363">
        <v>43.626138270407175</v>
      </c>
      <c r="BO397" s="363">
        <v>43.486825890038851</v>
      </c>
      <c r="BP397" s="363">
        <v>43.347958379193557</v>
      </c>
      <c r="BQ397" s="363">
        <v>43.209534317258907</v>
      </c>
      <c r="BR397" s="363">
        <v>43.071552288158991</v>
      </c>
      <c r="BS397" s="363">
        <v>42.934010880339898</v>
      </c>
      <c r="BT397" s="363">
        <v>43.25159237769769</v>
      </c>
      <c r="BU397" s="363">
        <v>43.571523015175309</v>
      </c>
      <c r="BV397" s="363">
        <v>43.893820169286649</v>
      </c>
      <c r="BW397" s="363">
        <v>44.218501345079133</v>
      </c>
      <c r="BX397" s="363">
        <v>44.545584177084422</v>
      </c>
      <c r="BY397" s="435">
        <v>44.725139269970889</v>
      </c>
      <c r="BZ397" s="435">
        <v>44.904694362857356</v>
      </c>
      <c r="CA397" s="435">
        <v>45.084249455743816</v>
      </c>
      <c r="CB397" s="435">
        <v>45.263804548630283</v>
      </c>
      <c r="CC397" s="363">
        <v>45.44335964151675</v>
      </c>
      <c r="CD397" s="435">
        <v>45.590541747212846</v>
      </c>
      <c r="CE397" s="435">
        <v>45.737723852908942</v>
      </c>
      <c r="CF397" s="435">
        <v>45.884905958605039</v>
      </c>
      <c r="CG397" s="435">
        <v>46.032088064301135</v>
      </c>
      <c r="CH397" s="363">
        <v>46.179270169997231</v>
      </c>
      <c r="CI397" s="362">
        <v>33.305543666506445</v>
      </c>
      <c r="CJ397" s="362">
        <v>33.613916330956592</v>
      </c>
      <c r="CK397" s="362">
        <v>33.925144186756633</v>
      </c>
      <c r="CL397" s="363">
        <v>33.702101248222242</v>
      </c>
      <c r="CM397" s="363">
        <v>33.480524719149699</v>
      </c>
      <c r="CN397" s="363">
        <v>33.373610566774005</v>
      </c>
      <c r="CO397" s="363">
        <v>33.267037825892729</v>
      </c>
      <c r="CP397" s="363">
        <v>33.160805406268466</v>
      </c>
      <c r="CQ397" s="363">
        <v>33.054912221145273</v>
      </c>
      <c r="CR397" s="363">
        <v>32.949357187237595</v>
      </c>
      <c r="CS397" s="363">
        <v>33.193082522419161</v>
      </c>
      <c r="CT397" s="363">
        <v>33.43861068606477</v>
      </c>
      <c r="CU397" s="363">
        <v>33.685955013638591</v>
      </c>
      <c r="CV397" s="363">
        <v>33.935128939246781</v>
      </c>
      <c r="CW397" s="363">
        <v>34.186145996367117</v>
      </c>
      <c r="CX397" s="435">
        <v>34.323944090907894</v>
      </c>
      <c r="CY397" s="435">
        <v>34.461742185448671</v>
      </c>
      <c r="CZ397" s="435">
        <v>34.599540279989441</v>
      </c>
      <c r="DA397" s="435">
        <v>34.737338374530218</v>
      </c>
      <c r="DB397" s="363">
        <v>34.875136469070995</v>
      </c>
      <c r="DC397" s="435">
        <v>34.988090178093579</v>
      </c>
      <c r="DD397" s="435">
        <v>35.101043887116163</v>
      </c>
      <c r="DE397" s="435">
        <v>35.213997596138753</v>
      </c>
      <c r="DF397" s="435">
        <v>35.326951305161337</v>
      </c>
      <c r="DG397" s="363">
        <v>35.439905014183921</v>
      </c>
      <c r="DH397" s="362">
        <v>0</v>
      </c>
      <c r="DI397" s="362">
        <v>0</v>
      </c>
      <c r="DJ397" s="362">
        <v>0</v>
      </c>
      <c r="DK397" s="363">
        <v>0</v>
      </c>
      <c r="DL397" s="363">
        <v>0</v>
      </c>
      <c r="DM397" s="363">
        <v>0</v>
      </c>
      <c r="DN397" s="363">
        <v>0</v>
      </c>
      <c r="DO397" s="363">
        <v>0</v>
      </c>
      <c r="DP397" s="363">
        <v>0</v>
      </c>
      <c r="DQ397" s="363">
        <v>0</v>
      </c>
      <c r="DR397" s="363">
        <v>0</v>
      </c>
      <c r="DS397" s="363">
        <v>0</v>
      </c>
      <c r="DT397" s="363">
        <v>0</v>
      </c>
      <c r="DU397" s="363">
        <v>0</v>
      </c>
      <c r="DV397" s="363">
        <v>0</v>
      </c>
      <c r="DW397" s="435">
        <v>0</v>
      </c>
      <c r="DX397" s="435">
        <v>0</v>
      </c>
      <c r="DY397" s="435">
        <v>0</v>
      </c>
      <c r="DZ397" s="435">
        <v>0</v>
      </c>
      <c r="EA397" s="363">
        <v>0</v>
      </c>
      <c r="EB397" s="435">
        <v>0</v>
      </c>
      <c r="EC397" s="435">
        <v>0</v>
      </c>
      <c r="ED397" s="435">
        <v>0</v>
      </c>
      <c r="EE397" s="435">
        <v>0</v>
      </c>
      <c r="EF397" s="363">
        <v>0</v>
      </c>
      <c r="EG397" s="364">
        <v>0</v>
      </c>
      <c r="EH397" s="364">
        <v>0</v>
      </c>
      <c r="EI397" s="364">
        <v>0</v>
      </c>
      <c r="EJ397" s="365">
        <v>0</v>
      </c>
      <c r="EK397" s="365">
        <v>0</v>
      </c>
      <c r="EL397" s="365">
        <v>0</v>
      </c>
      <c r="EM397" s="365">
        <v>0</v>
      </c>
      <c r="EN397" s="365">
        <v>0</v>
      </c>
      <c r="EO397" s="365">
        <v>0</v>
      </c>
      <c r="EP397" s="365">
        <v>0</v>
      </c>
      <c r="EQ397" s="365">
        <v>0</v>
      </c>
      <c r="ER397" s="365">
        <v>0</v>
      </c>
      <c r="ES397" s="365">
        <v>0</v>
      </c>
      <c r="ET397" s="365">
        <v>0</v>
      </c>
      <c r="EU397" s="365">
        <v>0</v>
      </c>
      <c r="EV397" s="436">
        <v>0</v>
      </c>
      <c r="EW397" s="436">
        <v>0</v>
      </c>
      <c r="EX397" s="436">
        <v>0</v>
      </c>
      <c r="EY397" s="436">
        <v>0</v>
      </c>
      <c r="EZ397" s="365">
        <v>0</v>
      </c>
      <c r="FA397" s="436">
        <v>0</v>
      </c>
      <c r="FB397" s="436">
        <v>0</v>
      </c>
      <c r="FC397" s="436">
        <v>0</v>
      </c>
      <c r="FD397" s="436">
        <v>0</v>
      </c>
      <c r="FE397" s="365">
        <v>0</v>
      </c>
      <c r="FF397" s="364">
        <v>0</v>
      </c>
      <c r="FG397" s="364">
        <v>0</v>
      </c>
      <c r="FH397" s="364">
        <v>0</v>
      </c>
      <c r="FI397" s="365">
        <v>0</v>
      </c>
      <c r="FJ397" s="365">
        <v>0</v>
      </c>
      <c r="FK397" s="365">
        <v>0</v>
      </c>
      <c r="FL397" s="365">
        <v>0</v>
      </c>
      <c r="FM397" s="365">
        <v>0</v>
      </c>
      <c r="FN397" s="365">
        <v>0</v>
      </c>
      <c r="FO397" s="365">
        <v>0</v>
      </c>
      <c r="FP397" s="365">
        <v>0</v>
      </c>
      <c r="FQ397" s="365">
        <v>0</v>
      </c>
      <c r="FR397" s="365">
        <v>0</v>
      </c>
      <c r="FS397" s="365">
        <v>0</v>
      </c>
      <c r="FT397" s="365">
        <v>0</v>
      </c>
      <c r="FU397" s="436">
        <v>0</v>
      </c>
      <c r="FV397" s="436">
        <v>0</v>
      </c>
      <c r="FW397" s="436">
        <v>0</v>
      </c>
      <c r="FX397" s="436">
        <v>0</v>
      </c>
      <c r="FY397" s="365">
        <v>0</v>
      </c>
      <c r="FZ397" s="436">
        <v>0</v>
      </c>
      <c r="GA397" s="436">
        <v>0</v>
      </c>
      <c r="GB397" s="436">
        <v>0</v>
      </c>
      <c r="GC397" s="436">
        <v>0</v>
      </c>
      <c r="GD397" s="365">
        <v>0</v>
      </c>
    </row>
    <row r="398" spans="1:186" ht="15" x14ac:dyDescent="0.25">
      <c r="A398" s="357">
        <v>104</v>
      </c>
      <c r="B398" s="357">
        <v>105</v>
      </c>
      <c r="C398" s="357" t="s">
        <v>1308</v>
      </c>
      <c r="D398" s="2">
        <v>99709</v>
      </c>
      <c r="E398" s="268" t="s">
        <v>19</v>
      </c>
      <c r="F398" s="358" t="s">
        <v>915</v>
      </c>
      <c r="G398" s="49">
        <v>34</v>
      </c>
      <c r="H398" s="49">
        <v>16</v>
      </c>
      <c r="I398" s="49">
        <v>14</v>
      </c>
      <c r="J398" s="49">
        <v>2</v>
      </c>
      <c r="K398" s="49">
        <v>0</v>
      </c>
      <c r="L398" s="49">
        <v>10</v>
      </c>
      <c r="M398" s="49">
        <v>10</v>
      </c>
      <c r="N398" s="49">
        <v>0</v>
      </c>
      <c r="O398" s="49">
        <v>0</v>
      </c>
      <c r="P398" s="49">
        <v>0</v>
      </c>
      <c r="Q398" s="49">
        <v>10</v>
      </c>
      <c r="R398" s="49">
        <v>0</v>
      </c>
      <c r="S398" s="49">
        <v>1125.7</v>
      </c>
      <c r="T398" s="49">
        <v>1125.7</v>
      </c>
      <c r="U398" s="49">
        <v>0</v>
      </c>
      <c r="V398" s="49">
        <v>0</v>
      </c>
      <c r="W398" s="49">
        <v>0</v>
      </c>
      <c r="X398" s="49">
        <v>1125.7</v>
      </c>
      <c r="Y398" s="434">
        <v>11257</v>
      </c>
      <c r="Z398" s="434">
        <v>0</v>
      </c>
      <c r="AA398" s="49">
        <v>0</v>
      </c>
      <c r="AB398" s="49">
        <v>16</v>
      </c>
      <c r="AC398" s="49">
        <v>0</v>
      </c>
      <c r="AD398" s="285">
        <v>0</v>
      </c>
      <c r="AE398" s="285">
        <v>0</v>
      </c>
      <c r="AF398" s="359">
        <v>16</v>
      </c>
      <c r="AG398" s="360">
        <v>0</v>
      </c>
      <c r="AH398" s="360">
        <v>14</v>
      </c>
      <c r="AI398" s="361">
        <v>14</v>
      </c>
      <c r="AJ398" s="360">
        <v>0</v>
      </c>
      <c r="AK398" s="360">
        <v>0</v>
      </c>
      <c r="AL398" s="360">
        <v>15.23453432012383</v>
      </c>
      <c r="AM398" s="360">
        <v>15.23453432012383</v>
      </c>
      <c r="AN398" s="360">
        <v>0</v>
      </c>
      <c r="AO398" s="360">
        <v>0</v>
      </c>
      <c r="AP398" s="360">
        <v>13.355364804571668</v>
      </c>
      <c r="AQ398" s="360">
        <v>13.355364804571668</v>
      </c>
      <c r="AR398" s="360">
        <v>0</v>
      </c>
      <c r="AS398" s="360">
        <v>0</v>
      </c>
      <c r="AT398" s="360">
        <v>0</v>
      </c>
      <c r="AU398" s="360">
        <v>14.505689746939428</v>
      </c>
      <c r="AV398" s="360">
        <v>14.865645908833462</v>
      </c>
      <c r="AW398" s="360">
        <v>15.23453432012383</v>
      </c>
      <c r="AX398" s="360">
        <v>15.612576633021893</v>
      </c>
      <c r="AY398" s="360">
        <v>16</v>
      </c>
      <c r="AZ398" s="360">
        <v>12.74041207594226</v>
      </c>
      <c r="BA398" s="360">
        <v>13.044265063037439</v>
      </c>
      <c r="BB398" s="360">
        <v>13.355364804571668</v>
      </c>
      <c r="BC398" s="360">
        <v>13.673884132316003</v>
      </c>
      <c r="BD398" s="360">
        <v>14</v>
      </c>
      <c r="BE398" s="360">
        <v>0</v>
      </c>
      <c r="BF398" s="360">
        <v>0</v>
      </c>
      <c r="BG398" s="360">
        <v>0</v>
      </c>
      <c r="BH398" s="360">
        <v>0</v>
      </c>
      <c r="BI398" s="360">
        <v>0</v>
      </c>
      <c r="BJ398" s="362">
        <v>16.081962064178768</v>
      </c>
      <c r="BK398" s="362">
        <v>16.164343989605314</v>
      </c>
      <c r="BL398" s="362">
        <v>16.247147927073044</v>
      </c>
      <c r="BM398" s="363">
        <v>16.140330057810399</v>
      </c>
      <c r="BN398" s="363">
        <v>16.03421446917233</v>
      </c>
      <c r="BO398" s="363">
        <v>15.983012032431514</v>
      </c>
      <c r="BP398" s="363">
        <v>15.931973101644374</v>
      </c>
      <c r="BQ398" s="363">
        <v>15.881097154683472</v>
      </c>
      <c r="BR398" s="363">
        <v>15.830383671088697</v>
      </c>
      <c r="BS398" s="363">
        <v>15.779832132061939</v>
      </c>
      <c r="BT398" s="363">
        <v>15.896555042728775</v>
      </c>
      <c r="BU398" s="363">
        <v>16.014141349011009</v>
      </c>
      <c r="BV398" s="363">
        <v>16.13259743741823</v>
      </c>
      <c r="BW398" s="363">
        <v>16.251929741700849</v>
      </c>
      <c r="BX398" s="363">
        <v>16.372144743199492</v>
      </c>
      <c r="BY398" s="435">
        <v>16.438137860686279</v>
      </c>
      <c r="BZ398" s="435">
        <v>16.504130978173063</v>
      </c>
      <c r="CA398" s="435">
        <v>16.57012409565985</v>
      </c>
      <c r="CB398" s="435">
        <v>16.636117213146633</v>
      </c>
      <c r="CC398" s="363">
        <v>16.70211033063342</v>
      </c>
      <c r="CD398" s="435">
        <v>16.756205181617663</v>
      </c>
      <c r="CE398" s="435">
        <v>16.810300032601905</v>
      </c>
      <c r="CF398" s="435">
        <v>16.864394883586147</v>
      </c>
      <c r="CG398" s="435">
        <v>16.91848973457039</v>
      </c>
      <c r="CH398" s="363">
        <v>16.972584585554632</v>
      </c>
      <c r="CI398" s="362">
        <v>14.071716806156422</v>
      </c>
      <c r="CJ398" s="362">
        <v>14.14380099090465</v>
      </c>
      <c r="CK398" s="362">
        <v>14.216254436188914</v>
      </c>
      <c r="CL398" s="363">
        <v>14.1227888005841</v>
      </c>
      <c r="CM398" s="363">
        <v>14.029937660525789</v>
      </c>
      <c r="CN398" s="363">
        <v>13.985135528377576</v>
      </c>
      <c r="CO398" s="363">
        <v>13.940476463938827</v>
      </c>
      <c r="CP398" s="363">
        <v>13.895960010348038</v>
      </c>
      <c r="CQ398" s="363">
        <v>13.85158571220261</v>
      </c>
      <c r="CR398" s="363">
        <v>13.807353115554196</v>
      </c>
      <c r="CS398" s="363">
        <v>13.909485662387677</v>
      </c>
      <c r="CT398" s="363">
        <v>14.012373680384631</v>
      </c>
      <c r="CU398" s="363">
        <v>14.116022757740952</v>
      </c>
      <c r="CV398" s="363">
        <v>14.220438523988243</v>
      </c>
      <c r="CW398" s="363">
        <v>14.325626650299556</v>
      </c>
      <c r="CX398" s="435">
        <v>14.383370628100494</v>
      </c>
      <c r="CY398" s="435">
        <v>14.441114605901431</v>
      </c>
      <c r="CZ398" s="435">
        <v>14.498858583702368</v>
      </c>
      <c r="DA398" s="435">
        <v>14.556602561503306</v>
      </c>
      <c r="DB398" s="363">
        <v>14.614346539304243</v>
      </c>
      <c r="DC398" s="435">
        <v>14.661679533915455</v>
      </c>
      <c r="DD398" s="435">
        <v>14.709012528526667</v>
      </c>
      <c r="DE398" s="435">
        <v>14.756345523137878</v>
      </c>
      <c r="DF398" s="435">
        <v>14.803678517749089</v>
      </c>
      <c r="DG398" s="363">
        <v>14.851011512360301</v>
      </c>
      <c r="DH398" s="362">
        <v>0</v>
      </c>
      <c r="DI398" s="362">
        <v>0</v>
      </c>
      <c r="DJ398" s="362">
        <v>0</v>
      </c>
      <c r="DK398" s="363">
        <v>0</v>
      </c>
      <c r="DL398" s="363">
        <v>0</v>
      </c>
      <c r="DM398" s="363">
        <v>0</v>
      </c>
      <c r="DN398" s="363">
        <v>0</v>
      </c>
      <c r="DO398" s="363">
        <v>0</v>
      </c>
      <c r="DP398" s="363">
        <v>0</v>
      </c>
      <c r="DQ398" s="363">
        <v>0</v>
      </c>
      <c r="DR398" s="363">
        <v>0</v>
      </c>
      <c r="DS398" s="363">
        <v>0</v>
      </c>
      <c r="DT398" s="363">
        <v>0</v>
      </c>
      <c r="DU398" s="363">
        <v>0</v>
      </c>
      <c r="DV398" s="363">
        <v>0</v>
      </c>
      <c r="DW398" s="435">
        <v>0</v>
      </c>
      <c r="DX398" s="435">
        <v>0</v>
      </c>
      <c r="DY398" s="435">
        <v>0</v>
      </c>
      <c r="DZ398" s="435">
        <v>0</v>
      </c>
      <c r="EA398" s="363">
        <v>0</v>
      </c>
      <c r="EB398" s="435">
        <v>0</v>
      </c>
      <c r="EC398" s="435">
        <v>0</v>
      </c>
      <c r="ED398" s="435">
        <v>0</v>
      </c>
      <c r="EE398" s="435">
        <v>0</v>
      </c>
      <c r="EF398" s="363">
        <v>0</v>
      </c>
      <c r="EG398" s="364">
        <v>0</v>
      </c>
      <c r="EH398" s="364">
        <v>0</v>
      </c>
      <c r="EI398" s="364">
        <v>0</v>
      </c>
      <c r="EJ398" s="365">
        <v>0</v>
      </c>
      <c r="EK398" s="365">
        <v>0</v>
      </c>
      <c r="EL398" s="365">
        <v>0</v>
      </c>
      <c r="EM398" s="365">
        <v>0</v>
      </c>
      <c r="EN398" s="365">
        <v>0</v>
      </c>
      <c r="EO398" s="365">
        <v>0</v>
      </c>
      <c r="EP398" s="365">
        <v>0</v>
      </c>
      <c r="EQ398" s="365">
        <v>0</v>
      </c>
      <c r="ER398" s="365">
        <v>0</v>
      </c>
      <c r="ES398" s="365">
        <v>0</v>
      </c>
      <c r="ET398" s="365">
        <v>0</v>
      </c>
      <c r="EU398" s="365">
        <v>0</v>
      </c>
      <c r="EV398" s="436">
        <v>0</v>
      </c>
      <c r="EW398" s="436">
        <v>0</v>
      </c>
      <c r="EX398" s="436">
        <v>0</v>
      </c>
      <c r="EY398" s="436">
        <v>0</v>
      </c>
      <c r="EZ398" s="365">
        <v>0</v>
      </c>
      <c r="FA398" s="436">
        <v>0</v>
      </c>
      <c r="FB398" s="436">
        <v>0</v>
      </c>
      <c r="FC398" s="436">
        <v>0</v>
      </c>
      <c r="FD398" s="436">
        <v>0</v>
      </c>
      <c r="FE398" s="365">
        <v>0</v>
      </c>
      <c r="FF398" s="364">
        <v>0</v>
      </c>
      <c r="FG398" s="364">
        <v>0</v>
      </c>
      <c r="FH398" s="364">
        <v>0</v>
      </c>
      <c r="FI398" s="365">
        <v>0</v>
      </c>
      <c r="FJ398" s="365">
        <v>0</v>
      </c>
      <c r="FK398" s="365">
        <v>0</v>
      </c>
      <c r="FL398" s="365">
        <v>0</v>
      </c>
      <c r="FM398" s="365">
        <v>0</v>
      </c>
      <c r="FN398" s="365">
        <v>0</v>
      </c>
      <c r="FO398" s="365">
        <v>0</v>
      </c>
      <c r="FP398" s="365">
        <v>0</v>
      </c>
      <c r="FQ398" s="365">
        <v>0</v>
      </c>
      <c r="FR398" s="365">
        <v>0</v>
      </c>
      <c r="FS398" s="365">
        <v>0</v>
      </c>
      <c r="FT398" s="365">
        <v>0</v>
      </c>
      <c r="FU398" s="436">
        <v>0</v>
      </c>
      <c r="FV398" s="436">
        <v>0</v>
      </c>
      <c r="FW398" s="436">
        <v>0</v>
      </c>
      <c r="FX398" s="436">
        <v>0</v>
      </c>
      <c r="FY398" s="365">
        <v>0</v>
      </c>
      <c r="FZ398" s="436">
        <v>0</v>
      </c>
      <c r="GA398" s="436">
        <v>0</v>
      </c>
      <c r="GB398" s="436">
        <v>0</v>
      </c>
      <c r="GC398" s="436">
        <v>0</v>
      </c>
      <c r="GD398" s="365">
        <v>0</v>
      </c>
    </row>
    <row r="399" spans="1:186" ht="15" x14ac:dyDescent="0.25">
      <c r="A399" s="357">
        <v>112</v>
      </c>
      <c r="B399" s="357">
        <v>105</v>
      </c>
      <c r="C399" s="357" t="s">
        <v>1309</v>
      </c>
      <c r="D399" s="2">
        <v>99712</v>
      </c>
      <c r="E399" s="268" t="s">
        <v>19</v>
      </c>
      <c r="F399" s="358" t="s">
        <v>915</v>
      </c>
      <c r="G399" s="49">
        <v>16</v>
      </c>
      <c r="H399" s="49">
        <v>10</v>
      </c>
      <c r="I399" s="49">
        <v>9</v>
      </c>
      <c r="J399" s="49">
        <v>1</v>
      </c>
      <c r="K399" s="49">
        <v>0</v>
      </c>
      <c r="L399" s="49">
        <v>1</v>
      </c>
      <c r="M399" s="49">
        <v>1</v>
      </c>
      <c r="N399" s="49">
        <v>1</v>
      </c>
      <c r="O399" s="49">
        <v>0</v>
      </c>
      <c r="P399" s="49">
        <v>0</v>
      </c>
      <c r="Q399" s="49">
        <v>2</v>
      </c>
      <c r="R399" s="49">
        <v>0</v>
      </c>
      <c r="S399" s="49">
        <v>4354</v>
      </c>
      <c r="T399" s="49">
        <v>4354</v>
      </c>
      <c r="U399" s="49">
        <v>8310</v>
      </c>
      <c r="V399" s="49">
        <v>0</v>
      </c>
      <c r="W399" s="49">
        <v>0</v>
      </c>
      <c r="X399" s="49">
        <v>6332</v>
      </c>
      <c r="Y399" s="434">
        <v>4354</v>
      </c>
      <c r="Z399" s="434">
        <v>8310</v>
      </c>
      <c r="AA399" s="49">
        <v>0</v>
      </c>
      <c r="AB399" s="49">
        <v>10</v>
      </c>
      <c r="AC399" s="49">
        <v>0</v>
      </c>
      <c r="AD399" s="285">
        <v>1</v>
      </c>
      <c r="AE399" s="285">
        <v>0</v>
      </c>
      <c r="AF399" s="359">
        <v>11</v>
      </c>
      <c r="AG399" s="360">
        <v>0</v>
      </c>
      <c r="AH399" s="360">
        <v>9</v>
      </c>
      <c r="AI399" s="361">
        <v>9</v>
      </c>
      <c r="AJ399" s="360">
        <v>0</v>
      </c>
      <c r="AK399" s="360">
        <v>0</v>
      </c>
      <c r="AL399" s="360">
        <v>9.0911424514573813</v>
      </c>
      <c r="AM399" s="360">
        <v>9.0911424514573813</v>
      </c>
      <c r="AN399" s="360">
        <v>0</v>
      </c>
      <c r="AO399" s="360">
        <v>0</v>
      </c>
      <c r="AP399" s="360">
        <v>8.2120869934911838</v>
      </c>
      <c r="AQ399" s="360">
        <v>8.2120869934911838</v>
      </c>
      <c r="AR399" s="360">
        <v>0</v>
      </c>
      <c r="AS399" s="360">
        <v>0.92984135081383867</v>
      </c>
      <c r="AT399" s="360">
        <v>0</v>
      </c>
      <c r="AU399" s="360">
        <v>8.264887107269054</v>
      </c>
      <c r="AV399" s="360">
        <v>8.6681754733851868</v>
      </c>
      <c r="AW399" s="360">
        <v>9.0911424514573813</v>
      </c>
      <c r="AX399" s="360">
        <v>9.5347482669745318</v>
      </c>
      <c r="AY399" s="360">
        <v>10</v>
      </c>
      <c r="AZ399" s="360">
        <v>7.4931525320741175</v>
      </c>
      <c r="BA399" s="360">
        <v>7.8443878313665358</v>
      </c>
      <c r="BB399" s="360">
        <v>8.2120869934911838</v>
      </c>
      <c r="BC399" s="360">
        <v>8.5970217483394009</v>
      </c>
      <c r="BD399" s="360">
        <v>9</v>
      </c>
      <c r="BE399" s="360">
        <v>0.86460493768330426</v>
      </c>
      <c r="BF399" s="360">
        <v>0.89663003695825327</v>
      </c>
      <c r="BG399" s="360">
        <v>0.92984135081383867</v>
      </c>
      <c r="BH399" s="360">
        <v>0.96428281681975381</v>
      </c>
      <c r="BI399" s="360">
        <v>1</v>
      </c>
      <c r="BJ399" s="362">
        <v>10.134066054705759</v>
      </c>
      <c r="BK399" s="362">
        <v>10.269929480113955</v>
      </c>
      <c r="BL399" s="362">
        <v>10.407614372864479</v>
      </c>
      <c r="BM399" s="363">
        <v>10.33918887465355</v>
      </c>
      <c r="BN399" s="363">
        <v>10.271213244071998</v>
      </c>
      <c r="BO399" s="363">
        <v>10.238413935606207</v>
      </c>
      <c r="BP399" s="363">
        <v>10.205719365948799</v>
      </c>
      <c r="BQ399" s="363">
        <v>10.173129200634857</v>
      </c>
      <c r="BR399" s="363">
        <v>10.14064310626752</v>
      </c>
      <c r="BS399" s="363">
        <v>10.108260750514567</v>
      </c>
      <c r="BT399" s="363">
        <v>10.183031230118221</v>
      </c>
      <c r="BU399" s="363">
        <v>10.258354784554244</v>
      </c>
      <c r="BV399" s="363">
        <v>10.334235504899382</v>
      </c>
      <c r="BW399" s="363">
        <v>10.410677512491946</v>
      </c>
      <c r="BX399" s="363">
        <v>10.487684959155638</v>
      </c>
      <c r="BY399" s="435">
        <v>10.5299588967814</v>
      </c>
      <c r="BZ399" s="435">
        <v>10.572232834407162</v>
      </c>
      <c r="CA399" s="435">
        <v>10.614506772032922</v>
      </c>
      <c r="CB399" s="435">
        <v>10.656780709658683</v>
      </c>
      <c r="CC399" s="363">
        <v>10.699054647284445</v>
      </c>
      <c r="CD399" s="435">
        <v>10.733706781377681</v>
      </c>
      <c r="CE399" s="435">
        <v>10.768358915470916</v>
      </c>
      <c r="CF399" s="435">
        <v>10.80301104956415</v>
      </c>
      <c r="CG399" s="435">
        <v>10.837663183657385</v>
      </c>
      <c r="CH399" s="363">
        <v>10.872315317750621</v>
      </c>
      <c r="CI399" s="362">
        <v>9.120659449235184</v>
      </c>
      <c r="CJ399" s="362">
        <v>9.2429365321025596</v>
      </c>
      <c r="CK399" s="362">
        <v>9.3668529355780326</v>
      </c>
      <c r="CL399" s="363">
        <v>9.3052699871881952</v>
      </c>
      <c r="CM399" s="363">
        <v>9.2440919196647986</v>
      </c>
      <c r="CN399" s="363">
        <v>9.2145725420455875</v>
      </c>
      <c r="CO399" s="363">
        <v>9.1851474293539201</v>
      </c>
      <c r="CP399" s="363">
        <v>9.1558162805713721</v>
      </c>
      <c r="CQ399" s="363">
        <v>9.1265787956407696</v>
      </c>
      <c r="CR399" s="363">
        <v>9.0974346754631128</v>
      </c>
      <c r="CS399" s="363">
        <v>9.1647281071063986</v>
      </c>
      <c r="CT399" s="363">
        <v>9.2325193060988209</v>
      </c>
      <c r="CU399" s="363">
        <v>9.3008119544094452</v>
      </c>
      <c r="CV399" s="363">
        <v>9.3696097612427529</v>
      </c>
      <c r="CW399" s="363">
        <v>9.4389164632400764</v>
      </c>
      <c r="CX399" s="435">
        <v>9.4769630071032616</v>
      </c>
      <c r="CY399" s="435">
        <v>9.5150095509664467</v>
      </c>
      <c r="CZ399" s="435">
        <v>9.5530560948296319</v>
      </c>
      <c r="DA399" s="435">
        <v>9.5911026386928171</v>
      </c>
      <c r="DB399" s="363">
        <v>9.6291491825560023</v>
      </c>
      <c r="DC399" s="435">
        <v>9.6603361032399135</v>
      </c>
      <c r="DD399" s="435">
        <v>9.6915230239238248</v>
      </c>
      <c r="DE399" s="435">
        <v>9.7227099446077361</v>
      </c>
      <c r="DF399" s="435">
        <v>9.7538968652916473</v>
      </c>
      <c r="DG399" s="363">
        <v>9.7850837859755586</v>
      </c>
      <c r="DH399" s="362">
        <v>1.0134066054705759</v>
      </c>
      <c r="DI399" s="362">
        <v>1.0269929480113955</v>
      </c>
      <c r="DJ399" s="362">
        <v>1.040761437286448</v>
      </c>
      <c r="DK399" s="363">
        <v>1.0339188874653549</v>
      </c>
      <c r="DL399" s="363">
        <v>1.0271213244071997</v>
      </c>
      <c r="DM399" s="363">
        <v>1.0238413935606208</v>
      </c>
      <c r="DN399" s="363">
        <v>1.02057193659488</v>
      </c>
      <c r="DO399" s="363">
        <v>1.0173129200634858</v>
      </c>
      <c r="DP399" s="363">
        <v>1.014064310626752</v>
      </c>
      <c r="DQ399" s="363">
        <v>1.0108260750514568</v>
      </c>
      <c r="DR399" s="363">
        <v>1.018303123011822</v>
      </c>
      <c r="DS399" s="363">
        <v>1.0258354784554244</v>
      </c>
      <c r="DT399" s="363">
        <v>1.0334235504899383</v>
      </c>
      <c r="DU399" s="363">
        <v>1.0410677512491946</v>
      </c>
      <c r="DV399" s="363">
        <v>1.0487684959155639</v>
      </c>
      <c r="DW399" s="435">
        <v>1.05299588967814</v>
      </c>
      <c r="DX399" s="435">
        <v>1.057223283440716</v>
      </c>
      <c r="DY399" s="435">
        <v>1.0614506772032923</v>
      </c>
      <c r="DZ399" s="435">
        <v>1.0656780709658684</v>
      </c>
      <c r="EA399" s="363">
        <v>1.0699054647284445</v>
      </c>
      <c r="EB399" s="435">
        <v>1.0733706781377681</v>
      </c>
      <c r="EC399" s="435">
        <v>1.0768358915470915</v>
      </c>
      <c r="ED399" s="435">
        <v>1.0803011049564151</v>
      </c>
      <c r="EE399" s="435">
        <v>1.0837663183657384</v>
      </c>
      <c r="EF399" s="363">
        <v>1.087231531775062</v>
      </c>
      <c r="EG399" s="364">
        <v>0</v>
      </c>
      <c r="EH399" s="364">
        <v>0</v>
      </c>
      <c r="EI399" s="364">
        <v>0</v>
      </c>
      <c r="EJ399" s="365">
        <v>0</v>
      </c>
      <c r="EK399" s="365">
        <v>0</v>
      </c>
      <c r="EL399" s="365">
        <v>0</v>
      </c>
      <c r="EM399" s="365">
        <v>0</v>
      </c>
      <c r="EN399" s="365">
        <v>0</v>
      </c>
      <c r="EO399" s="365">
        <v>0</v>
      </c>
      <c r="EP399" s="365">
        <v>0</v>
      </c>
      <c r="EQ399" s="365">
        <v>0</v>
      </c>
      <c r="ER399" s="365">
        <v>0</v>
      </c>
      <c r="ES399" s="365">
        <v>0</v>
      </c>
      <c r="ET399" s="365">
        <v>0</v>
      </c>
      <c r="EU399" s="365">
        <v>0</v>
      </c>
      <c r="EV399" s="436">
        <v>0</v>
      </c>
      <c r="EW399" s="436">
        <v>0</v>
      </c>
      <c r="EX399" s="436">
        <v>0</v>
      </c>
      <c r="EY399" s="436">
        <v>0</v>
      </c>
      <c r="EZ399" s="365">
        <v>0</v>
      </c>
      <c r="FA399" s="436">
        <v>0</v>
      </c>
      <c r="FB399" s="436">
        <v>0</v>
      </c>
      <c r="FC399" s="436">
        <v>0</v>
      </c>
      <c r="FD399" s="436">
        <v>0</v>
      </c>
      <c r="FE399" s="365">
        <v>0</v>
      </c>
      <c r="FF399" s="364">
        <v>0</v>
      </c>
      <c r="FG399" s="364">
        <v>0</v>
      </c>
      <c r="FH399" s="364">
        <v>0</v>
      </c>
      <c r="FI399" s="365">
        <v>0</v>
      </c>
      <c r="FJ399" s="365">
        <v>0</v>
      </c>
      <c r="FK399" s="365">
        <v>0</v>
      </c>
      <c r="FL399" s="365">
        <v>0</v>
      </c>
      <c r="FM399" s="365">
        <v>0</v>
      </c>
      <c r="FN399" s="365">
        <v>0</v>
      </c>
      <c r="FO399" s="365">
        <v>0</v>
      </c>
      <c r="FP399" s="365">
        <v>0</v>
      </c>
      <c r="FQ399" s="365">
        <v>0</v>
      </c>
      <c r="FR399" s="365">
        <v>0</v>
      </c>
      <c r="FS399" s="365">
        <v>0</v>
      </c>
      <c r="FT399" s="365">
        <v>0</v>
      </c>
      <c r="FU399" s="436">
        <v>0</v>
      </c>
      <c r="FV399" s="436">
        <v>0</v>
      </c>
      <c r="FW399" s="436">
        <v>0</v>
      </c>
      <c r="FX399" s="436">
        <v>0</v>
      </c>
      <c r="FY399" s="365">
        <v>0</v>
      </c>
      <c r="FZ399" s="436">
        <v>0</v>
      </c>
      <c r="GA399" s="436">
        <v>0</v>
      </c>
      <c r="GB399" s="436">
        <v>0</v>
      </c>
      <c r="GC399" s="436">
        <v>0</v>
      </c>
      <c r="GD399" s="365">
        <v>0</v>
      </c>
    </row>
    <row r="400" spans="1:186" ht="15" x14ac:dyDescent="0.25">
      <c r="A400" s="357">
        <v>114</v>
      </c>
      <c r="B400" s="357">
        <v>105</v>
      </c>
      <c r="C400" s="357" t="s">
        <v>1310</v>
      </c>
      <c r="D400" s="2">
        <v>99712</v>
      </c>
      <c r="E400" s="268" t="s">
        <v>19</v>
      </c>
      <c r="F400" s="358" t="s">
        <v>915</v>
      </c>
      <c r="G400" s="49">
        <v>27</v>
      </c>
      <c r="H400" s="49">
        <v>10</v>
      </c>
      <c r="I400" s="49">
        <v>9</v>
      </c>
      <c r="J400" s="49">
        <v>1</v>
      </c>
      <c r="K400" s="49">
        <v>0</v>
      </c>
      <c r="L400" s="49">
        <v>1</v>
      </c>
      <c r="M400" s="49">
        <v>1</v>
      </c>
      <c r="N400" s="49">
        <v>0</v>
      </c>
      <c r="O400" s="49">
        <v>0</v>
      </c>
      <c r="P400" s="49">
        <v>0</v>
      </c>
      <c r="Q400" s="49">
        <v>1</v>
      </c>
      <c r="R400" s="49">
        <v>0</v>
      </c>
      <c r="S400" s="49">
        <v>4117</v>
      </c>
      <c r="T400" s="49">
        <v>4117</v>
      </c>
      <c r="U400" s="49">
        <v>0</v>
      </c>
      <c r="V400" s="49">
        <v>0</v>
      </c>
      <c r="W400" s="49">
        <v>0</v>
      </c>
      <c r="X400" s="49">
        <v>4117</v>
      </c>
      <c r="Y400" s="434">
        <v>4117</v>
      </c>
      <c r="Z400" s="434">
        <v>0</v>
      </c>
      <c r="AA400" s="49">
        <v>0</v>
      </c>
      <c r="AB400" s="49">
        <v>10</v>
      </c>
      <c r="AC400" s="49">
        <v>0</v>
      </c>
      <c r="AD400" s="285">
        <v>0</v>
      </c>
      <c r="AE400" s="285">
        <v>0</v>
      </c>
      <c r="AF400" s="359">
        <v>10</v>
      </c>
      <c r="AG400" s="360">
        <v>0</v>
      </c>
      <c r="AH400" s="360">
        <v>9</v>
      </c>
      <c r="AI400" s="361">
        <v>9</v>
      </c>
      <c r="AJ400" s="360">
        <v>0</v>
      </c>
      <c r="AK400" s="360">
        <v>0</v>
      </c>
      <c r="AL400" s="360">
        <v>9.0911424514573813</v>
      </c>
      <c r="AM400" s="360">
        <v>9.0911424514573813</v>
      </c>
      <c r="AN400" s="360">
        <v>0</v>
      </c>
      <c r="AO400" s="360">
        <v>0</v>
      </c>
      <c r="AP400" s="360">
        <v>8.2120869934911838</v>
      </c>
      <c r="AQ400" s="360">
        <v>8.2120869934911838</v>
      </c>
      <c r="AR400" s="360">
        <v>0</v>
      </c>
      <c r="AS400" s="360">
        <v>0</v>
      </c>
      <c r="AT400" s="360">
        <v>0</v>
      </c>
      <c r="AU400" s="360">
        <v>8.264887107269054</v>
      </c>
      <c r="AV400" s="360">
        <v>8.6681754733851868</v>
      </c>
      <c r="AW400" s="360">
        <v>9.0911424514573813</v>
      </c>
      <c r="AX400" s="360">
        <v>9.5347482669745318</v>
      </c>
      <c r="AY400" s="360">
        <v>10</v>
      </c>
      <c r="AZ400" s="360">
        <v>7.4931525320741175</v>
      </c>
      <c r="BA400" s="360">
        <v>7.8443878313665358</v>
      </c>
      <c r="BB400" s="360">
        <v>8.2120869934911838</v>
      </c>
      <c r="BC400" s="360">
        <v>8.5970217483394009</v>
      </c>
      <c r="BD400" s="360">
        <v>9</v>
      </c>
      <c r="BE400" s="360">
        <v>0</v>
      </c>
      <c r="BF400" s="360">
        <v>0</v>
      </c>
      <c r="BG400" s="360">
        <v>0</v>
      </c>
      <c r="BH400" s="360">
        <v>0</v>
      </c>
      <c r="BI400" s="360">
        <v>0</v>
      </c>
      <c r="BJ400" s="362">
        <v>10.134066054705759</v>
      </c>
      <c r="BK400" s="362">
        <v>10.269929480113955</v>
      </c>
      <c r="BL400" s="362">
        <v>10.407614372864479</v>
      </c>
      <c r="BM400" s="363">
        <v>10.33918887465355</v>
      </c>
      <c r="BN400" s="363">
        <v>10.271213244071998</v>
      </c>
      <c r="BO400" s="363">
        <v>10.238413935606207</v>
      </c>
      <c r="BP400" s="363">
        <v>10.205719365948799</v>
      </c>
      <c r="BQ400" s="363">
        <v>10.173129200634857</v>
      </c>
      <c r="BR400" s="363">
        <v>10.14064310626752</v>
      </c>
      <c r="BS400" s="363">
        <v>10.108260750514567</v>
      </c>
      <c r="BT400" s="363">
        <v>10.183031230118221</v>
      </c>
      <c r="BU400" s="363">
        <v>10.258354784554244</v>
      </c>
      <c r="BV400" s="363">
        <v>10.334235504899382</v>
      </c>
      <c r="BW400" s="363">
        <v>10.410677512491946</v>
      </c>
      <c r="BX400" s="363">
        <v>10.487684959155638</v>
      </c>
      <c r="BY400" s="435">
        <v>10.5299588967814</v>
      </c>
      <c r="BZ400" s="435">
        <v>10.572232834407162</v>
      </c>
      <c r="CA400" s="435">
        <v>10.614506772032922</v>
      </c>
      <c r="CB400" s="435">
        <v>10.656780709658683</v>
      </c>
      <c r="CC400" s="363">
        <v>10.699054647284445</v>
      </c>
      <c r="CD400" s="435">
        <v>10.733706781377681</v>
      </c>
      <c r="CE400" s="435">
        <v>10.768358915470916</v>
      </c>
      <c r="CF400" s="435">
        <v>10.80301104956415</v>
      </c>
      <c r="CG400" s="435">
        <v>10.837663183657385</v>
      </c>
      <c r="CH400" s="363">
        <v>10.872315317750621</v>
      </c>
      <c r="CI400" s="362">
        <v>9.120659449235184</v>
      </c>
      <c r="CJ400" s="362">
        <v>9.2429365321025596</v>
      </c>
      <c r="CK400" s="362">
        <v>9.3668529355780326</v>
      </c>
      <c r="CL400" s="363">
        <v>9.3052699871881952</v>
      </c>
      <c r="CM400" s="363">
        <v>9.2440919196647986</v>
      </c>
      <c r="CN400" s="363">
        <v>9.2145725420455875</v>
      </c>
      <c r="CO400" s="363">
        <v>9.1851474293539201</v>
      </c>
      <c r="CP400" s="363">
        <v>9.1558162805713721</v>
      </c>
      <c r="CQ400" s="363">
        <v>9.1265787956407696</v>
      </c>
      <c r="CR400" s="363">
        <v>9.0974346754631128</v>
      </c>
      <c r="CS400" s="363">
        <v>9.1647281071063986</v>
      </c>
      <c r="CT400" s="363">
        <v>9.2325193060988209</v>
      </c>
      <c r="CU400" s="363">
        <v>9.3008119544094452</v>
      </c>
      <c r="CV400" s="363">
        <v>9.3696097612427529</v>
      </c>
      <c r="CW400" s="363">
        <v>9.4389164632400764</v>
      </c>
      <c r="CX400" s="435">
        <v>9.4769630071032616</v>
      </c>
      <c r="CY400" s="435">
        <v>9.5150095509664467</v>
      </c>
      <c r="CZ400" s="435">
        <v>9.5530560948296319</v>
      </c>
      <c r="DA400" s="435">
        <v>9.5911026386928171</v>
      </c>
      <c r="DB400" s="363">
        <v>9.6291491825560023</v>
      </c>
      <c r="DC400" s="435">
        <v>9.6603361032399135</v>
      </c>
      <c r="DD400" s="435">
        <v>9.6915230239238248</v>
      </c>
      <c r="DE400" s="435">
        <v>9.7227099446077361</v>
      </c>
      <c r="DF400" s="435">
        <v>9.7538968652916473</v>
      </c>
      <c r="DG400" s="363">
        <v>9.7850837859755586</v>
      </c>
      <c r="DH400" s="362">
        <v>0</v>
      </c>
      <c r="DI400" s="362">
        <v>0</v>
      </c>
      <c r="DJ400" s="362">
        <v>0</v>
      </c>
      <c r="DK400" s="363">
        <v>0</v>
      </c>
      <c r="DL400" s="363">
        <v>0</v>
      </c>
      <c r="DM400" s="363">
        <v>0</v>
      </c>
      <c r="DN400" s="363">
        <v>0</v>
      </c>
      <c r="DO400" s="363">
        <v>0</v>
      </c>
      <c r="DP400" s="363">
        <v>0</v>
      </c>
      <c r="DQ400" s="363">
        <v>0</v>
      </c>
      <c r="DR400" s="363">
        <v>0</v>
      </c>
      <c r="DS400" s="363">
        <v>0</v>
      </c>
      <c r="DT400" s="363">
        <v>0</v>
      </c>
      <c r="DU400" s="363">
        <v>0</v>
      </c>
      <c r="DV400" s="363">
        <v>0</v>
      </c>
      <c r="DW400" s="435">
        <v>0</v>
      </c>
      <c r="DX400" s="435">
        <v>0</v>
      </c>
      <c r="DY400" s="435">
        <v>0</v>
      </c>
      <c r="DZ400" s="435">
        <v>0</v>
      </c>
      <c r="EA400" s="363">
        <v>0</v>
      </c>
      <c r="EB400" s="435">
        <v>0</v>
      </c>
      <c r="EC400" s="435">
        <v>0</v>
      </c>
      <c r="ED400" s="435">
        <v>0</v>
      </c>
      <c r="EE400" s="435">
        <v>0</v>
      </c>
      <c r="EF400" s="363">
        <v>0</v>
      </c>
      <c r="EG400" s="364">
        <v>0</v>
      </c>
      <c r="EH400" s="364">
        <v>0</v>
      </c>
      <c r="EI400" s="364">
        <v>0</v>
      </c>
      <c r="EJ400" s="365">
        <v>0</v>
      </c>
      <c r="EK400" s="365">
        <v>0</v>
      </c>
      <c r="EL400" s="365">
        <v>0</v>
      </c>
      <c r="EM400" s="365">
        <v>0</v>
      </c>
      <c r="EN400" s="365">
        <v>0</v>
      </c>
      <c r="EO400" s="365">
        <v>0</v>
      </c>
      <c r="EP400" s="365">
        <v>0</v>
      </c>
      <c r="EQ400" s="365">
        <v>0</v>
      </c>
      <c r="ER400" s="365">
        <v>0</v>
      </c>
      <c r="ES400" s="365">
        <v>0</v>
      </c>
      <c r="ET400" s="365">
        <v>0</v>
      </c>
      <c r="EU400" s="365">
        <v>0</v>
      </c>
      <c r="EV400" s="436">
        <v>0</v>
      </c>
      <c r="EW400" s="436">
        <v>0</v>
      </c>
      <c r="EX400" s="436">
        <v>0</v>
      </c>
      <c r="EY400" s="436">
        <v>0</v>
      </c>
      <c r="EZ400" s="365">
        <v>0</v>
      </c>
      <c r="FA400" s="436">
        <v>0</v>
      </c>
      <c r="FB400" s="436">
        <v>0</v>
      </c>
      <c r="FC400" s="436">
        <v>0</v>
      </c>
      <c r="FD400" s="436">
        <v>0</v>
      </c>
      <c r="FE400" s="365">
        <v>0</v>
      </c>
      <c r="FF400" s="364">
        <v>0</v>
      </c>
      <c r="FG400" s="364">
        <v>0</v>
      </c>
      <c r="FH400" s="364">
        <v>0</v>
      </c>
      <c r="FI400" s="365">
        <v>0</v>
      </c>
      <c r="FJ400" s="365">
        <v>0</v>
      </c>
      <c r="FK400" s="365">
        <v>0</v>
      </c>
      <c r="FL400" s="365">
        <v>0</v>
      </c>
      <c r="FM400" s="365">
        <v>0</v>
      </c>
      <c r="FN400" s="365">
        <v>0</v>
      </c>
      <c r="FO400" s="365">
        <v>0</v>
      </c>
      <c r="FP400" s="365">
        <v>0</v>
      </c>
      <c r="FQ400" s="365">
        <v>0</v>
      </c>
      <c r="FR400" s="365">
        <v>0</v>
      </c>
      <c r="FS400" s="365">
        <v>0</v>
      </c>
      <c r="FT400" s="365">
        <v>0</v>
      </c>
      <c r="FU400" s="436">
        <v>0</v>
      </c>
      <c r="FV400" s="436">
        <v>0</v>
      </c>
      <c r="FW400" s="436">
        <v>0</v>
      </c>
      <c r="FX400" s="436">
        <v>0</v>
      </c>
      <c r="FY400" s="365">
        <v>0</v>
      </c>
      <c r="FZ400" s="436">
        <v>0</v>
      </c>
      <c r="GA400" s="436">
        <v>0</v>
      </c>
      <c r="GB400" s="436">
        <v>0</v>
      </c>
      <c r="GC400" s="436">
        <v>0</v>
      </c>
      <c r="GD400" s="365">
        <v>0</v>
      </c>
    </row>
    <row r="401" spans="1:186" ht="15" x14ac:dyDescent="0.25">
      <c r="A401" s="357">
        <v>115</v>
      </c>
      <c r="B401" s="357">
        <v>105</v>
      </c>
      <c r="C401" s="357" t="s">
        <v>1311</v>
      </c>
      <c r="D401" s="2">
        <v>99712</v>
      </c>
      <c r="E401" s="268" t="s">
        <v>19</v>
      </c>
      <c r="F401" s="358" t="s">
        <v>915</v>
      </c>
      <c r="G401" s="49">
        <v>61</v>
      </c>
      <c r="H401" s="49">
        <v>26</v>
      </c>
      <c r="I401" s="49">
        <v>25</v>
      </c>
      <c r="J401" s="49">
        <v>1</v>
      </c>
      <c r="K401" s="49">
        <v>1</v>
      </c>
      <c r="L401" s="49">
        <v>28</v>
      </c>
      <c r="M401" s="49">
        <v>29</v>
      </c>
      <c r="N401" s="49">
        <v>1</v>
      </c>
      <c r="O401" s="49">
        <v>0</v>
      </c>
      <c r="P401" s="49">
        <v>0</v>
      </c>
      <c r="Q401" s="49">
        <v>30</v>
      </c>
      <c r="R401" s="49">
        <v>7920</v>
      </c>
      <c r="S401" s="49">
        <v>1929.7142857142858</v>
      </c>
      <c r="T401" s="49">
        <v>2136.2758620689656</v>
      </c>
      <c r="U401" s="49">
        <v>5797</v>
      </c>
      <c r="V401" s="49">
        <v>0</v>
      </c>
      <c r="W401" s="49">
        <v>0</v>
      </c>
      <c r="X401" s="49">
        <v>2258.3000000000002</v>
      </c>
      <c r="Y401" s="434">
        <v>61952</v>
      </c>
      <c r="Z401" s="434">
        <v>5797</v>
      </c>
      <c r="AA401" s="49">
        <v>0.89655172413793105</v>
      </c>
      <c r="AB401" s="49">
        <v>25.103448275862068</v>
      </c>
      <c r="AC401" s="49">
        <v>0</v>
      </c>
      <c r="AD401" s="285">
        <v>1</v>
      </c>
      <c r="AE401" s="285">
        <v>0</v>
      </c>
      <c r="AF401" s="359">
        <v>27</v>
      </c>
      <c r="AG401" s="360">
        <v>0.86206896551724144</v>
      </c>
      <c r="AH401" s="360">
        <v>24.137931034482758</v>
      </c>
      <c r="AI401" s="361">
        <v>25</v>
      </c>
      <c r="AJ401" s="360">
        <v>0</v>
      </c>
      <c r="AK401" s="360">
        <v>0.81506794392376536</v>
      </c>
      <c r="AL401" s="360">
        <v>22.821902429865428</v>
      </c>
      <c r="AM401" s="360">
        <v>23.636970373789193</v>
      </c>
      <c r="AN401" s="360">
        <v>0</v>
      </c>
      <c r="AO401" s="360">
        <v>0.78659837102405972</v>
      </c>
      <c r="AP401" s="360">
        <v>22.024754388673671</v>
      </c>
      <c r="AQ401" s="360">
        <v>22.81135275969773</v>
      </c>
      <c r="AR401" s="360">
        <v>0</v>
      </c>
      <c r="AS401" s="360">
        <v>0.92984135081383867</v>
      </c>
      <c r="AT401" s="360">
        <v>0</v>
      </c>
      <c r="AU401" s="360">
        <v>21.488706478899541</v>
      </c>
      <c r="AV401" s="360">
        <v>22.537256230801486</v>
      </c>
      <c r="AW401" s="360">
        <v>23.636970373789193</v>
      </c>
      <c r="AX401" s="360">
        <v>24.790345494133781</v>
      </c>
      <c r="AY401" s="360">
        <v>26</v>
      </c>
      <c r="AZ401" s="360">
        <v>20.814312589094772</v>
      </c>
      <c r="BA401" s="360">
        <v>21.789966198240379</v>
      </c>
      <c r="BB401" s="360">
        <v>22.81135275969773</v>
      </c>
      <c r="BC401" s="360">
        <v>23.880615967609447</v>
      </c>
      <c r="BD401" s="360">
        <v>25</v>
      </c>
      <c r="BE401" s="360">
        <v>0.86460493768330426</v>
      </c>
      <c r="BF401" s="360">
        <v>0.89663003695825327</v>
      </c>
      <c r="BG401" s="360">
        <v>0.92984135081383867</v>
      </c>
      <c r="BH401" s="360">
        <v>0.96428281681975381</v>
      </c>
      <c r="BI401" s="360">
        <v>1</v>
      </c>
      <c r="BJ401" s="362">
        <v>26.348571742234974</v>
      </c>
      <c r="BK401" s="362">
        <v>26.701816648296283</v>
      </c>
      <c r="BL401" s="362">
        <v>27.059797369447647</v>
      </c>
      <c r="BM401" s="363">
        <v>26.881891074099229</v>
      </c>
      <c r="BN401" s="363">
        <v>26.705154434587193</v>
      </c>
      <c r="BO401" s="363">
        <v>26.619876232576139</v>
      </c>
      <c r="BP401" s="363">
        <v>26.534870351466878</v>
      </c>
      <c r="BQ401" s="363">
        <v>26.450135921650631</v>
      </c>
      <c r="BR401" s="363">
        <v>26.365672076295553</v>
      </c>
      <c r="BS401" s="363">
        <v>26.281477951337877</v>
      </c>
      <c r="BT401" s="363">
        <v>26.475881198307373</v>
      </c>
      <c r="BU401" s="363">
        <v>26.671722439841034</v>
      </c>
      <c r="BV401" s="363">
        <v>26.869012312738395</v>
      </c>
      <c r="BW401" s="363">
        <v>27.067761532479061</v>
      </c>
      <c r="BX401" s="363">
        <v>27.267980893804662</v>
      </c>
      <c r="BY401" s="435">
        <v>27.377893131631641</v>
      </c>
      <c r="BZ401" s="435">
        <v>27.48780536945862</v>
      </c>
      <c r="CA401" s="435">
        <v>27.597717607285603</v>
      </c>
      <c r="CB401" s="435">
        <v>27.707629845112582</v>
      </c>
      <c r="CC401" s="363">
        <v>27.817542082939561</v>
      </c>
      <c r="CD401" s="435">
        <v>27.90763763158197</v>
      </c>
      <c r="CE401" s="435">
        <v>27.99773318022438</v>
      </c>
      <c r="CF401" s="435">
        <v>28.087828728866793</v>
      </c>
      <c r="CG401" s="435">
        <v>28.177924277509202</v>
      </c>
      <c r="CH401" s="363">
        <v>28.268019826151612</v>
      </c>
      <c r="CI401" s="362">
        <v>25.335165136764399</v>
      </c>
      <c r="CJ401" s="362">
        <v>25.67482370028489</v>
      </c>
      <c r="CK401" s="362">
        <v>26.019035932161199</v>
      </c>
      <c r="CL401" s="363">
        <v>25.847972186633871</v>
      </c>
      <c r="CM401" s="363">
        <v>25.678033110179996</v>
      </c>
      <c r="CN401" s="363">
        <v>25.596034839015516</v>
      </c>
      <c r="CO401" s="363">
        <v>25.514298414871998</v>
      </c>
      <c r="CP401" s="363">
        <v>25.432823001587145</v>
      </c>
      <c r="CQ401" s="363">
        <v>25.351607765668799</v>
      </c>
      <c r="CR401" s="363">
        <v>25.270651876286422</v>
      </c>
      <c r="CS401" s="363">
        <v>25.457578075295551</v>
      </c>
      <c r="CT401" s="363">
        <v>25.64588696138561</v>
      </c>
      <c r="CU401" s="363">
        <v>25.835588762248456</v>
      </c>
      <c r="CV401" s="363">
        <v>26.026693781229863</v>
      </c>
      <c r="CW401" s="363">
        <v>26.219212397889095</v>
      </c>
      <c r="CX401" s="435">
        <v>26.324897241953497</v>
      </c>
      <c r="CY401" s="435">
        <v>26.430582086017903</v>
      </c>
      <c r="CZ401" s="435">
        <v>26.536266930082306</v>
      </c>
      <c r="DA401" s="435">
        <v>26.641951774146712</v>
      </c>
      <c r="DB401" s="363">
        <v>26.747636618211114</v>
      </c>
      <c r="DC401" s="435">
        <v>26.834266953444203</v>
      </c>
      <c r="DD401" s="435">
        <v>26.920897288677288</v>
      </c>
      <c r="DE401" s="435">
        <v>27.007527623910377</v>
      </c>
      <c r="DF401" s="435">
        <v>27.094157959143462</v>
      </c>
      <c r="DG401" s="363">
        <v>27.180788294376551</v>
      </c>
      <c r="DH401" s="362">
        <v>1.0134066054705759</v>
      </c>
      <c r="DI401" s="362">
        <v>1.0269929480113955</v>
      </c>
      <c r="DJ401" s="362">
        <v>1.040761437286448</v>
      </c>
      <c r="DK401" s="363">
        <v>1.0339188874653549</v>
      </c>
      <c r="DL401" s="363">
        <v>1.0271213244071997</v>
      </c>
      <c r="DM401" s="363">
        <v>1.0238413935606208</v>
      </c>
      <c r="DN401" s="363">
        <v>1.02057193659488</v>
      </c>
      <c r="DO401" s="363">
        <v>1.0173129200634858</v>
      </c>
      <c r="DP401" s="363">
        <v>1.014064310626752</v>
      </c>
      <c r="DQ401" s="363">
        <v>1.0108260750514568</v>
      </c>
      <c r="DR401" s="363">
        <v>1.018303123011822</v>
      </c>
      <c r="DS401" s="363">
        <v>1.0258354784554244</v>
      </c>
      <c r="DT401" s="363">
        <v>1.0334235504899383</v>
      </c>
      <c r="DU401" s="363">
        <v>1.0410677512491946</v>
      </c>
      <c r="DV401" s="363">
        <v>1.0487684959155639</v>
      </c>
      <c r="DW401" s="435">
        <v>1.05299588967814</v>
      </c>
      <c r="DX401" s="435">
        <v>1.057223283440716</v>
      </c>
      <c r="DY401" s="435">
        <v>1.0614506772032923</v>
      </c>
      <c r="DZ401" s="435">
        <v>1.0656780709658684</v>
      </c>
      <c r="EA401" s="363">
        <v>1.0699054647284445</v>
      </c>
      <c r="EB401" s="435">
        <v>1.0733706781377681</v>
      </c>
      <c r="EC401" s="435">
        <v>1.0768358915470915</v>
      </c>
      <c r="ED401" s="435">
        <v>1.0803011049564151</v>
      </c>
      <c r="EE401" s="435">
        <v>1.0837663183657384</v>
      </c>
      <c r="EF401" s="363">
        <v>1.087231531775062</v>
      </c>
      <c r="EG401" s="364">
        <v>0</v>
      </c>
      <c r="EH401" s="364">
        <v>0</v>
      </c>
      <c r="EI401" s="364">
        <v>0</v>
      </c>
      <c r="EJ401" s="365">
        <v>0</v>
      </c>
      <c r="EK401" s="365">
        <v>0</v>
      </c>
      <c r="EL401" s="365">
        <v>0</v>
      </c>
      <c r="EM401" s="365">
        <v>0</v>
      </c>
      <c r="EN401" s="365">
        <v>0</v>
      </c>
      <c r="EO401" s="365">
        <v>0</v>
      </c>
      <c r="EP401" s="365">
        <v>0</v>
      </c>
      <c r="EQ401" s="365">
        <v>0</v>
      </c>
      <c r="ER401" s="365">
        <v>0</v>
      </c>
      <c r="ES401" s="365">
        <v>0</v>
      </c>
      <c r="ET401" s="365">
        <v>0</v>
      </c>
      <c r="EU401" s="365">
        <v>0</v>
      </c>
      <c r="EV401" s="436">
        <v>0</v>
      </c>
      <c r="EW401" s="436">
        <v>0</v>
      </c>
      <c r="EX401" s="436">
        <v>0</v>
      </c>
      <c r="EY401" s="436">
        <v>0</v>
      </c>
      <c r="EZ401" s="365">
        <v>0</v>
      </c>
      <c r="FA401" s="436">
        <v>0</v>
      </c>
      <c r="FB401" s="436">
        <v>0</v>
      </c>
      <c r="FC401" s="436">
        <v>0</v>
      </c>
      <c r="FD401" s="436">
        <v>0</v>
      </c>
      <c r="FE401" s="365">
        <v>0</v>
      </c>
      <c r="FF401" s="364">
        <v>0</v>
      </c>
      <c r="FG401" s="364">
        <v>0</v>
      </c>
      <c r="FH401" s="364">
        <v>0</v>
      </c>
      <c r="FI401" s="365">
        <v>0</v>
      </c>
      <c r="FJ401" s="365">
        <v>0</v>
      </c>
      <c r="FK401" s="365">
        <v>0</v>
      </c>
      <c r="FL401" s="365">
        <v>0</v>
      </c>
      <c r="FM401" s="365">
        <v>0</v>
      </c>
      <c r="FN401" s="365">
        <v>0</v>
      </c>
      <c r="FO401" s="365">
        <v>0</v>
      </c>
      <c r="FP401" s="365">
        <v>0</v>
      </c>
      <c r="FQ401" s="365">
        <v>0</v>
      </c>
      <c r="FR401" s="365">
        <v>0</v>
      </c>
      <c r="FS401" s="365">
        <v>0</v>
      </c>
      <c r="FT401" s="365">
        <v>0</v>
      </c>
      <c r="FU401" s="436">
        <v>0</v>
      </c>
      <c r="FV401" s="436">
        <v>0</v>
      </c>
      <c r="FW401" s="436">
        <v>0</v>
      </c>
      <c r="FX401" s="436">
        <v>0</v>
      </c>
      <c r="FY401" s="365">
        <v>0</v>
      </c>
      <c r="FZ401" s="436">
        <v>0</v>
      </c>
      <c r="GA401" s="436">
        <v>0</v>
      </c>
      <c r="GB401" s="436">
        <v>0</v>
      </c>
      <c r="GC401" s="436">
        <v>0</v>
      </c>
      <c r="GD401" s="365">
        <v>0</v>
      </c>
    </row>
    <row r="402" spans="1:186" ht="15" x14ac:dyDescent="0.25">
      <c r="A402" s="357">
        <v>148</v>
      </c>
      <c r="B402" s="357">
        <v>105</v>
      </c>
      <c r="C402" s="357" t="s">
        <v>1312</v>
      </c>
      <c r="D402" s="2">
        <v>99712</v>
      </c>
      <c r="E402" s="268" t="s">
        <v>19</v>
      </c>
      <c r="F402" s="358" t="s">
        <v>915</v>
      </c>
      <c r="G402" s="49">
        <v>0</v>
      </c>
      <c r="H402" s="49">
        <v>2</v>
      </c>
      <c r="I402" s="49">
        <v>0</v>
      </c>
      <c r="J402" s="49">
        <v>2</v>
      </c>
      <c r="K402" s="49">
        <v>0</v>
      </c>
      <c r="L402" s="49">
        <v>0</v>
      </c>
      <c r="M402" s="49">
        <v>0</v>
      </c>
      <c r="N402" s="49">
        <v>0</v>
      </c>
      <c r="O402" s="49">
        <v>0</v>
      </c>
      <c r="P402" s="49">
        <v>0</v>
      </c>
      <c r="Q402" s="49">
        <v>0</v>
      </c>
      <c r="R402" s="49">
        <v>0</v>
      </c>
      <c r="S402" s="49">
        <v>834.49503068156923</v>
      </c>
      <c r="T402" s="49">
        <v>834.49503068156923</v>
      </c>
      <c r="U402" s="49">
        <v>1408.3846153846155</v>
      </c>
      <c r="V402" s="49">
        <v>0</v>
      </c>
      <c r="W402" s="49">
        <v>0</v>
      </c>
      <c r="X402" s="49">
        <v>1365.173957061457</v>
      </c>
      <c r="Y402" s="434">
        <v>0</v>
      </c>
      <c r="Z402" s="434">
        <v>0</v>
      </c>
      <c r="AA402" s="49">
        <v>4.5824670824670823E-2</v>
      </c>
      <c r="AB402" s="49">
        <v>1.9515765765765767</v>
      </c>
      <c r="AC402" s="49">
        <v>2.5987525987525989E-3</v>
      </c>
      <c r="AD402" s="285">
        <v>0</v>
      </c>
      <c r="AE402" s="285">
        <v>0</v>
      </c>
      <c r="AF402" s="359">
        <v>2</v>
      </c>
      <c r="AG402" s="360">
        <v>0</v>
      </c>
      <c r="AH402" s="360">
        <v>0</v>
      </c>
      <c r="AI402" s="361">
        <v>0</v>
      </c>
      <c r="AJ402" s="360">
        <v>0</v>
      </c>
      <c r="AK402" s="360">
        <v>4.1659861025822545E-2</v>
      </c>
      <c r="AL402" s="360">
        <v>1.7742060662585184</v>
      </c>
      <c r="AM402" s="360">
        <v>1.8158659272843409</v>
      </c>
      <c r="AN402" s="360">
        <v>2.3625630071354943E-3</v>
      </c>
      <c r="AO402" s="360">
        <v>0</v>
      </c>
      <c r="AP402" s="360">
        <v>0</v>
      </c>
      <c r="AQ402" s="360">
        <v>0</v>
      </c>
      <c r="AR402" s="360">
        <v>0</v>
      </c>
      <c r="AS402" s="360">
        <v>0</v>
      </c>
      <c r="AT402" s="360">
        <v>0</v>
      </c>
      <c r="AU402" s="360">
        <v>1.6508295817689698</v>
      </c>
      <c r="AV402" s="360">
        <v>1.7313824503232471</v>
      </c>
      <c r="AW402" s="360">
        <v>1.8158659272843409</v>
      </c>
      <c r="AX402" s="360">
        <v>1.9044718082111811</v>
      </c>
      <c r="AY402" s="360">
        <v>1.9974012474012475</v>
      </c>
      <c r="AZ402" s="360">
        <v>0</v>
      </c>
      <c r="BA402" s="360">
        <v>0</v>
      </c>
      <c r="BB402" s="360">
        <v>0</v>
      </c>
      <c r="BC402" s="360">
        <v>0</v>
      </c>
      <c r="BD402" s="360">
        <v>0</v>
      </c>
      <c r="BE402" s="360">
        <v>0</v>
      </c>
      <c r="BF402" s="360">
        <v>0</v>
      </c>
      <c r="BG402" s="360">
        <v>0</v>
      </c>
      <c r="BH402" s="360">
        <v>0</v>
      </c>
      <c r="BI402" s="360">
        <v>0</v>
      </c>
      <c r="BJ402" s="362">
        <v>2.022683901545177</v>
      </c>
      <c r="BK402" s="362">
        <v>2.0482865778185571</v>
      </c>
      <c r="BL402" s="362">
        <v>2.0742133269892693</v>
      </c>
      <c r="BM402" s="363">
        <v>2.0605762844154167</v>
      </c>
      <c r="BN402" s="363">
        <v>2.0470288994133008</v>
      </c>
      <c r="BO402" s="363">
        <v>2.0404920735569201</v>
      </c>
      <c r="BP402" s="363">
        <v>2.0339761219013339</v>
      </c>
      <c r="BQ402" s="363">
        <v>2.027480977788461</v>
      </c>
      <c r="BR402" s="363">
        <v>2.0210065747730832</v>
      </c>
      <c r="BS402" s="363">
        <v>2.0145528466221627</v>
      </c>
      <c r="BT402" s="363">
        <v>2.0294544292234202</v>
      </c>
      <c r="BU402" s="363">
        <v>2.0444662383518168</v>
      </c>
      <c r="BV402" s="363">
        <v>2.0595890893494286</v>
      </c>
      <c r="BW402" s="363">
        <v>2.0748238035893904</v>
      </c>
      <c r="BX402" s="363">
        <v>2.090171208520506</v>
      </c>
      <c r="BY402" s="435">
        <v>2.0985963059219128</v>
      </c>
      <c r="BZ402" s="435">
        <v>2.1070214033233201</v>
      </c>
      <c r="CA402" s="435">
        <v>2.115446500724727</v>
      </c>
      <c r="CB402" s="435">
        <v>2.1238715981261342</v>
      </c>
      <c r="CC402" s="363">
        <v>2.1322966955275411</v>
      </c>
      <c r="CD402" s="435">
        <v>2.1392027852201232</v>
      </c>
      <c r="CE402" s="435">
        <v>2.1461088749127053</v>
      </c>
      <c r="CF402" s="435">
        <v>2.153014964605287</v>
      </c>
      <c r="CG402" s="435">
        <v>2.1599210542978691</v>
      </c>
      <c r="CH402" s="363">
        <v>2.1668271439904512</v>
      </c>
      <c r="CI402" s="362">
        <v>0</v>
      </c>
      <c r="CJ402" s="362">
        <v>0</v>
      </c>
      <c r="CK402" s="362">
        <v>0</v>
      </c>
      <c r="CL402" s="363">
        <v>0</v>
      </c>
      <c r="CM402" s="363">
        <v>0</v>
      </c>
      <c r="CN402" s="363">
        <v>0</v>
      </c>
      <c r="CO402" s="363">
        <v>0</v>
      </c>
      <c r="CP402" s="363">
        <v>0</v>
      </c>
      <c r="CQ402" s="363">
        <v>0</v>
      </c>
      <c r="CR402" s="363">
        <v>0</v>
      </c>
      <c r="CS402" s="363">
        <v>0</v>
      </c>
      <c r="CT402" s="363">
        <v>0</v>
      </c>
      <c r="CU402" s="363">
        <v>0</v>
      </c>
      <c r="CV402" s="363">
        <v>0</v>
      </c>
      <c r="CW402" s="363">
        <v>0</v>
      </c>
      <c r="CX402" s="435">
        <v>0</v>
      </c>
      <c r="CY402" s="435">
        <v>0</v>
      </c>
      <c r="CZ402" s="435">
        <v>0</v>
      </c>
      <c r="DA402" s="435">
        <v>0</v>
      </c>
      <c r="DB402" s="363">
        <v>0</v>
      </c>
      <c r="DC402" s="435">
        <v>0</v>
      </c>
      <c r="DD402" s="435">
        <v>0</v>
      </c>
      <c r="DE402" s="435">
        <v>0</v>
      </c>
      <c r="DF402" s="435">
        <v>0</v>
      </c>
      <c r="DG402" s="363">
        <v>0</v>
      </c>
      <c r="DH402" s="362">
        <v>0</v>
      </c>
      <c r="DI402" s="362">
        <v>0</v>
      </c>
      <c r="DJ402" s="362">
        <v>0</v>
      </c>
      <c r="DK402" s="363">
        <v>0</v>
      </c>
      <c r="DL402" s="363">
        <v>0</v>
      </c>
      <c r="DM402" s="363">
        <v>0</v>
      </c>
      <c r="DN402" s="363">
        <v>0</v>
      </c>
      <c r="DO402" s="363">
        <v>0</v>
      </c>
      <c r="DP402" s="363">
        <v>0</v>
      </c>
      <c r="DQ402" s="363">
        <v>0</v>
      </c>
      <c r="DR402" s="363">
        <v>0</v>
      </c>
      <c r="DS402" s="363">
        <v>0</v>
      </c>
      <c r="DT402" s="363">
        <v>0</v>
      </c>
      <c r="DU402" s="363">
        <v>0</v>
      </c>
      <c r="DV402" s="363">
        <v>0</v>
      </c>
      <c r="DW402" s="435">
        <v>0</v>
      </c>
      <c r="DX402" s="435">
        <v>0</v>
      </c>
      <c r="DY402" s="435">
        <v>0</v>
      </c>
      <c r="DZ402" s="435">
        <v>0</v>
      </c>
      <c r="EA402" s="363">
        <v>0</v>
      </c>
      <c r="EB402" s="435">
        <v>0</v>
      </c>
      <c r="EC402" s="435">
        <v>0</v>
      </c>
      <c r="ED402" s="435">
        <v>0</v>
      </c>
      <c r="EE402" s="435">
        <v>0</v>
      </c>
      <c r="EF402" s="363">
        <v>0</v>
      </c>
      <c r="EG402" s="364">
        <v>2.6316470225672354E-3</v>
      </c>
      <c r="EH402" s="364">
        <v>2.6649578165737148E-3</v>
      </c>
      <c r="EI402" s="364">
        <v>2.6986902510919455E-3</v>
      </c>
      <c r="EJ402" s="365">
        <v>2.6809475467283591E-3</v>
      </c>
      <c r="EK402" s="365">
        <v>2.6633214928614372E-3</v>
      </c>
      <c r="EL402" s="365">
        <v>2.6548166452731205E-3</v>
      </c>
      <c r="EM402" s="365">
        <v>2.6463389564159948E-3</v>
      </c>
      <c r="EN402" s="365">
        <v>2.6378883395634413E-3</v>
      </c>
      <c r="EO402" s="365">
        <v>2.6294647082657861E-3</v>
      </c>
      <c r="EP402" s="365">
        <v>2.6210679763494179E-3</v>
      </c>
      <c r="EQ402" s="365">
        <v>2.6404559318545669E-3</v>
      </c>
      <c r="ER402" s="365">
        <v>2.6599872994429053E-3</v>
      </c>
      <c r="ES402" s="365">
        <v>2.679663139928999E-3</v>
      </c>
      <c r="ET402" s="365">
        <v>2.6994845219742267E-3</v>
      </c>
      <c r="EU402" s="365">
        <v>2.7194525221448163E-3</v>
      </c>
      <c r="EV402" s="436">
        <v>2.7304141372910657E-3</v>
      </c>
      <c r="EW402" s="436">
        <v>2.7413757524373146E-3</v>
      </c>
      <c r="EX402" s="436">
        <v>2.7523373675835639E-3</v>
      </c>
      <c r="EY402" s="436">
        <v>2.7632989827298129E-3</v>
      </c>
      <c r="EZ402" s="365">
        <v>2.7742605978760622E-3</v>
      </c>
      <c r="FA402" s="436">
        <v>2.7832458824097362E-3</v>
      </c>
      <c r="FB402" s="436">
        <v>2.7922311669434105E-3</v>
      </c>
      <c r="FC402" s="436">
        <v>2.8012164514770845E-3</v>
      </c>
      <c r="FD402" s="436">
        <v>2.8102017360107589E-3</v>
      </c>
      <c r="FE402" s="365">
        <v>2.8191870205444328E-3</v>
      </c>
      <c r="FF402" s="364">
        <v>0</v>
      </c>
      <c r="FG402" s="364">
        <v>0</v>
      </c>
      <c r="FH402" s="364">
        <v>0</v>
      </c>
      <c r="FI402" s="365">
        <v>0</v>
      </c>
      <c r="FJ402" s="365">
        <v>0</v>
      </c>
      <c r="FK402" s="365">
        <v>0</v>
      </c>
      <c r="FL402" s="365">
        <v>0</v>
      </c>
      <c r="FM402" s="365">
        <v>0</v>
      </c>
      <c r="FN402" s="365">
        <v>0</v>
      </c>
      <c r="FO402" s="365">
        <v>0</v>
      </c>
      <c r="FP402" s="365">
        <v>0</v>
      </c>
      <c r="FQ402" s="365">
        <v>0</v>
      </c>
      <c r="FR402" s="365">
        <v>0</v>
      </c>
      <c r="FS402" s="365">
        <v>0</v>
      </c>
      <c r="FT402" s="365">
        <v>0</v>
      </c>
      <c r="FU402" s="436">
        <v>0</v>
      </c>
      <c r="FV402" s="436">
        <v>0</v>
      </c>
      <c r="FW402" s="436">
        <v>0</v>
      </c>
      <c r="FX402" s="436">
        <v>0</v>
      </c>
      <c r="FY402" s="365">
        <v>0</v>
      </c>
      <c r="FZ402" s="436">
        <v>0</v>
      </c>
      <c r="GA402" s="436">
        <v>0</v>
      </c>
      <c r="GB402" s="436">
        <v>0</v>
      </c>
      <c r="GC402" s="436">
        <v>0</v>
      </c>
      <c r="GD402" s="365">
        <v>0</v>
      </c>
    </row>
    <row r="403" spans="1:186" ht="15" x14ac:dyDescent="0.25">
      <c r="A403" s="357">
        <v>91</v>
      </c>
      <c r="B403" s="357">
        <v>106</v>
      </c>
      <c r="C403" s="357" t="s">
        <v>1313</v>
      </c>
      <c r="D403" s="2">
        <v>99709</v>
      </c>
      <c r="E403" s="268" t="s">
        <v>19</v>
      </c>
      <c r="F403" s="358" t="s">
        <v>915</v>
      </c>
      <c r="G403" s="49">
        <v>41</v>
      </c>
      <c r="H403" s="49">
        <v>60</v>
      </c>
      <c r="I403" s="49">
        <v>23</v>
      </c>
      <c r="J403" s="49">
        <v>37</v>
      </c>
      <c r="K403" s="49">
        <v>0</v>
      </c>
      <c r="L403" s="49">
        <v>0</v>
      </c>
      <c r="M403" s="49">
        <v>0</v>
      </c>
      <c r="N403" s="49">
        <v>0</v>
      </c>
      <c r="O403" s="49">
        <v>0</v>
      </c>
      <c r="P403" s="49">
        <v>0</v>
      </c>
      <c r="Q403" s="49">
        <v>0</v>
      </c>
      <c r="R403" s="49">
        <v>0</v>
      </c>
      <c r="S403" s="49">
        <v>834.49503068156923</v>
      </c>
      <c r="T403" s="49">
        <v>834.49503068156923</v>
      </c>
      <c r="U403" s="49">
        <v>1408.3846153846155</v>
      </c>
      <c r="V403" s="49">
        <v>0</v>
      </c>
      <c r="W403" s="49">
        <v>0</v>
      </c>
      <c r="X403" s="49">
        <v>1365.173957061457</v>
      </c>
      <c r="Y403" s="434">
        <v>0</v>
      </c>
      <c r="Z403" s="434">
        <v>0</v>
      </c>
      <c r="AA403" s="49">
        <v>1.3747401247401247</v>
      </c>
      <c r="AB403" s="49">
        <v>58.547297297297298</v>
      </c>
      <c r="AC403" s="49">
        <v>7.7962577962577967E-2</v>
      </c>
      <c r="AD403" s="285">
        <v>0</v>
      </c>
      <c r="AE403" s="285">
        <v>0</v>
      </c>
      <c r="AF403" s="359">
        <v>60</v>
      </c>
      <c r="AG403" s="360">
        <v>0.5269837144837145</v>
      </c>
      <c r="AH403" s="360">
        <v>22.44313063063063</v>
      </c>
      <c r="AI403" s="361">
        <v>22.970114345114347</v>
      </c>
      <c r="AJ403" s="360">
        <v>2.9885654885654887E-2</v>
      </c>
      <c r="AK403" s="360">
        <v>1.3089703507252965</v>
      </c>
      <c r="AL403" s="360">
        <v>55.746300626635552</v>
      </c>
      <c r="AM403" s="360">
        <v>57.055270977360848</v>
      </c>
      <c r="AN403" s="360">
        <v>7.423272310351399E-2</v>
      </c>
      <c r="AO403" s="360">
        <v>0.50271855378558894</v>
      </c>
      <c r="AP403" s="360">
        <v>21.409728352052049</v>
      </c>
      <c r="AQ403" s="360">
        <v>21.912446905837637</v>
      </c>
      <c r="AR403" s="360">
        <v>2.85095588158179E-2</v>
      </c>
      <c r="AS403" s="360">
        <v>0</v>
      </c>
      <c r="AT403" s="360">
        <v>0</v>
      </c>
      <c r="AU403" s="360">
        <v>54.325655240535554</v>
      </c>
      <c r="AV403" s="360">
        <v>55.673736903242258</v>
      </c>
      <c r="AW403" s="360">
        <v>57.055270977360841</v>
      </c>
      <c r="AX403" s="360">
        <v>58.471087578647804</v>
      </c>
      <c r="AY403" s="360">
        <v>59.92203742203742</v>
      </c>
      <c r="AZ403" s="360">
        <v>20.903480156304951</v>
      </c>
      <c r="BA403" s="360">
        <v>21.402018574710727</v>
      </c>
      <c r="BB403" s="360">
        <v>21.912446905837637</v>
      </c>
      <c r="BC403" s="360">
        <v>22.435048718653089</v>
      </c>
      <c r="BD403" s="360">
        <v>22.970114345114347</v>
      </c>
      <c r="BE403" s="360">
        <v>0</v>
      </c>
      <c r="BF403" s="360">
        <v>0</v>
      </c>
      <c r="BG403" s="360">
        <v>0</v>
      </c>
      <c r="BH403" s="360">
        <v>0</v>
      </c>
      <c r="BI403" s="360">
        <v>0</v>
      </c>
      <c r="BJ403" s="362">
        <v>60.22899578934414</v>
      </c>
      <c r="BK403" s="362">
        <v>60.537526590488454</v>
      </c>
      <c r="BL403" s="362">
        <v>60.847637880465541</v>
      </c>
      <c r="BM403" s="363">
        <v>60.44759135800939</v>
      </c>
      <c r="BN403" s="363">
        <v>60.050174965919894</v>
      </c>
      <c r="BO403" s="363">
        <v>59.858415320264726</v>
      </c>
      <c r="BP403" s="363">
        <v>59.667268025226733</v>
      </c>
      <c r="BQ403" s="363">
        <v>59.476731125372183</v>
      </c>
      <c r="BR403" s="363">
        <v>59.286802671511687</v>
      </c>
      <c r="BS403" s="363">
        <v>59.097480720680252</v>
      </c>
      <c r="BT403" s="363">
        <v>59.534622884491959</v>
      </c>
      <c r="BU403" s="363">
        <v>59.974998574827147</v>
      </c>
      <c r="BV403" s="363">
        <v>60.418631709977518</v>
      </c>
      <c r="BW403" s="363">
        <v>60.865546385157579</v>
      </c>
      <c r="BX403" s="363">
        <v>61.315766873813331</v>
      </c>
      <c r="BY403" s="435">
        <v>61.562919502290839</v>
      </c>
      <c r="BZ403" s="435">
        <v>61.81007213076834</v>
      </c>
      <c r="CA403" s="435">
        <v>62.057224759245848</v>
      </c>
      <c r="CB403" s="435">
        <v>62.304377387723349</v>
      </c>
      <c r="CC403" s="363">
        <v>62.551530016200857</v>
      </c>
      <c r="CD403" s="435">
        <v>62.754122121514435</v>
      </c>
      <c r="CE403" s="435">
        <v>62.956714226828019</v>
      </c>
      <c r="CF403" s="435">
        <v>63.159306332141597</v>
      </c>
      <c r="CG403" s="435">
        <v>63.361898437455181</v>
      </c>
      <c r="CH403" s="363">
        <v>63.564490542768759</v>
      </c>
      <c r="CI403" s="362">
        <v>23.087781719248589</v>
      </c>
      <c r="CJ403" s="362">
        <v>23.206051859687243</v>
      </c>
      <c r="CK403" s="362">
        <v>23.324927854178458</v>
      </c>
      <c r="CL403" s="363">
        <v>23.171576687236932</v>
      </c>
      <c r="CM403" s="363">
        <v>23.019233736935959</v>
      </c>
      <c r="CN403" s="363">
        <v>22.945725872768143</v>
      </c>
      <c r="CO403" s="363">
        <v>22.872452743003581</v>
      </c>
      <c r="CP403" s="363">
        <v>22.799413598059338</v>
      </c>
      <c r="CQ403" s="363">
        <v>22.72660769074615</v>
      </c>
      <c r="CR403" s="363">
        <v>22.654034276260763</v>
      </c>
      <c r="CS403" s="363">
        <v>22.821605439055251</v>
      </c>
      <c r="CT403" s="363">
        <v>22.99041612035041</v>
      </c>
      <c r="CU403" s="363">
        <v>23.160475488824716</v>
      </c>
      <c r="CV403" s="363">
        <v>23.331792780977072</v>
      </c>
      <c r="CW403" s="363">
        <v>23.504377301628445</v>
      </c>
      <c r="CX403" s="435">
        <v>23.599119142544822</v>
      </c>
      <c r="CY403" s="435">
        <v>23.6938609834612</v>
      </c>
      <c r="CZ403" s="435">
        <v>23.788602824377573</v>
      </c>
      <c r="DA403" s="435">
        <v>23.883344665293951</v>
      </c>
      <c r="DB403" s="363">
        <v>23.978086506210328</v>
      </c>
      <c r="DC403" s="435">
        <v>24.0557468132472</v>
      </c>
      <c r="DD403" s="435">
        <v>24.133407120284073</v>
      </c>
      <c r="DE403" s="435">
        <v>24.211067427320945</v>
      </c>
      <c r="DF403" s="435">
        <v>24.288727734357817</v>
      </c>
      <c r="DG403" s="363">
        <v>24.366388041394689</v>
      </c>
      <c r="DH403" s="362">
        <v>0</v>
      </c>
      <c r="DI403" s="362">
        <v>0</v>
      </c>
      <c r="DJ403" s="362">
        <v>0</v>
      </c>
      <c r="DK403" s="363">
        <v>0</v>
      </c>
      <c r="DL403" s="363">
        <v>0</v>
      </c>
      <c r="DM403" s="363">
        <v>0</v>
      </c>
      <c r="DN403" s="363">
        <v>0</v>
      </c>
      <c r="DO403" s="363">
        <v>0</v>
      </c>
      <c r="DP403" s="363">
        <v>0</v>
      </c>
      <c r="DQ403" s="363">
        <v>0</v>
      </c>
      <c r="DR403" s="363">
        <v>0</v>
      </c>
      <c r="DS403" s="363">
        <v>0</v>
      </c>
      <c r="DT403" s="363">
        <v>0</v>
      </c>
      <c r="DU403" s="363">
        <v>0</v>
      </c>
      <c r="DV403" s="363">
        <v>0</v>
      </c>
      <c r="DW403" s="435">
        <v>0</v>
      </c>
      <c r="DX403" s="435">
        <v>0</v>
      </c>
      <c r="DY403" s="435">
        <v>0</v>
      </c>
      <c r="DZ403" s="435">
        <v>0</v>
      </c>
      <c r="EA403" s="363">
        <v>0</v>
      </c>
      <c r="EB403" s="435">
        <v>0</v>
      </c>
      <c r="EC403" s="435">
        <v>0</v>
      </c>
      <c r="ED403" s="435">
        <v>0</v>
      </c>
      <c r="EE403" s="435">
        <v>0</v>
      </c>
      <c r="EF403" s="363">
        <v>0</v>
      </c>
      <c r="EG403" s="364">
        <v>7.8361951326234899E-2</v>
      </c>
      <c r="EH403" s="364">
        <v>7.8763370531470797E-2</v>
      </c>
      <c r="EI403" s="364">
        <v>7.9166846058373069E-2</v>
      </c>
      <c r="EJ403" s="365">
        <v>7.8646358779611486E-2</v>
      </c>
      <c r="EK403" s="365">
        <v>7.8129293476346465E-2</v>
      </c>
      <c r="EL403" s="365">
        <v>7.7879801353453973E-2</v>
      </c>
      <c r="EM403" s="365">
        <v>7.7631105939665282E-2</v>
      </c>
      <c r="EN403" s="365">
        <v>7.7383204690830321E-2</v>
      </c>
      <c r="EO403" s="365">
        <v>7.7136095070923352E-2</v>
      </c>
      <c r="EP403" s="365">
        <v>7.6889774552016982E-2</v>
      </c>
      <c r="EQ403" s="365">
        <v>7.7458525740947123E-2</v>
      </c>
      <c r="ER403" s="365">
        <v>7.8031483964125875E-2</v>
      </c>
      <c r="ES403" s="365">
        <v>7.8608680340850265E-2</v>
      </c>
      <c r="ET403" s="365">
        <v>7.9190146220605745E-2</v>
      </c>
      <c r="EU403" s="365">
        <v>7.9775913184768843E-2</v>
      </c>
      <c r="EV403" s="436">
        <v>8.0097475282709912E-2</v>
      </c>
      <c r="EW403" s="436">
        <v>8.0419037380650982E-2</v>
      </c>
      <c r="EX403" s="436">
        <v>8.0740599478592037E-2</v>
      </c>
      <c r="EY403" s="436">
        <v>8.1062161576533107E-2</v>
      </c>
      <c r="EZ403" s="365">
        <v>8.1383723674474176E-2</v>
      </c>
      <c r="FA403" s="436">
        <v>8.1647309551801245E-2</v>
      </c>
      <c r="FB403" s="436">
        <v>8.19108954291283E-2</v>
      </c>
      <c r="FC403" s="436">
        <v>8.2174481306455369E-2</v>
      </c>
      <c r="FD403" s="436">
        <v>8.2438067183782424E-2</v>
      </c>
      <c r="FE403" s="365">
        <v>8.2701653061109492E-2</v>
      </c>
      <c r="FF403" s="364">
        <v>0</v>
      </c>
      <c r="FG403" s="364">
        <v>0</v>
      </c>
      <c r="FH403" s="364">
        <v>0</v>
      </c>
      <c r="FI403" s="365">
        <v>0</v>
      </c>
      <c r="FJ403" s="365">
        <v>0</v>
      </c>
      <c r="FK403" s="365">
        <v>0</v>
      </c>
      <c r="FL403" s="365">
        <v>0</v>
      </c>
      <c r="FM403" s="365">
        <v>0</v>
      </c>
      <c r="FN403" s="365">
        <v>0</v>
      </c>
      <c r="FO403" s="365">
        <v>0</v>
      </c>
      <c r="FP403" s="365">
        <v>0</v>
      </c>
      <c r="FQ403" s="365">
        <v>0</v>
      </c>
      <c r="FR403" s="365">
        <v>0</v>
      </c>
      <c r="FS403" s="365">
        <v>0</v>
      </c>
      <c r="FT403" s="365">
        <v>0</v>
      </c>
      <c r="FU403" s="436">
        <v>0</v>
      </c>
      <c r="FV403" s="436">
        <v>0</v>
      </c>
      <c r="FW403" s="436">
        <v>0</v>
      </c>
      <c r="FX403" s="436">
        <v>0</v>
      </c>
      <c r="FY403" s="365">
        <v>0</v>
      </c>
      <c r="FZ403" s="436">
        <v>0</v>
      </c>
      <c r="GA403" s="436">
        <v>0</v>
      </c>
      <c r="GB403" s="436">
        <v>0</v>
      </c>
      <c r="GC403" s="436">
        <v>0</v>
      </c>
      <c r="GD403" s="365">
        <v>0</v>
      </c>
    </row>
    <row r="404" spans="1:186" ht="15" x14ac:dyDescent="0.25">
      <c r="A404" s="357">
        <v>114</v>
      </c>
      <c r="B404" s="357">
        <v>106</v>
      </c>
      <c r="C404" s="357" t="s">
        <v>1314</v>
      </c>
      <c r="D404" s="2">
        <v>99712</v>
      </c>
      <c r="E404" s="268" t="s">
        <v>19</v>
      </c>
      <c r="F404" s="358" t="s">
        <v>915</v>
      </c>
      <c r="G404" s="49">
        <v>9</v>
      </c>
      <c r="H404" s="49">
        <v>2</v>
      </c>
      <c r="I404" s="49">
        <v>2</v>
      </c>
      <c r="J404" s="49">
        <v>0</v>
      </c>
      <c r="K404" s="49">
        <v>0</v>
      </c>
      <c r="L404" s="49">
        <v>0</v>
      </c>
      <c r="M404" s="49">
        <v>0</v>
      </c>
      <c r="N404" s="49">
        <v>0</v>
      </c>
      <c r="O404" s="49">
        <v>0</v>
      </c>
      <c r="P404" s="49">
        <v>0</v>
      </c>
      <c r="Q404" s="49">
        <v>0</v>
      </c>
      <c r="R404" s="49">
        <v>0</v>
      </c>
      <c r="S404" s="49">
        <v>834.49503068156923</v>
      </c>
      <c r="T404" s="49">
        <v>834.49503068156923</v>
      </c>
      <c r="U404" s="49">
        <v>1408.3846153846155</v>
      </c>
      <c r="V404" s="49">
        <v>0</v>
      </c>
      <c r="W404" s="49">
        <v>0</v>
      </c>
      <c r="X404" s="49">
        <v>1365.173957061457</v>
      </c>
      <c r="Y404" s="434">
        <v>0</v>
      </c>
      <c r="Z404" s="434">
        <v>0</v>
      </c>
      <c r="AA404" s="49">
        <v>4.5824670824670823E-2</v>
      </c>
      <c r="AB404" s="49">
        <v>1.9515765765765767</v>
      </c>
      <c r="AC404" s="49">
        <v>2.5987525987525989E-3</v>
      </c>
      <c r="AD404" s="285">
        <v>0</v>
      </c>
      <c r="AE404" s="285">
        <v>0</v>
      </c>
      <c r="AF404" s="359">
        <v>2</v>
      </c>
      <c r="AG404" s="360">
        <v>4.5824670824670823E-2</v>
      </c>
      <c r="AH404" s="360">
        <v>1.9515765765765767</v>
      </c>
      <c r="AI404" s="361">
        <v>1.9974012474012475</v>
      </c>
      <c r="AJ404" s="360">
        <v>2.5987525987525989E-3</v>
      </c>
      <c r="AK404" s="360">
        <v>4.1659861025822545E-2</v>
      </c>
      <c r="AL404" s="360">
        <v>1.7742060662585184</v>
      </c>
      <c r="AM404" s="360">
        <v>1.8158659272843409</v>
      </c>
      <c r="AN404" s="360">
        <v>2.3625630071354943E-3</v>
      </c>
      <c r="AO404" s="360">
        <v>4.1812909251143796E-2</v>
      </c>
      <c r="AP404" s="360">
        <v>1.7807240690340618</v>
      </c>
      <c r="AQ404" s="360">
        <v>1.8225369782852057</v>
      </c>
      <c r="AR404" s="360">
        <v>2.3712424906130701E-3</v>
      </c>
      <c r="AS404" s="360">
        <v>0</v>
      </c>
      <c r="AT404" s="360">
        <v>0</v>
      </c>
      <c r="AU404" s="360">
        <v>1.6508295817689698</v>
      </c>
      <c r="AV404" s="360">
        <v>1.7313824503232471</v>
      </c>
      <c r="AW404" s="360">
        <v>1.8158659272843409</v>
      </c>
      <c r="AX404" s="360">
        <v>1.9044718082111811</v>
      </c>
      <c r="AY404" s="360">
        <v>1.9974012474012475</v>
      </c>
      <c r="AZ404" s="360">
        <v>1.6629813571702954</v>
      </c>
      <c r="BA404" s="360">
        <v>1.740932226607854</v>
      </c>
      <c r="BB404" s="360">
        <v>1.8225369782852054</v>
      </c>
      <c r="BC404" s="360">
        <v>1.9079668848965303</v>
      </c>
      <c r="BD404" s="360">
        <v>1.9974012474012475</v>
      </c>
      <c r="BE404" s="360">
        <v>0</v>
      </c>
      <c r="BF404" s="360">
        <v>0</v>
      </c>
      <c r="BG404" s="360">
        <v>0</v>
      </c>
      <c r="BH404" s="360">
        <v>0</v>
      </c>
      <c r="BI404" s="360">
        <v>0</v>
      </c>
      <c r="BJ404" s="362">
        <v>2.0241796178915923</v>
      </c>
      <c r="BK404" s="362">
        <v>2.0513169954302457</v>
      </c>
      <c r="BL404" s="362">
        <v>2.0788181930830665</v>
      </c>
      <c r="BM404" s="363">
        <v>2.0651508755350103</v>
      </c>
      <c r="BN404" s="363">
        <v>2.0515734146033622</v>
      </c>
      <c r="BO404" s="363">
        <v>2.0450220766390155</v>
      </c>
      <c r="BP404" s="363">
        <v>2.0384916592173203</v>
      </c>
      <c r="BQ404" s="363">
        <v>2.0319820955322121</v>
      </c>
      <c r="BR404" s="363">
        <v>2.0254933189909607</v>
      </c>
      <c r="BS404" s="363">
        <v>2.0190252632134871</v>
      </c>
      <c r="BT404" s="363">
        <v>2.0339599281363996</v>
      </c>
      <c r="BU404" s="363">
        <v>2.0490050642953204</v>
      </c>
      <c r="BV404" s="363">
        <v>2.0641614888424287</v>
      </c>
      <c r="BW404" s="363">
        <v>2.0794300249743531</v>
      </c>
      <c r="BX404" s="363">
        <v>2.0948115019768774</v>
      </c>
      <c r="BY404" s="435">
        <v>2.1032553035515034</v>
      </c>
      <c r="BZ404" s="435">
        <v>2.1116991051261293</v>
      </c>
      <c r="CA404" s="435">
        <v>2.1201429067007549</v>
      </c>
      <c r="CB404" s="435">
        <v>2.1285867082753809</v>
      </c>
      <c r="CC404" s="363">
        <v>2.1370305098500069</v>
      </c>
      <c r="CD404" s="435">
        <v>2.1439519314363009</v>
      </c>
      <c r="CE404" s="435">
        <v>2.1508733530225954</v>
      </c>
      <c r="CF404" s="435">
        <v>2.1577947746088895</v>
      </c>
      <c r="CG404" s="435">
        <v>2.164716196195184</v>
      </c>
      <c r="CH404" s="363">
        <v>2.171637617781478</v>
      </c>
      <c r="CI404" s="362">
        <v>2.0241796178915923</v>
      </c>
      <c r="CJ404" s="362">
        <v>2.0513169954302457</v>
      </c>
      <c r="CK404" s="362">
        <v>2.0788181930830665</v>
      </c>
      <c r="CL404" s="363">
        <v>2.0651508755350103</v>
      </c>
      <c r="CM404" s="363">
        <v>2.0515734146033622</v>
      </c>
      <c r="CN404" s="363">
        <v>2.0450220766390155</v>
      </c>
      <c r="CO404" s="363">
        <v>2.0384916592173203</v>
      </c>
      <c r="CP404" s="363">
        <v>2.0319820955322121</v>
      </c>
      <c r="CQ404" s="363">
        <v>2.0254933189909607</v>
      </c>
      <c r="CR404" s="363">
        <v>2.0190252632134871</v>
      </c>
      <c r="CS404" s="363">
        <v>2.0339599281363996</v>
      </c>
      <c r="CT404" s="363">
        <v>2.0490050642953204</v>
      </c>
      <c r="CU404" s="363">
        <v>2.0641614888424287</v>
      </c>
      <c r="CV404" s="363">
        <v>2.0794300249743531</v>
      </c>
      <c r="CW404" s="363">
        <v>2.0948115019768774</v>
      </c>
      <c r="CX404" s="435">
        <v>2.1032553035515034</v>
      </c>
      <c r="CY404" s="435">
        <v>2.1116991051261293</v>
      </c>
      <c r="CZ404" s="435">
        <v>2.1201429067007549</v>
      </c>
      <c r="DA404" s="435">
        <v>2.1285867082753809</v>
      </c>
      <c r="DB404" s="363">
        <v>2.1370305098500069</v>
      </c>
      <c r="DC404" s="435">
        <v>2.1439519314363009</v>
      </c>
      <c r="DD404" s="435">
        <v>2.1508733530225954</v>
      </c>
      <c r="DE404" s="435">
        <v>2.1577947746088895</v>
      </c>
      <c r="DF404" s="435">
        <v>2.164716196195184</v>
      </c>
      <c r="DG404" s="363">
        <v>2.171637617781478</v>
      </c>
      <c r="DH404" s="362">
        <v>0</v>
      </c>
      <c r="DI404" s="362">
        <v>0</v>
      </c>
      <c r="DJ404" s="362">
        <v>0</v>
      </c>
      <c r="DK404" s="363">
        <v>0</v>
      </c>
      <c r="DL404" s="363">
        <v>0</v>
      </c>
      <c r="DM404" s="363">
        <v>0</v>
      </c>
      <c r="DN404" s="363">
        <v>0</v>
      </c>
      <c r="DO404" s="363">
        <v>0</v>
      </c>
      <c r="DP404" s="363">
        <v>0</v>
      </c>
      <c r="DQ404" s="363">
        <v>0</v>
      </c>
      <c r="DR404" s="363">
        <v>0</v>
      </c>
      <c r="DS404" s="363">
        <v>0</v>
      </c>
      <c r="DT404" s="363">
        <v>0</v>
      </c>
      <c r="DU404" s="363">
        <v>0</v>
      </c>
      <c r="DV404" s="363">
        <v>0</v>
      </c>
      <c r="DW404" s="435">
        <v>0</v>
      </c>
      <c r="DX404" s="435">
        <v>0</v>
      </c>
      <c r="DY404" s="435">
        <v>0</v>
      </c>
      <c r="DZ404" s="435">
        <v>0</v>
      </c>
      <c r="EA404" s="363">
        <v>0</v>
      </c>
      <c r="EB404" s="435">
        <v>0</v>
      </c>
      <c r="EC404" s="435">
        <v>0</v>
      </c>
      <c r="ED404" s="435">
        <v>0</v>
      </c>
      <c r="EE404" s="435">
        <v>0</v>
      </c>
      <c r="EF404" s="363">
        <v>0</v>
      </c>
      <c r="EG404" s="364">
        <v>2.6335930495597088E-3</v>
      </c>
      <c r="EH404" s="364">
        <v>2.6689005925452066E-3</v>
      </c>
      <c r="EI404" s="364">
        <v>2.7046814898296465E-3</v>
      </c>
      <c r="EJ404" s="365">
        <v>2.6868993956999871E-3</v>
      </c>
      <c r="EK404" s="365">
        <v>2.6692342110374214E-3</v>
      </c>
      <c r="EL404" s="365">
        <v>2.660710482226145E-3</v>
      </c>
      <c r="EM404" s="365">
        <v>2.6522139724399168E-3</v>
      </c>
      <c r="EN404" s="365">
        <v>2.6437445947595783E-3</v>
      </c>
      <c r="EO404" s="365">
        <v>2.6353022625435342E-3</v>
      </c>
      <c r="EP404" s="365">
        <v>2.626886889426863E-3</v>
      </c>
      <c r="EQ404" s="365">
        <v>2.6463178872448596E-3</v>
      </c>
      <c r="ER404" s="365">
        <v>2.6658926155286498E-3</v>
      </c>
      <c r="ES404" s="365">
        <v>2.6856121374478643E-3</v>
      </c>
      <c r="ET404" s="365">
        <v>2.7054775240363685E-3</v>
      </c>
      <c r="EU404" s="365">
        <v>2.7254898542504258E-3</v>
      </c>
      <c r="EV404" s="436">
        <v>2.7364758047768709E-3</v>
      </c>
      <c r="EW404" s="436">
        <v>2.7474617553033165E-3</v>
      </c>
      <c r="EX404" s="436">
        <v>2.7584477058297616E-3</v>
      </c>
      <c r="EY404" s="436">
        <v>2.7694336563562072E-3</v>
      </c>
      <c r="EZ404" s="365">
        <v>2.7804196068826523E-3</v>
      </c>
      <c r="FA404" s="436">
        <v>2.7894248392353639E-3</v>
      </c>
      <c r="FB404" s="436">
        <v>2.7984300715880759E-3</v>
      </c>
      <c r="FC404" s="436">
        <v>2.8074353039407875E-3</v>
      </c>
      <c r="FD404" s="436">
        <v>2.8164405362934995E-3</v>
      </c>
      <c r="FE404" s="365">
        <v>2.8254457686462111E-3</v>
      </c>
      <c r="FF404" s="364">
        <v>0</v>
      </c>
      <c r="FG404" s="364">
        <v>0</v>
      </c>
      <c r="FH404" s="364">
        <v>0</v>
      </c>
      <c r="FI404" s="365">
        <v>0</v>
      </c>
      <c r="FJ404" s="365">
        <v>0</v>
      </c>
      <c r="FK404" s="365">
        <v>0</v>
      </c>
      <c r="FL404" s="365">
        <v>0</v>
      </c>
      <c r="FM404" s="365">
        <v>0</v>
      </c>
      <c r="FN404" s="365">
        <v>0</v>
      </c>
      <c r="FO404" s="365">
        <v>0</v>
      </c>
      <c r="FP404" s="365">
        <v>0</v>
      </c>
      <c r="FQ404" s="365">
        <v>0</v>
      </c>
      <c r="FR404" s="365">
        <v>0</v>
      </c>
      <c r="FS404" s="365">
        <v>0</v>
      </c>
      <c r="FT404" s="365">
        <v>0</v>
      </c>
      <c r="FU404" s="436">
        <v>0</v>
      </c>
      <c r="FV404" s="436">
        <v>0</v>
      </c>
      <c r="FW404" s="436">
        <v>0</v>
      </c>
      <c r="FX404" s="436">
        <v>0</v>
      </c>
      <c r="FY404" s="365">
        <v>0</v>
      </c>
      <c r="FZ404" s="436">
        <v>0</v>
      </c>
      <c r="GA404" s="436">
        <v>0</v>
      </c>
      <c r="GB404" s="436">
        <v>0</v>
      </c>
      <c r="GC404" s="436">
        <v>0</v>
      </c>
      <c r="GD404" s="365">
        <v>0</v>
      </c>
    </row>
    <row r="405" spans="1:186" ht="15" x14ac:dyDescent="0.25">
      <c r="A405" s="357">
        <v>116</v>
      </c>
      <c r="B405" s="357">
        <v>106</v>
      </c>
      <c r="C405" s="357" t="s">
        <v>1315</v>
      </c>
      <c r="D405" s="2">
        <v>99712</v>
      </c>
      <c r="E405" s="268" t="s">
        <v>19</v>
      </c>
      <c r="F405" s="358" t="s">
        <v>915</v>
      </c>
      <c r="G405" s="49">
        <v>33</v>
      </c>
      <c r="H405" s="49">
        <v>13</v>
      </c>
      <c r="I405" s="49">
        <v>12</v>
      </c>
      <c r="J405" s="49">
        <v>1</v>
      </c>
      <c r="K405" s="49">
        <v>0</v>
      </c>
      <c r="L405" s="49">
        <v>4</v>
      </c>
      <c r="M405" s="49">
        <v>4</v>
      </c>
      <c r="N405" s="49">
        <v>0</v>
      </c>
      <c r="O405" s="49">
        <v>0</v>
      </c>
      <c r="P405" s="49">
        <v>0</v>
      </c>
      <c r="Q405" s="49">
        <v>4</v>
      </c>
      <c r="R405" s="49">
        <v>0</v>
      </c>
      <c r="S405" s="49">
        <v>2319.5</v>
      </c>
      <c r="T405" s="49">
        <v>2319.5</v>
      </c>
      <c r="U405" s="49">
        <v>0</v>
      </c>
      <c r="V405" s="49">
        <v>0</v>
      </c>
      <c r="W405" s="49">
        <v>0</v>
      </c>
      <c r="X405" s="49">
        <v>2319.5</v>
      </c>
      <c r="Y405" s="434">
        <v>9278</v>
      </c>
      <c r="Z405" s="434">
        <v>0</v>
      </c>
      <c r="AA405" s="49">
        <v>0</v>
      </c>
      <c r="AB405" s="49">
        <v>13</v>
      </c>
      <c r="AC405" s="49">
        <v>0</v>
      </c>
      <c r="AD405" s="285">
        <v>0</v>
      </c>
      <c r="AE405" s="285">
        <v>0</v>
      </c>
      <c r="AF405" s="359">
        <v>13</v>
      </c>
      <c r="AG405" s="360">
        <v>0</v>
      </c>
      <c r="AH405" s="360">
        <v>12</v>
      </c>
      <c r="AI405" s="361">
        <v>12</v>
      </c>
      <c r="AJ405" s="360">
        <v>0</v>
      </c>
      <c r="AK405" s="360">
        <v>0</v>
      </c>
      <c r="AL405" s="360">
        <v>11.818485186894597</v>
      </c>
      <c r="AM405" s="360">
        <v>11.818485186894597</v>
      </c>
      <c r="AN405" s="360">
        <v>0</v>
      </c>
      <c r="AO405" s="360">
        <v>0</v>
      </c>
      <c r="AP405" s="360">
        <v>10.94944932465491</v>
      </c>
      <c r="AQ405" s="360">
        <v>10.94944932465491</v>
      </c>
      <c r="AR405" s="360">
        <v>0</v>
      </c>
      <c r="AS405" s="360">
        <v>0</v>
      </c>
      <c r="AT405" s="360">
        <v>0</v>
      </c>
      <c r="AU405" s="360">
        <v>10.74435323944977</v>
      </c>
      <c r="AV405" s="360">
        <v>11.268628115400743</v>
      </c>
      <c r="AW405" s="360">
        <v>11.818485186894597</v>
      </c>
      <c r="AX405" s="360">
        <v>12.395172747066891</v>
      </c>
      <c r="AY405" s="360">
        <v>13</v>
      </c>
      <c r="AZ405" s="360">
        <v>9.99087004276549</v>
      </c>
      <c r="BA405" s="360">
        <v>10.459183775155381</v>
      </c>
      <c r="BB405" s="360">
        <v>10.94944932465491</v>
      </c>
      <c r="BC405" s="360">
        <v>11.462695664452534</v>
      </c>
      <c r="BD405" s="360">
        <v>12</v>
      </c>
      <c r="BE405" s="360">
        <v>0</v>
      </c>
      <c r="BF405" s="360">
        <v>0</v>
      </c>
      <c r="BG405" s="360">
        <v>0</v>
      </c>
      <c r="BH405" s="360">
        <v>0</v>
      </c>
      <c r="BI405" s="360">
        <v>0</v>
      </c>
      <c r="BJ405" s="362">
        <v>13.164551065690336</v>
      </c>
      <c r="BK405" s="362">
        <v>13.331184981628351</v>
      </c>
      <c r="BL405" s="362">
        <v>13.499928112062348</v>
      </c>
      <c r="BM405" s="363">
        <v>13.411172007753944</v>
      </c>
      <c r="BN405" s="363">
        <v>13.322999435890052</v>
      </c>
      <c r="BO405" s="363">
        <v>13.280454786314257</v>
      </c>
      <c r="BP405" s="363">
        <v>13.238045995575373</v>
      </c>
      <c r="BQ405" s="363">
        <v>13.195772629832158</v>
      </c>
      <c r="BR405" s="363">
        <v>13.153634256628767</v>
      </c>
      <c r="BS405" s="363">
        <v>13.111630444890327</v>
      </c>
      <c r="BT405" s="363">
        <v>13.208616753509284</v>
      </c>
      <c r="BU405" s="363">
        <v>13.306320466733188</v>
      </c>
      <c r="BV405" s="363">
        <v>13.404746891180825</v>
      </c>
      <c r="BW405" s="363">
        <v>13.50390137272387</v>
      </c>
      <c r="BX405" s="363">
        <v>13.603789296777229</v>
      </c>
      <c r="BY405" s="435">
        <v>13.658623680384826</v>
      </c>
      <c r="BZ405" s="435">
        <v>13.713458063992423</v>
      </c>
      <c r="CA405" s="435">
        <v>13.768292447600018</v>
      </c>
      <c r="CB405" s="435">
        <v>13.823126831207615</v>
      </c>
      <c r="CC405" s="363">
        <v>13.877961214815212</v>
      </c>
      <c r="CD405" s="435">
        <v>13.922909202166464</v>
      </c>
      <c r="CE405" s="435">
        <v>13.967857189517716</v>
      </c>
      <c r="CF405" s="435">
        <v>14.012805176868966</v>
      </c>
      <c r="CG405" s="435">
        <v>14.057753164220218</v>
      </c>
      <c r="CH405" s="363">
        <v>14.10270115157147</v>
      </c>
      <c r="CI405" s="362">
        <v>12.151893291406465</v>
      </c>
      <c r="CJ405" s="362">
        <v>12.305709213810786</v>
      </c>
      <c r="CK405" s="362">
        <v>12.461472103442167</v>
      </c>
      <c r="CL405" s="363">
        <v>12.379543391772872</v>
      </c>
      <c r="CM405" s="363">
        <v>12.298153325436973</v>
      </c>
      <c r="CN405" s="363">
        <v>12.25888134121316</v>
      </c>
      <c r="CO405" s="363">
        <v>12.219734765146498</v>
      </c>
      <c r="CP405" s="363">
        <v>12.180713196768146</v>
      </c>
      <c r="CQ405" s="363">
        <v>12.141816236888094</v>
      </c>
      <c r="CR405" s="363">
        <v>12.103043487591073</v>
      </c>
      <c r="CS405" s="363">
        <v>12.192569310931647</v>
      </c>
      <c r="CT405" s="363">
        <v>12.282757353907559</v>
      </c>
      <c r="CU405" s="363">
        <v>12.373612514936147</v>
      </c>
      <c r="CV405" s="363">
        <v>12.465139728668188</v>
      </c>
      <c r="CW405" s="363">
        <v>12.557343966255905</v>
      </c>
      <c r="CX405" s="435">
        <v>12.607960320355225</v>
      </c>
      <c r="CY405" s="435">
        <v>12.658576674454544</v>
      </c>
      <c r="CZ405" s="435">
        <v>12.709193028553864</v>
      </c>
      <c r="DA405" s="435">
        <v>12.759809382653183</v>
      </c>
      <c r="DB405" s="363">
        <v>12.810425736752503</v>
      </c>
      <c r="DC405" s="435">
        <v>12.851916186615197</v>
      </c>
      <c r="DD405" s="435">
        <v>12.893406636477891</v>
      </c>
      <c r="DE405" s="435">
        <v>12.934897086340584</v>
      </c>
      <c r="DF405" s="435">
        <v>12.976387536203278</v>
      </c>
      <c r="DG405" s="363">
        <v>13.017877986065972</v>
      </c>
      <c r="DH405" s="362">
        <v>0</v>
      </c>
      <c r="DI405" s="362">
        <v>0</v>
      </c>
      <c r="DJ405" s="362">
        <v>0</v>
      </c>
      <c r="DK405" s="363">
        <v>0</v>
      </c>
      <c r="DL405" s="363">
        <v>0</v>
      </c>
      <c r="DM405" s="363">
        <v>0</v>
      </c>
      <c r="DN405" s="363">
        <v>0</v>
      </c>
      <c r="DO405" s="363">
        <v>0</v>
      </c>
      <c r="DP405" s="363">
        <v>0</v>
      </c>
      <c r="DQ405" s="363">
        <v>0</v>
      </c>
      <c r="DR405" s="363">
        <v>0</v>
      </c>
      <c r="DS405" s="363">
        <v>0</v>
      </c>
      <c r="DT405" s="363">
        <v>0</v>
      </c>
      <c r="DU405" s="363">
        <v>0</v>
      </c>
      <c r="DV405" s="363">
        <v>0</v>
      </c>
      <c r="DW405" s="435">
        <v>0</v>
      </c>
      <c r="DX405" s="435">
        <v>0</v>
      </c>
      <c r="DY405" s="435">
        <v>0</v>
      </c>
      <c r="DZ405" s="435">
        <v>0</v>
      </c>
      <c r="EA405" s="363">
        <v>0</v>
      </c>
      <c r="EB405" s="435">
        <v>0</v>
      </c>
      <c r="EC405" s="435">
        <v>0</v>
      </c>
      <c r="ED405" s="435">
        <v>0</v>
      </c>
      <c r="EE405" s="435">
        <v>0</v>
      </c>
      <c r="EF405" s="363">
        <v>0</v>
      </c>
      <c r="EG405" s="364">
        <v>0</v>
      </c>
      <c r="EH405" s="364">
        <v>0</v>
      </c>
      <c r="EI405" s="364">
        <v>0</v>
      </c>
      <c r="EJ405" s="365">
        <v>0</v>
      </c>
      <c r="EK405" s="365">
        <v>0</v>
      </c>
      <c r="EL405" s="365">
        <v>0</v>
      </c>
      <c r="EM405" s="365">
        <v>0</v>
      </c>
      <c r="EN405" s="365">
        <v>0</v>
      </c>
      <c r="EO405" s="365">
        <v>0</v>
      </c>
      <c r="EP405" s="365">
        <v>0</v>
      </c>
      <c r="EQ405" s="365">
        <v>0</v>
      </c>
      <c r="ER405" s="365">
        <v>0</v>
      </c>
      <c r="ES405" s="365">
        <v>0</v>
      </c>
      <c r="ET405" s="365">
        <v>0</v>
      </c>
      <c r="EU405" s="365">
        <v>0</v>
      </c>
      <c r="EV405" s="436">
        <v>0</v>
      </c>
      <c r="EW405" s="436">
        <v>0</v>
      </c>
      <c r="EX405" s="436">
        <v>0</v>
      </c>
      <c r="EY405" s="436">
        <v>0</v>
      </c>
      <c r="EZ405" s="365">
        <v>0</v>
      </c>
      <c r="FA405" s="436">
        <v>0</v>
      </c>
      <c r="FB405" s="436">
        <v>0</v>
      </c>
      <c r="FC405" s="436">
        <v>0</v>
      </c>
      <c r="FD405" s="436">
        <v>0</v>
      </c>
      <c r="FE405" s="365">
        <v>0</v>
      </c>
      <c r="FF405" s="364">
        <v>0</v>
      </c>
      <c r="FG405" s="364">
        <v>0</v>
      </c>
      <c r="FH405" s="364">
        <v>0</v>
      </c>
      <c r="FI405" s="365">
        <v>0</v>
      </c>
      <c r="FJ405" s="365">
        <v>0</v>
      </c>
      <c r="FK405" s="365">
        <v>0</v>
      </c>
      <c r="FL405" s="365">
        <v>0</v>
      </c>
      <c r="FM405" s="365">
        <v>0</v>
      </c>
      <c r="FN405" s="365">
        <v>0</v>
      </c>
      <c r="FO405" s="365">
        <v>0</v>
      </c>
      <c r="FP405" s="365">
        <v>0</v>
      </c>
      <c r="FQ405" s="365">
        <v>0</v>
      </c>
      <c r="FR405" s="365">
        <v>0</v>
      </c>
      <c r="FS405" s="365">
        <v>0</v>
      </c>
      <c r="FT405" s="365">
        <v>0</v>
      </c>
      <c r="FU405" s="436">
        <v>0</v>
      </c>
      <c r="FV405" s="436">
        <v>0</v>
      </c>
      <c r="FW405" s="436">
        <v>0</v>
      </c>
      <c r="FX405" s="436">
        <v>0</v>
      </c>
      <c r="FY405" s="365">
        <v>0</v>
      </c>
      <c r="FZ405" s="436">
        <v>0</v>
      </c>
      <c r="GA405" s="436">
        <v>0</v>
      </c>
      <c r="GB405" s="436">
        <v>0</v>
      </c>
      <c r="GC405" s="436">
        <v>0</v>
      </c>
      <c r="GD405" s="365">
        <v>0</v>
      </c>
    </row>
    <row r="406" spans="1:186" ht="15" x14ac:dyDescent="0.25">
      <c r="A406" s="357">
        <v>116</v>
      </c>
      <c r="B406" s="357">
        <v>107</v>
      </c>
      <c r="C406" s="357" t="s">
        <v>1316</v>
      </c>
      <c r="D406" s="2">
        <v>99712</v>
      </c>
      <c r="E406" s="268" t="s">
        <v>19</v>
      </c>
      <c r="F406" s="358" t="s">
        <v>915</v>
      </c>
      <c r="G406" s="49">
        <v>7</v>
      </c>
      <c r="H406" s="49">
        <v>5</v>
      </c>
      <c r="I406" s="49">
        <v>5</v>
      </c>
      <c r="J406" s="49">
        <v>0</v>
      </c>
      <c r="K406" s="49">
        <v>0</v>
      </c>
      <c r="L406" s="49">
        <v>1</v>
      </c>
      <c r="M406" s="49">
        <v>1</v>
      </c>
      <c r="N406" s="49">
        <v>0</v>
      </c>
      <c r="O406" s="49">
        <v>0</v>
      </c>
      <c r="P406" s="49">
        <v>0</v>
      </c>
      <c r="Q406" s="49">
        <v>1</v>
      </c>
      <c r="R406" s="49">
        <v>0</v>
      </c>
      <c r="S406" s="49">
        <v>1540</v>
      </c>
      <c r="T406" s="49">
        <v>1540</v>
      </c>
      <c r="U406" s="49">
        <v>0</v>
      </c>
      <c r="V406" s="49">
        <v>0</v>
      </c>
      <c r="W406" s="49">
        <v>0</v>
      </c>
      <c r="X406" s="49">
        <v>1540</v>
      </c>
      <c r="Y406" s="434">
        <v>1540</v>
      </c>
      <c r="Z406" s="434">
        <v>0</v>
      </c>
      <c r="AA406" s="49">
        <v>0</v>
      </c>
      <c r="AB406" s="49">
        <v>5</v>
      </c>
      <c r="AC406" s="49">
        <v>0</v>
      </c>
      <c r="AD406" s="285">
        <v>0</v>
      </c>
      <c r="AE406" s="285">
        <v>0</v>
      </c>
      <c r="AF406" s="359">
        <v>5</v>
      </c>
      <c r="AG406" s="360">
        <v>0</v>
      </c>
      <c r="AH406" s="360">
        <v>5</v>
      </c>
      <c r="AI406" s="361">
        <v>5</v>
      </c>
      <c r="AJ406" s="360">
        <v>0</v>
      </c>
      <c r="AK406" s="360">
        <v>0</v>
      </c>
      <c r="AL406" s="360">
        <v>4.5455712257286907</v>
      </c>
      <c r="AM406" s="360">
        <v>4.5455712257286907</v>
      </c>
      <c r="AN406" s="360">
        <v>0</v>
      </c>
      <c r="AO406" s="360">
        <v>0</v>
      </c>
      <c r="AP406" s="360">
        <v>4.5622705519395463</v>
      </c>
      <c r="AQ406" s="360">
        <v>4.5622705519395463</v>
      </c>
      <c r="AR406" s="360">
        <v>0</v>
      </c>
      <c r="AS406" s="360">
        <v>0</v>
      </c>
      <c r="AT406" s="360">
        <v>0</v>
      </c>
      <c r="AU406" s="360">
        <v>4.132443553634527</v>
      </c>
      <c r="AV406" s="360">
        <v>4.3340877366925934</v>
      </c>
      <c r="AW406" s="360">
        <v>4.5455712257286907</v>
      </c>
      <c r="AX406" s="360">
        <v>4.7673741334872659</v>
      </c>
      <c r="AY406" s="360">
        <v>5</v>
      </c>
      <c r="AZ406" s="360">
        <v>4.1628625178189544</v>
      </c>
      <c r="BA406" s="360">
        <v>4.3579932396480761</v>
      </c>
      <c r="BB406" s="360">
        <v>4.5622705519395463</v>
      </c>
      <c r="BC406" s="360">
        <v>4.7761231935218893</v>
      </c>
      <c r="BD406" s="360">
        <v>5</v>
      </c>
      <c r="BE406" s="360">
        <v>0</v>
      </c>
      <c r="BF406" s="360">
        <v>0</v>
      </c>
      <c r="BG406" s="360">
        <v>0</v>
      </c>
      <c r="BH406" s="360">
        <v>0</v>
      </c>
      <c r="BI406" s="360">
        <v>0</v>
      </c>
      <c r="BJ406" s="362">
        <v>5.0670330273528794</v>
      </c>
      <c r="BK406" s="362">
        <v>5.1349647400569776</v>
      </c>
      <c r="BL406" s="362">
        <v>5.2038071864322397</v>
      </c>
      <c r="BM406" s="363">
        <v>5.1695944373267748</v>
      </c>
      <c r="BN406" s="363">
        <v>5.1356066220359988</v>
      </c>
      <c r="BO406" s="363">
        <v>5.1192069678031036</v>
      </c>
      <c r="BP406" s="363">
        <v>5.1028596829743993</v>
      </c>
      <c r="BQ406" s="363">
        <v>5.0865646003174287</v>
      </c>
      <c r="BR406" s="363">
        <v>5.07032155313376</v>
      </c>
      <c r="BS406" s="363">
        <v>5.0541303752572837</v>
      </c>
      <c r="BT406" s="363">
        <v>5.0915156150591105</v>
      </c>
      <c r="BU406" s="363">
        <v>5.1291773922771222</v>
      </c>
      <c r="BV406" s="363">
        <v>5.1671177524496912</v>
      </c>
      <c r="BW406" s="363">
        <v>5.2053387562459728</v>
      </c>
      <c r="BX406" s="363">
        <v>5.2438424795778191</v>
      </c>
      <c r="BY406" s="435">
        <v>5.2649794483907</v>
      </c>
      <c r="BZ406" s="435">
        <v>5.2861164172035808</v>
      </c>
      <c r="CA406" s="435">
        <v>5.3072533860164608</v>
      </c>
      <c r="CB406" s="435">
        <v>5.3283903548293416</v>
      </c>
      <c r="CC406" s="363">
        <v>5.3495273236422225</v>
      </c>
      <c r="CD406" s="435">
        <v>5.3668533906888403</v>
      </c>
      <c r="CE406" s="435">
        <v>5.384179457735458</v>
      </c>
      <c r="CF406" s="435">
        <v>5.4015055247820749</v>
      </c>
      <c r="CG406" s="435">
        <v>5.4188315918286927</v>
      </c>
      <c r="CH406" s="363">
        <v>5.4361576588753104</v>
      </c>
      <c r="CI406" s="362">
        <v>5.0670330273528794</v>
      </c>
      <c r="CJ406" s="362">
        <v>5.1349647400569776</v>
      </c>
      <c r="CK406" s="362">
        <v>5.2038071864322397</v>
      </c>
      <c r="CL406" s="363">
        <v>5.1695944373267748</v>
      </c>
      <c r="CM406" s="363">
        <v>5.1356066220359988</v>
      </c>
      <c r="CN406" s="363">
        <v>5.1192069678031036</v>
      </c>
      <c r="CO406" s="363">
        <v>5.1028596829743993</v>
      </c>
      <c r="CP406" s="363">
        <v>5.0865646003174287</v>
      </c>
      <c r="CQ406" s="363">
        <v>5.07032155313376</v>
      </c>
      <c r="CR406" s="363">
        <v>5.0541303752572837</v>
      </c>
      <c r="CS406" s="363">
        <v>5.0915156150591105</v>
      </c>
      <c r="CT406" s="363">
        <v>5.1291773922771222</v>
      </c>
      <c r="CU406" s="363">
        <v>5.1671177524496912</v>
      </c>
      <c r="CV406" s="363">
        <v>5.2053387562459728</v>
      </c>
      <c r="CW406" s="363">
        <v>5.2438424795778191</v>
      </c>
      <c r="CX406" s="435">
        <v>5.2649794483907</v>
      </c>
      <c r="CY406" s="435">
        <v>5.2861164172035808</v>
      </c>
      <c r="CZ406" s="435">
        <v>5.3072533860164608</v>
      </c>
      <c r="DA406" s="435">
        <v>5.3283903548293416</v>
      </c>
      <c r="DB406" s="363">
        <v>5.3495273236422225</v>
      </c>
      <c r="DC406" s="435">
        <v>5.3668533906888403</v>
      </c>
      <c r="DD406" s="435">
        <v>5.384179457735458</v>
      </c>
      <c r="DE406" s="435">
        <v>5.4015055247820749</v>
      </c>
      <c r="DF406" s="435">
        <v>5.4188315918286927</v>
      </c>
      <c r="DG406" s="363">
        <v>5.4361576588753104</v>
      </c>
      <c r="DH406" s="362">
        <v>0</v>
      </c>
      <c r="DI406" s="362">
        <v>0</v>
      </c>
      <c r="DJ406" s="362">
        <v>0</v>
      </c>
      <c r="DK406" s="363">
        <v>0</v>
      </c>
      <c r="DL406" s="363">
        <v>0</v>
      </c>
      <c r="DM406" s="363">
        <v>0</v>
      </c>
      <c r="DN406" s="363">
        <v>0</v>
      </c>
      <c r="DO406" s="363">
        <v>0</v>
      </c>
      <c r="DP406" s="363">
        <v>0</v>
      </c>
      <c r="DQ406" s="363">
        <v>0</v>
      </c>
      <c r="DR406" s="363">
        <v>0</v>
      </c>
      <c r="DS406" s="363">
        <v>0</v>
      </c>
      <c r="DT406" s="363">
        <v>0</v>
      </c>
      <c r="DU406" s="363">
        <v>0</v>
      </c>
      <c r="DV406" s="363">
        <v>0</v>
      </c>
      <c r="DW406" s="435">
        <v>0</v>
      </c>
      <c r="DX406" s="435">
        <v>0</v>
      </c>
      <c r="DY406" s="435">
        <v>0</v>
      </c>
      <c r="DZ406" s="435">
        <v>0</v>
      </c>
      <c r="EA406" s="363">
        <v>0</v>
      </c>
      <c r="EB406" s="435">
        <v>0</v>
      </c>
      <c r="EC406" s="435">
        <v>0</v>
      </c>
      <c r="ED406" s="435">
        <v>0</v>
      </c>
      <c r="EE406" s="435">
        <v>0</v>
      </c>
      <c r="EF406" s="363">
        <v>0</v>
      </c>
      <c r="EG406" s="364">
        <v>0</v>
      </c>
      <c r="EH406" s="364">
        <v>0</v>
      </c>
      <c r="EI406" s="364">
        <v>0</v>
      </c>
      <c r="EJ406" s="365">
        <v>0</v>
      </c>
      <c r="EK406" s="365">
        <v>0</v>
      </c>
      <c r="EL406" s="365">
        <v>0</v>
      </c>
      <c r="EM406" s="365">
        <v>0</v>
      </c>
      <c r="EN406" s="365">
        <v>0</v>
      </c>
      <c r="EO406" s="365">
        <v>0</v>
      </c>
      <c r="EP406" s="365">
        <v>0</v>
      </c>
      <c r="EQ406" s="365">
        <v>0</v>
      </c>
      <c r="ER406" s="365">
        <v>0</v>
      </c>
      <c r="ES406" s="365">
        <v>0</v>
      </c>
      <c r="ET406" s="365">
        <v>0</v>
      </c>
      <c r="EU406" s="365">
        <v>0</v>
      </c>
      <c r="EV406" s="436">
        <v>0</v>
      </c>
      <c r="EW406" s="436">
        <v>0</v>
      </c>
      <c r="EX406" s="436">
        <v>0</v>
      </c>
      <c r="EY406" s="436">
        <v>0</v>
      </c>
      <c r="EZ406" s="365">
        <v>0</v>
      </c>
      <c r="FA406" s="436">
        <v>0</v>
      </c>
      <c r="FB406" s="436">
        <v>0</v>
      </c>
      <c r="FC406" s="436">
        <v>0</v>
      </c>
      <c r="FD406" s="436">
        <v>0</v>
      </c>
      <c r="FE406" s="365">
        <v>0</v>
      </c>
      <c r="FF406" s="364">
        <v>0</v>
      </c>
      <c r="FG406" s="364">
        <v>0</v>
      </c>
      <c r="FH406" s="364">
        <v>0</v>
      </c>
      <c r="FI406" s="365">
        <v>0</v>
      </c>
      <c r="FJ406" s="365">
        <v>0</v>
      </c>
      <c r="FK406" s="365">
        <v>0</v>
      </c>
      <c r="FL406" s="365">
        <v>0</v>
      </c>
      <c r="FM406" s="365">
        <v>0</v>
      </c>
      <c r="FN406" s="365">
        <v>0</v>
      </c>
      <c r="FO406" s="365">
        <v>0</v>
      </c>
      <c r="FP406" s="365">
        <v>0</v>
      </c>
      <c r="FQ406" s="365">
        <v>0</v>
      </c>
      <c r="FR406" s="365">
        <v>0</v>
      </c>
      <c r="FS406" s="365">
        <v>0</v>
      </c>
      <c r="FT406" s="365">
        <v>0</v>
      </c>
      <c r="FU406" s="436">
        <v>0</v>
      </c>
      <c r="FV406" s="436">
        <v>0</v>
      </c>
      <c r="FW406" s="436">
        <v>0</v>
      </c>
      <c r="FX406" s="436">
        <v>0</v>
      </c>
      <c r="FY406" s="365">
        <v>0</v>
      </c>
      <c r="FZ406" s="436">
        <v>0</v>
      </c>
      <c r="GA406" s="436">
        <v>0</v>
      </c>
      <c r="GB406" s="436">
        <v>0</v>
      </c>
      <c r="GC406" s="436">
        <v>0</v>
      </c>
      <c r="GD406" s="365">
        <v>0</v>
      </c>
    </row>
    <row r="407" spans="1:186" ht="15" x14ac:dyDescent="0.25">
      <c r="A407" s="357">
        <v>111</v>
      </c>
      <c r="B407" s="357">
        <v>108</v>
      </c>
      <c r="C407" s="357" t="s">
        <v>1317</v>
      </c>
      <c r="D407" s="2">
        <v>99712</v>
      </c>
      <c r="E407" s="268" t="s">
        <v>19</v>
      </c>
      <c r="F407" s="358" t="s">
        <v>915</v>
      </c>
      <c r="G407" s="49">
        <v>7</v>
      </c>
      <c r="H407" s="49">
        <v>9</v>
      </c>
      <c r="I407" s="49">
        <v>4</v>
      </c>
      <c r="J407" s="49">
        <v>5</v>
      </c>
      <c r="K407" s="49">
        <v>0</v>
      </c>
      <c r="L407" s="49">
        <v>0</v>
      </c>
      <c r="M407" s="49">
        <v>0</v>
      </c>
      <c r="N407" s="49">
        <v>0</v>
      </c>
      <c r="O407" s="49">
        <v>0</v>
      </c>
      <c r="P407" s="49">
        <v>0</v>
      </c>
      <c r="Q407" s="49">
        <v>0</v>
      </c>
      <c r="R407" s="49">
        <v>0</v>
      </c>
      <c r="S407" s="49">
        <v>834.49503068156923</v>
      </c>
      <c r="T407" s="49">
        <v>834.49503068156923</v>
      </c>
      <c r="U407" s="49">
        <v>1408.3846153846155</v>
      </c>
      <c r="V407" s="49">
        <v>0</v>
      </c>
      <c r="W407" s="49">
        <v>0</v>
      </c>
      <c r="X407" s="49">
        <v>1365.173957061457</v>
      </c>
      <c r="Y407" s="434">
        <v>0</v>
      </c>
      <c r="Z407" s="434">
        <v>0</v>
      </c>
      <c r="AA407" s="49">
        <v>0.20621101871101871</v>
      </c>
      <c r="AB407" s="49">
        <v>8.7820945945945947</v>
      </c>
      <c r="AC407" s="49">
        <v>1.1694386694386695E-2</v>
      </c>
      <c r="AD407" s="285">
        <v>0</v>
      </c>
      <c r="AE407" s="285">
        <v>0</v>
      </c>
      <c r="AF407" s="359">
        <v>9</v>
      </c>
      <c r="AG407" s="360">
        <v>9.1649341649341645E-2</v>
      </c>
      <c r="AH407" s="360">
        <v>3.9031531531531534</v>
      </c>
      <c r="AI407" s="361">
        <v>3.9948024948024949</v>
      </c>
      <c r="AJ407" s="360">
        <v>5.1975051975051978E-3</v>
      </c>
      <c r="AK407" s="360">
        <v>0.18746937461620147</v>
      </c>
      <c r="AL407" s="360">
        <v>7.9839272981633327</v>
      </c>
      <c r="AM407" s="360">
        <v>8.1713966727795349</v>
      </c>
      <c r="AN407" s="360">
        <v>1.0631533532109725E-2</v>
      </c>
      <c r="AO407" s="360">
        <v>8.3625818502287591E-2</v>
      </c>
      <c r="AP407" s="360">
        <v>3.5614481380681235</v>
      </c>
      <c r="AQ407" s="360">
        <v>3.6450739565704113</v>
      </c>
      <c r="AR407" s="360">
        <v>4.7424849812261402E-3</v>
      </c>
      <c r="AS407" s="360">
        <v>0</v>
      </c>
      <c r="AT407" s="360">
        <v>0</v>
      </c>
      <c r="AU407" s="360">
        <v>7.4287331179603626</v>
      </c>
      <c r="AV407" s="360">
        <v>7.791221026454612</v>
      </c>
      <c r="AW407" s="360">
        <v>8.1713966727795331</v>
      </c>
      <c r="AX407" s="360">
        <v>8.5701231369503148</v>
      </c>
      <c r="AY407" s="360">
        <v>8.988305613305613</v>
      </c>
      <c r="AZ407" s="360">
        <v>3.3259627143405908</v>
      </c>
      <c r="BA407" s="360">
        <v>3.4818644532157079</v>
      </c>
      <c r="BB407" s="360">
        <v>3.6450739565704109</v>
      </c>
      <c r="BC407" s="360">
        <v>3.8159337697930606</v>
      </c>
      <c r="BD407" s="360">
        <v>3.9948024948024949</v>
      </c>
      <c r="BE407" s="360">
        <v>0</v>
      </c>
      <c r="BF407" s="360">
        <v>0</v>
      </c>
      <c r="BG407" s="360">
        <v>0</v>
      </c>
      <c r="BH407" s="360">
        <v>0</v>
      </c>
      <c r="BI407" s="360">
        <v>0</v>
      </c>
      <c r="BJ407" s="362">
        <v>9.1088082805121644</v>
      </c>
      <c r="BK407" s="362">
        <v>9.2309264794361052</v>
      </c>
      <c r="BL407" s="362">
        <v>9.3546818688737989</v>
      </c>
      <c r="BM407" s="363">
        <v>9.2931789399075448</v>
      </c>
      <c r="BN407" s="363">
        <v>9.2320803657151309</v>
      </c>
      <c r="BO407" s="363">
        <v>9.2025993448755692</v>
      </c>
      <c r="BP407" s="363">
        <v>9.1732124664779402</v>
      </c>
      <c r="BQ407" s="363">
        <v>9.1439194298949538</v>
      </c>
      <c r="BR407" s="363">
        <v>9.1147199354593234</v>
      </c>
      <c r="BS407" s="363">
        <v>9.0856136844606912</v>
      </c>
      <c r="BT407" s="363">
        <v>9.152819676613797</v>
      </c>
      <c r="BU407" s="363">
        <v>9.2205227893289408</v>
      </c>
      <c r="BV407" s="363">
        <v>9.2887266997909297</v>
      </c>
      <c r="BW407" s="363">
        <v>9.3574351123845876</v>
      </c>
      <c r="BX407" s="363">
        <v>9.4266517588959484</v>
      </c>
      <c r="BY407" s="435">
        <v>9.4646488659817649</v>
      </c>
      <c r="BZ407" s="435">
        <v>9.5026459730675814</v>
      </c>
      <c r="CA407" s="435">
        <v>9.5406430801533961</v>
      </c>
      <c r="CB407" s="435">
        <v>9.5786401872392126</v>
      </c>
      <c r="CC407" s="363">
        <v>9.6166372943250291</v>
      </c>
      <c r="CD407" s="435">
        <v>9.6477836914633528</v>
      </c>
      <c r="CE407" s="435">
        <v>9.6789300886016782</v>
      </c>
      <c r="CF407" s="435">
        <v>9.7100764857400019</v>
      </c>
      <c r="CG407" s="435">
        <v>9.7412228828783274</v>
      </c>
      <c r="CH407" s="363">
        <v>9.7723692800166511</v>
      </c>
      <c r="CI407" s="362">
        <v>4.0483592357831846</v>
      </c>
      <c r="CJ407" s="362">
        <v>4.1026339908604914</v>
      </c>
      <c r="CK407" s="362">
        <v>4.157636386166133</v>
      </c>
      <c r="CL407" s="363">
        <v>4.1303017510700206</v>
      </c>
      <c r="CM407" s="363">
        <v>4.1031468292067244</v>
      </c>
      <c r="CN407" s="363">
        <v>4.0900441532780309</v>
      </c>
      <c r="CO407" s="363">
        <v>4.0769833184346407</v>
      </c>
      <c r="CP407" s="363">
        <v>4.0639641910644242</v>
      </c>
      <c r="CQ407" s="363">
        <v>4.0509866379819215</v>
      </c>
      <c r="CR407" s="363">
        <v>4.0380505264269742</v>
      </c>
      <c r="CS407" s="363">
        <v>4.0679198562727992</v>
      </c>
      <c r="CT407" s="363">
        <v>4.0980101285906407</v>
      </c>
      <c r="CU407" s="363">
        <v>4.1283229776848573</v>
      </c>
      <c r="CV407" s="363">
        <v>4.1588600499487063</v>
      </c>
      <c r="CW407" s="363">
        <v>4.1896230039537548</v>
      </c>
      <c r="CX407" s="435">
        <v>4.2065106071030067</v>
      </c>
      <c r="CY407" s="435">
        <v>4.2233982102522587</v>
      </c>
      <c r="CZ407" s="435">
        <v>4.2402858134015098</v>
      </c>
      <c r="DA407" s="435">
        <v>4.2571734165507618</v>
      </c>
      <c r="DB407" s="363">
        <v>4.2740610197000137</v>
      </c>
      <c r="DC407" s="435">
        <v>4.2879038628726018</v>
      </c>
      <c r="DD407" s="435">
        <v>4.3017467060451908</v>
      </c>
      <c r="DE407" s="435">
        <v>4.3155895492177789</v>
      </c>
      <c r="DF407" s="435">
        <v>4.3294323923903679</v>
      </c>
      <c r="DG407" s="363">
        <v>4.343275235562956</v>
      </c>
      <c r="DH407" s="362">
        <v>0</v>
      </c>
      <c r="DI407" s="362">
        <v>0</v>
      </c>
      <c r="DJ407" s="362">
        <v>0</v>
      </c>
      <c r="DK407" s="363">
        <v>0</v>
      </c>
      <c r="DL407" s="363">
        <v>0</v>
      </c>
      <c r="DM407" s="363">
        <v>0</v>
      </c>
      <c r="DN407" s="363">
        <v>0</v>
      </c>
      <c r="DO407" s="363">
        <v>0</v>
      </c>
      <c r="DP407" s="363">
        <v>0</v>
      </c>
      <c r="DQ407" s="363">
        <v>0</v>
      </c>
      <c r="DR407" s="363">
        <v>0</v>
      </c>
      <c r="DS407" s="363">
        <v>0</v>
      </c>
      <c r="DT407" s="363">
        <v>0</v>
      </c>
      <c r="DU407" s="363">
        <v>0</v>
      </c>
      <c r="DV407" s="363">
        <v>0</v>
      </c>
      <c r="DW407" s="435">
        <v>0</v>
      </c>
      <c r="DX407" s="435">
        <v>0</v>
      </c>
      <c r="DY407" s="435">
        <v>0</v>
      </c>
      <c r="DZ407" s="435">
        <v>0</v>
      </c>
      <c r="EA407" s="363">
        <v>0</v>
      </c>
      <c r="EB407" s="435">
        <v>0</v>
      </c>
      <c r="EC407" s="435">
        <v>0</v>
      </c>
      <c r="ED407" s="435">
        <v>0</v>
      </c>
      <c r="EE407" s="435">
        <v>0</v>
      </c>
      <c r="EF407" s="363">
        <v>0</v>
      </c>
      <c r="EG407" s="364">
        <v>1.1851168723018691E-2</v>
      </c>
      <c r="EH407" s="364">
        <v>1.2010052666453431E-2</v>
      </c>
      <c r="EI407" s="364">
        <v>1.2171066704233411E-2</v>
      </c>
      <c r="EJ407" s="365">
        <v>1.2091047280649943E-2</v>
      </c>
      <c r="EK407" s="365">
        <v>1.2011553949668399E-2</v>
      </c>
      <c r="EL407" s="365">
        <v>1.1973197170017654E-2</v>
      </c>
      <c r="EM407" s="365">
        <v>1.1934962875979626E-2</v>
      </c>
      <c r="EN407" s="365">
        <v>1.1896850676418104E-2</v>
      </c>
      <c r="EO407" s="365">
        <v>1.1858860181445906E-2</v>
      </c>
      <c r="EP407" s="365">
        <v>1.1820991002420884E-2</v>
      </c>
      <c r="EQ407" s="365">
        <v>1.190843049260187E-2</v>
      </c>
      <c r="ER407" s="365">
        <v>1.1996516769878925E-2</v>
      </c>
      <c r="ES407" s="365">
        <v>1.2085254618515392E-2</v>
      </c>
      <c r="ET407" s="365">
        <v>1.217464885816366E-2</v>
      </c>
      <c r="EU407" s="365">
        <v>1.2264704344126917E-2</v>
      </c>
      <c r="EV407" s="436">
        <v>1.2314141121495922E-2</v>
      </c>
      <c r="EW407" s="436">
        <v>1.2363577898864926E-2</v>
      </c>
      <c r="EX407" s="436">
        <v>1.2413014676233928E-2</v>
      </c>
      <c r="EY407" s="436">
        <v>1.2462451453602932E-2</v>
      </c>
      <c r="EZ407" s="365">
        <v>1.2511888230971937E-2</v>
      </c>
      <c r="FA407" s="436">
        <v>1.2552411776559139E-2</v>
      </c>
      <c r="FB407" s="436">
        <v>1.2592935322146342E-2</v>
      </c>
      <c r="FC407" s="436">
        <v>1.2633458867733547E-2</v>
      </c>
      <c r="FD407" s="436">
        <v>1.2673982413320749E-2</v>
      </c>
      <c r="FE407" s="365">
        <v>1.2714505958907952E-2</v>
      </c>
      <c r="FF407" s="364">
        <v>0</v>
      </c>
      <c r="FG407" s="364">
        <v>0</v>
      </c>
      <c r="FH407" s="364">
        <v>0</v>
      </c>
      <c r="FI407" s="365">
        <v>0</v>
      </c>
      <c r="FJ407" s="365">
        <v>0</v>
      </c>
      <c r="FK407" s="365">
        <v>0</v>
      </c>
      <c r="FL407" s="365">
        <v>0</v>
      </c>
      <c r="FM407" s="365">
        <v>0</v>
      </c>
      <c r="FN407" s="365">
        <v>0</v>
      </c>
      <c r="FO407" s="365">
        <v>0</v>
      </c>
      <c r="FP407" s="365">
        <v>0</v>
      </c>
      <c r="FQ407" s="365">
        <v>0</v>
      </c>
      <c r="FR407" s="365">
        <v>0</v>
      </c>
      <c r="FS407" s="365">
        <v>0</v>
      </c>
      <c r="FT407" s="365">
        <v>0</v>
      </c>
      <c r="FU407" s="436">
        <v>0</v>
      </c>
      <c r="FV407" s="436">
        <v>0</v>
      </c>
      <c r="FW407" s="436">
        <v>0</v>
      </c>
      <c r="FX407" s="436">
        <v>0</v>
      </c>
      <c r="FY407" s="365">
        <v>0</v>
      </c>
      <c r="FZ407" s="436">
        <v>0</v>
      </c>
      <c r="GA407" s="436">
        <v>0</v>
      </c>
      <c r="GB407" s="436">
        <v>0</v>
      </c>
      <c r="GC407" s="436">
        <v>0</v>
      </c>
      <c r="GD407" s="365">
        <v>0</v>
      </c>
    </row>
    <row r="408" spans="1:186" ht="15" x14ac:dyDescent="0.25">
      <c r="A408" s="357">
        <v>117</v>
      </c>
      <c r="B408" s="357">
        <v>108</v>
      </c>
      <c r="C408" s="357" t="s">
        <v>1318</v>
      </c>
      <c r="D408" s="2">
        <v>99712</v>
      </c>
      <c r="E408" s="268" t="s">
        <v>19</v>
      </c>
      <c r="F408" s="358" t="s">
        <v>915</v>
      </c>
      <c r="G408" s="49">
        <v>18</v>
      </c>
      <c r="H408" s="49">
        <v>8</v>
      </c>
      <c r="I408" s="49">
        <v>6</v>
      </c>
      <c r="J408" s="49">
        <v>2</v>
      </c>
      <c r="K408" s="49">
        <v>0</v>
      </c>
      <c r="L408" s="49">
        <v>6</v>
      </c>
      <c r="M408" s="49">
        <v>6</v>
      </c>
      <c r="N408" s="49">
        <v>0</v>
      </c>
      <c r="O408" s="49">
        <v>0</v>
      </c>
      <c r="P408" s="49">
        <v>0</v>
      </c>
      <c r="Q408" s="49">
        <v>6</v>
      </c>
      <c r="R408" s="49">
        <v>0</v>
      </c>
      <c r="S408" s="49">
        <v>1739.8333333333333</v>
      </c>
      <c r="T408" s="49">
        <v>1739.8333333333333</v>
      </c>
      <c r="U408" s="49">
        <v>0</v>
      </c>
      <c r="V408" s="49">
        <v>0</v>
      </c>
      <c r="W408" s="49">
        <v>0</v>
      </c>
      <c r="X408" s="49">
        <v>1739.8333333333333</v>
      </c>
      <c r="Y408" s="434">
        <v>10439</v>
      </c>
      <c r="Z408" s="434">
        <v>0</v>
      </c>
      <c r="AA408" s="49">
        <v>0</v>
      </c>
      <c r="AB408" s="49">
        <v>8</v>
      </c>
      <c r="AC408" s="49">
        <v>0</v>
      </c>
      <c r="AD408" s="285">
        <v>0</v>
      </c>
      <c r="AE408" s="285">
        <v>0</v>
      </c>
      <c r="AF408" s="359">
        <v>8</v>
      </c>
      <c r="AG408" s="360">
        <v>0</v>
      </c>
      <c r="AH408" s="360">
        <v>6</v>
      </c>
      <c r="AI408" s="361">
        <v>6</v>
      </c>
      <c r="AJ408" s="360">
        <v>0</v>
      </c>
      <c r="AK408" s="360">
        <v>0</v>
      </c>
      <c r="AL408" s="360">
        <v>7.2729139611659059</v>
      </c>
      <c r="AM408" s="360">
        <v>7.2729139611659059</v>
      </c>
      <c r="AN408" s="360">
        <v>0</v>
      </c>
      <c r="AO408" s="360">
        <v>0</v>
      </c>
      <c r="AP408" s="360">
        <v>5.4747246623274552</v>
      </c>
      <c r="AQ408" s="360">
        <v>5.4747246623274552</v>
      </c>
      <c r="AR408" s="360">
        <v>0</v>
      </c>
      <c r="AS408" s="360">
        <v>0</v>
      </c>
      <c r="AT408" s="360">
        <v>0</v>
      </c>
      <c r="AU408" s="360">
        <v>6.6119096858152435</v>
      </c>
      <c r="AV408" s="360">
        <v>6.9345403787081503</v>
      </c>
      <c r="AW408" s="360">
        <v>7.2729139611659059</v>
      </c>
      <c r="AX408" s="360">
        <v>7.6277986135796247</v>
      </c>
      <c r="AY408" s="360">
        <v>8</v>
      </c>
      <c r="AZ408" s="360">
        <v>4.995435021382745</v>
      </c>
      <c r="BA408" s="360">
        <v>5.2295918875776906</v>
      </c>
      <c r="BB408" s="360">
        <v>5.4747246623274552</v>
      </c>
      <c r="BC408" s="360">
        <v>5.731347832226267</v>
      </c>
      <c r="BD408" s="360">
        <v>6</v>
      </c>
      <c r="BE408" s="360">
        <v>0</v>
      </c>
      <c r="BF408" s="360">
        <v>0</v>
      </c>
      <c r="BG408" s="360">
        <v>0</v>
      </c>
      <c r="BH408" s="360">
        <v>0</v>
      </c>
      <c r="BI408" s="360">
        <v>0</v>
      </c>
      <c r="BJ408" s="362">
        <v>8.1072528437646074</v>
      </c>
      <c r="BK408" s="362">
        <v>8.2159435840911641</v>
      </c>
      <c r="BL408" s="362">
        <v>8.3260914982915839</v>
      </c>
      <c r="BM408" s="363">
        <v>8.271351099722839</v>
      </c>
      <c r="BN408" s="363">
        <v>8.2169705952575978</v>
      </c>
      <c r="BO408" s="363">
        <v>8.1907311484849661</v>
      </c>
      <c r="BP408" s="363">
        <v>8.1645754927590399</v>
      </c>
      <c r="BQ408" s="363">
        <v>8.1385033605078867</v>
      </c>
      <c r="BR408" s="363">
        <v>8.1125144850140156</v>
      </c>
      <c r="BS408" s="363">
        <v>8.0866086004116546</v>
      </c>
      <c r="BT408" s="363">
        <v>8.1464249840945762</v>
      </c>
      <c r="BU408" s="363">
        <v>8.2066838276433955</v>
      </c>
      <c r="BV408" s="363">
        <v>8.2673884039195062</v>
      </c>
      <c r="BW408" s="363">
        <v>8.3285420099935568</v>
      </c>
      <c r="BX408" s="363">
        <v>8.390147967324511</v>
      </c>
      <c r="BY408" s="435">
        <v>8.4239671174251196</v>
      </c>
      <c r="BZ408" s="435">
        <v>8.4577862675257283</v>
      </c>
      <c r="CA408" s="435">
        <v>8.4916054176263387</v>
      </c>
      <c r="CB408" s="435">
        <v>8.5254245677269473</v>
      </c>
      <c r="CC408" s="363">
        <v>8.559243717827556</v>
      </c>
      <c r="CD408" s="435">
        <v>8.5869654251021448</v>
      </c>
      <c r="CE408" s="435">
        <v>8.6146871323767318</v>
      </c>
      <c r="CF408" s="435">
        <v>8.6424088396513206</v>
      </c>
      <c r="CG408" s="435">
        <v>8.6701305469259076</v>
      </c>
      <c r="CH408" s="363">
        <v>8.6978522542004963</v>
      </c>
      <c r="CI408" s="362">
        <v>6.080439632823456</v>
      </c>
      <c r="CJ408" s="362">
        <v>6.1619576880683731</v>
      </c>
      <c r="CK408" s="362">
        <v>6.2445686237186884</v>
      </c>
      <c r="CL408" s="363">
        <v>6.2035133247921301</v>
      </c>
      <c r="CM408" s="363">
        <v>6.1627279464431997</v>
      </c>
      <c r="CN408" s="363">
        <v>6.143048361363725</v>
      </c>
      <c r="CO408" s="363">
        <v>6.1234316195692804</v>
      </c>
      <c r="CP408" s="363">
        <v>6.103877520380915</v>
      </c>
      <c r="CQ408" s="363">
        <v>6.0843858637605122</v>
      </c>
      <c r="CR408" s="363">
        <v>6.0649564503087419</v>
      </c>
      <c r="CS408" s="363">
        <v>6.109818738070933</v>
      </c>
      <c r="CT408" s="363">
        <v>6.1550128707325467</v>
      </c>
      <c r="CU408" s="363">
        <v>6.2005413029396301</v>
      </c>
      <c r="CV408" s="363">
        <v>6.246406507495168</v>
      </c>
      <c r="CW408" s="363">
        <v>6.2926109754933837</v>
      </c>
      <c r="CX408" s="435">
        <v>6.3179753380688402</v>
      </c>
      <c r="CY408" s="435">
        <v>6.3433397006442975</v>
      </c>
      <c r="CZ408" s="435">
        <v>6.368704063219754</v>
      </c>
      <c r="DA408" s="435">
        <v>6.3940684257952114</v>
      </c>
      <c r="DB408" s="363">
        <v>6.4194327883706679</v>
      </c>
      <c r="DC408" s="435">
        <v>6.440224068826609</v>
      </c>
      <c r="DD408" s="435">
        <v>6.4610153492825502</v>
      </c>
      <c r="DE408" s="435">
        <v>6.4818066297384904</v>
      </c>
      <c r="DF408" s="435">
        <v>6.5025979101944316</v>
      </c>
      <c r="DG408" s="363">
        <v>6.5233891906503727</v>
      </c>
      <c r="DH408" s="362">
        <v>0</v>
      </c>
      <c r="DI408" s="362">
        <v>0</v>
      </c>
      <c r="DJ408" s="362">
        <v>0</v>
      </c>
      <c r="DK408" s="363">
        <v>0</v>
      </c>
      <c r="DL408" s="363">
        <v>0</v>
      </c>
      <c r="DM408" s="363">
        <v>0</v>
      </c>
      <c r="DN408" s="363">
        <v>0</v>
      </c>
      <c r="DO408" s="363">
        <v>0</v>
      </c>
      <c r="DP408" s="363">
        <v>0</v>
      </c>
      <c r="DQ408" s="363">
        <v>0</v>
      </c>
      <c r="DR408" s="363">
        <v>0</v>
      </c>
      <c r="DS408" s="363">
        <v>0</v>
      </c>
      <c r="DT408" s="363">
        <v>0</v>
      </c>
      <c r="DU408" s="363">
        <v>0</v>
      </c>
      <c r="DV408" s="363">
        <v>0</v>
      </c>
      <c r="DW408" s="435">
        <v>0</v>
      </c>
      <c r="DX408" s="435">
        <v>0</v>
      </c>
      <c r="DY408" s="435">
        <v>0</v>
      </c>
      <c r="DZ408" s="435">
        <v>0</v>
      </c>
      <c r="EA408" s="363">
        <v>0</v>
      </c>
      <c r="EB408" s="435">
        <v>0</v>
      </c>
      <c r="EC408" s="435">
        <v>0</v>
      </c>
      <c r="ED408" s="435">
        <v>0</v>
      </c>
      <c r="EE408" s="435">
        <v>0</v>
      </c>
      <c r="EF408" s="363">
        <v>0</v>
      </c>
      <c r="EG408" s="364">
        <v>0</v>
      </c>
      <c r="EH408" s="364">
        <v>0</v>
      </c>
      <c r="EI408" s="364">
        <v>0</v>
      </c>
      <c r="EJ408" s="365">
        <v>0</v>
      </c>
      <c r="EK408" s="365">
        <v>0</v>
      </c>
      <c r="EL408" s="365">
        <v>0</v>
      </c>
      <c r="EM408" s="365">
        <v>0</v>
      </c>
      <c r="EN408" s="365">
        <v>0</v>
      </c>
      <c r="EO408" s="365">
        <v>0</v>
      </c>
      <c r="EP408" s="365">
        <v>0</v>
      </c>
      <c r="EQ408" s="365">
        <v>0</v>
      </c>
      <c r="ER408" s="365">
        <v>0</v>
      </c>
      <c r="ES408" s="365">
        <v>0</v>
      </c>
      <c r="ET408" s="365">
        <v>0</v>
      </c>
      <c r="EU408" s="365">
        <v>0</v>
      </c>
      <c r="EV408" s="436">
        <v>0</v>
      </c>
      <c r="EW408" s="436">
        <v>0</v>
      </c>
      <c r="EX408" s="436">
        <v>0</v>
      </c>
      <c r="EY408" s="436">
        <v>0</v>
      </c>
      <c r="EZ408" s="365">
        <v>0</v>
      </c>
      <c r="FA408" s="436">
        <v>0</v>
      </c>
      <c r="FB408" s="436">
        <v>0</v>
      </c>
      <c r="FC408" s="436">
        <v>0</v>
      </c>
      <c r="FD408" s="436">
        <v>0</v>
      </c>
      <c r="FE408" s="365">
        <v>0</v>
      </c>
      <c r="FF408" s="364">
        <v>0</v>
      </c>
      <c r="FG408" s="364">
        <v>0</v>
      </c>
      <c r="FH408" s="364">
        <v>0</v>
      </c>
      <c r="FI408" s="365">
        <v>0</v>
      </c>
      <c r="FJ408" s="365">
        <v>0</v>
      </c>
      <c r="FK408" s="365">
        <v>0</v>
      </c>
      <c r="FL408" s="365">
        <v>0</v>
      </c>
      <c r="FM408" s="365">
        <v>0</v>
      </c>
      <c r="FN408" s="365">
        <v>0</v>
      </c>
      <c r="FO408" s="365">
        <v>0</v>
      </c>
      <c r="FP408" s="365">
        <v>0</v>
      </c>
      <c r="FQ408" s="365">
        <v>0</v>
      </c>
      <c r="FR408" s="365">
        <v>0</v>
      </c>
      <c r="FS408" s="365">
        <v>0</v>
      </c>
      <c r="FT408" s="365">
        <v>0</v>
      </c>
      <c r="FU408" s="436">
        <v>0</v>
      </c>
      <c r="FV408" s="436">
        <v>0</v>
      </c>
      <c r="FW408" s="436">
        <v>0</v>
      </c>
      <c r="FX408" s="436">
        <v>0</v>
      </c>
      <c r="FY408" s="365">
        <v>0</v>
      </c>
      <c r="FZ408" s="436">
        <v>0</v>
      </c>
      <c r="GA408" s="436">
        <v>0</v>
      </c>
      <c r="GB408" s="436">
        <v>0</v>
      </c>
      <c r="GC408" s="436">
        <v>0</v>
      </c>
      <c r="GD408" s="365">
        <v>0</v>
      </c>
    </row>
    <row r="409" spans="1:186" ht="15" x14ac:dyDescent="0.25">
      <c r="A409" s="357">
        <v>118</v>
      </c>
      <c r="B409" s="357">
        <v>108</v>
      </c>
      <c r="C409" s="357" t="s">
        <v>1319</v>
      </c>
      <c r="D409" s="2">
        <v>99712</v>
      </c>
      <c r="E409" s="268" t="s">
        <v>19</v>
      </c>
      <c r="F409" s="358" t="s">
        <v>915</v>
      </c>
      <c r="G409" s="49">
        <v>3</v>
      </c>
      <c r="H409" s="49">
        <v>2</v>
      </c>
      <c r="I409" s="49">
        <v>2</v>
      </c>
      <c r="J409" s="49">
        <v>0</v>
      </c>
      <c r="K409" s="49">
        <v>0</v>
      </c>
      <c r="L409" s="49">
        <v>0</v>
      </c>
      <c r="M409" s="49">
        <v>0</v>
      </c>
      <c r="N409" s="49">
        <v>0</v>
      </c>
      <c r="O409" s="49">
        <v>0</v>
      </c>
      <c r="P409" s="49">
        <v>0</v>
      </c>
      <c r="Q409" s="49">
        <v>0</v>
      </c>
      <c r="R409" s="49">
        <v>0</v>
      </c>
      <c r="S409" s="49">
        <v>834.49503068156923</v>
      </c>
      <c r="T409" s="49">
        <v>834.49503068156923</v>
      </c>
      <c r="U409" s="49">
        <v>1408.3846153846155</v>
      </c>
      <c r="V409" s="49">
        <v>0</v>
      </c>
      <c r="W409" s="49">
        <v>0</v>
      </c>
      <c r="X409" s="49">
        <v>1365.173957061457</v>
      </c>
      <c r="Y409" s="434">
        <v>0</v>
      </c>
      <c r="Z409" s="434">
        <v>0</v>
      </c>
      <c r="AA409" s="49">
        <v>4.5824670824670823E-2</v>
      </c>
      <c r="AB409" s="49">
        <v>1.9515765765765767</v>
      </c>
      <c r="AC409" s="49">
        <v>2.5987525987525989E-3</v>
      </c>
      <c r="AD409" s="285">
        <v>0</v>
      </c>
      <c r="AE409" s="285">
        <v>0</v>
      </c>
      <c r="AF409" s="359">
        <v>2</v>
      </c>
      <c r="AG409" s="360">
        <v>4.5824670824670823E-2</v>
      </c>
      <c r="AH409" s="360">
        <v>1.9515765765765767</v>
      </c>
      <c r="AI409" s="361">
        <v>1.9974012474012475</v>
      </c>
      <c r="AJ409" s="360">
        <v>2.5987525987525989E-3</v>
      </c>
      <c r="AK409" s="360">
        <v>4.1659861025822545E-2</v>
      </c>
      <c r="AL409" s="360">
        <v>1.7742060662585184</v>
      </c>
      <c r="AM409" s="360">
        <v>1.8158659272843409</v>
      </c>
      <c r="AN409" s="360">
        <v>2.3625630071354943E-3</v>
      </c>
      <c r="AO409" s="360">
        <v>4.1812909251143796E-2</v>
      </c>
      <c r="AP409" s="360">
        <v>1.7807240690340618</v>
      </c>
      <c r="AQ409" s="360">
        <v>1.8225369782852057</v>
      </c>
      <c r="AR409" s="360">
        <v>2.3712424906130701E-3</v>
      </c>
      <c r="AS409" s="360">
        <v>0</v>
      </c>
      <c r="AT409" s="360">
        <v>0</v>
      </c>
      <c r="AU409" s="360">
        <v>1.6508295817689698</v>
      </c>
      <c r="AV409" s="360">
        <v>1.7313824503232471</v>
      </c>
      <c r="AW409" s="360">
        <v>1.8158659272843409</v>
      </c>
      <c r="AX409" s="360">
        <v>1.9044718082111811</v>
      </c>
      <c r="AY409" s="360">
        <v>1.9974012474012475</v>
      </c>
      <c r="AZ409" s="360">
        <v>1.6629813571702954</v>
      </c>
      <c r="BA409" s="360">
        <v>1.740932226607854</v>
      </c>
      <c r="BB409" s="360">
        <v>1.8225369782852054</v>
      </c>
      <c r="BC409" s="360">
        <v>1.9079668848965303</v>
      </c>
      <c r="BD409" s="360">
        <v>1.9974012474012475</v>
      </c>
      <c r="BE409" s="360">
        <v>0</v>
      </c>
      <c r="BF409" s="360">
        <v>0</v>
      </c>
      <c r="BG409" s="360">
        <v>0</v>
      </c>
      <c r="BH409" s="360">
        <v>0</v>
      </c>
      <c r="BI409" s="360">
        <v>0</v>
      </c>
      <c r="BJ409" s="362">
        <v>2.022683901545177</v>
      </c>
      <c r="BK409" s="362">
        <v>2.0482865778185571</v>
      </c>
      <c r="BL409" s="362">
        <v>2.0742133269892693</v>
      </c>
      <c r="BM409" s="363">
        <v>2.0605762844154167</v>
      </c>
      <c r="BN409" s="363">
        <v>2.0470288994133008</v>
      </c>
      <c r="BO409" s="363">
        <v>2.0404920735569201</v>
      </c>
      <c r="BP409" s="363">
        <v>2.0339761219013339</v>
      </c>
      <c r="BQ409" s="363">
        <v>2.027480977788461</v>
      </c>
      <c r="BR409" s="363">
        <v>2.0210065747730832</v>
      </c>
      <c r="BS409" s="363">
        <v>2.0145528466221627</v>
      </c>
      <c r="BT409" s="363">
        <v>2.0294544292234202</v>
      </c>
      <c r="BU409" s="363">
        <v>2.0444662383518168</v>
      </c>
      <c r="BV409" s="363">
        <v>2.0595890893494286</v>
      </c>
      <c r="BW409" s="363">
        <v>2.0748238035893904</v>
      </c>
      <c r="BX409" s="363">
        <v>2.090171208520506</v>
      </c>
      <c r="BY409" s="435">
        <v>2.0985963059219128</v>
      </c>
      <c r="BZ409" s="435">
        <v>2.1070214033233201</v>
      </c>
      <c r="CA409" s="435">
        <v>2.115446500724727</v>
      </c>
      <c r="CB409" s="435">
        <v>2.1238715981261342</v>
      </c>
      <c r="CC409" s="363">
        <v>2.1322966955275411</v>
      </c>
      <c r="CD409" s="435">
        <v>2.1392027852201232</v>
      </c>
      <c r="CE409" s="435">
        <v>2.1461088749127053</v>
      </c>
      <c r="CF409" s="435">
        <v>2.153014964605287</v>
      </c>
      <c r="CG409" s="435">
        <v>2.1599210542978691</v>
      </c>
      <c r="CH409" s="363">
        <v>2.1668271439904512</v>
      </c>
      <c r="CI409" s="362">
        <v>2.022683901545177</v>
      </c>
      <c r="CJ409" s="362">
        <v>2.0482865778185571</v>
      </c>
      <c r="CK409" s="362">
        <v>2.0742133269892693</v>
      </c>
      <c r="CL409" s="363">
        <v>2.0605762844154167</v>
      </c>
      <c r="CM409" s="363">
        <v>2.0470288994133008</v>
      </c>
      <c r="CN409" s="363">
        <v>2.0404920735569201</v>
      </c>
      <c r="CO409" s="363">
        <v>2.0339761219013339</v>
      </c>
      <c r="CP409" s="363">
        <v>2.027480977788461</v>
      </c>
      <c r="CQ409" s="363">
        <v>2.0210065747730832</v>
      </c>
      <c r="CR409" s="363">
        <v>2.0145528466221627</v>
      </c>
      <c r="CS409" s="363">
        <v>2.0294544292234202</v>
      </c>
      <c r="CT409" s="363">
        <v>2.0444662383518168</v>
      </c>
      <c r="CU409" s="363">
        <v>2.0595890893494286</v>
      </c>
      <c r="CV409" s="363">
        <v>2.0748238035893904</v>
      </c>
      <c r="CW409" s="363">
        <v>2.090171208520506</v>
      </c>
      <c r="CX409" s="435">
        <v>2.0985963059219128</v>
      </c>
      <c r="CY409" s="435">
        <v>2.1070214033233201</v>
      </c>
      <c r="CZ409" s="435">
        <v>2.115446500724727</v>
      </c>
      <c r="DA409" s="435">
        <v>2.1238715981261342</v>
      </c>
      <c r="DB409" s="363">
        <v>2.1322966955275411</v>
      </c>
      <c r="DC409" s="435">
        <v>2.1392027852201232</v>
      </c>
      <c r="DD409" s="435">
        <v>2.1461088749127053</v>
      </c>
      <c r="DE409" s="435">
        <v>2.153014964605287</v>
      </c>
      <c r="DF409" s="435">
        <v>2.1599210542978691</v>
      </c>
      <c r="DG409" s="363">
        <v>2.1668271439904512</v>
      </c>
      <c r="DH409" s="362">
        <v>0</v>
      </c>
      <c r="DI409" s="362">
        <v>0</v>
      </c>
      <c r="DJ409" s="362">
        <v>0</v>
      </c>
      <c r="DK409" s="363">
        <v>0</v>
      </c>
      <c r="DL409" s="363">
        <v>0</v>
      </c>
      <c r="DM409" s="363">
        <v>0</v>
      </c>
      <c r="DN409" s="363">
        <v>0</v>
      </c>
      <c r="DO409" s="363">
        <v>0</v>
      </c>
      <c r="DP409" s="363">
        <v>0</v>
      </c>
      <c r="DQ409" s="363">
        <v>0</v>
      </c>
      <c r="DR409" s="363">
        <v>0</v>
      </c>
      <c r="DS409" s="363">
        <v>0</v>
      </c>
      <c r="DT409" s="363">
        <v>0</v>
      </c>
      <c r="DU409" s="363">
        <v>0</v>
      </c>
      <c r="DV409" s="363">
        <v>0</v>
      </c>
      <c r="DW409" s="435">
        <v>0</v>
      </c>
      <c r="DX409" s="435">
        <v>0</v>
      </c>
      <c r="DY409" s="435">
        <v>0</v>
      </c>
      <c r="DZ409" s="435">
        <v>0</v>
      </c>
      <c r="EA409" s="363">
        <v>0</v>
      </c>
      <c r="EB409" s="435">
        <v>0</v>
      </c>
      <c r="EC409" s="435">
        <v>0</v>
      </c>
      <c r="ED409" s="435">
        <v>0</v>
      </c>
      <c r="EE409" s="435">
        <v>0</v>
      </c>
      <c r="EF409" s="363">
        <v>0</v>
      </c>
      <c r="EG409" s="364">
        <v>2.6316470225672354E-3</v>
      </c>
      <c r="EH409" s="364">
        <v>2.6649578165737148E-3</v>
      </c>
      <c r="EI409" s="364">
        <v>2.6986902510919455E-3</v>
      </c>
      <c r="EJ409" s="365">
        <v>2.6809475467283591E-3</v>
      </c>
      <c r="EK409" s="365">
        <v>2.6633214928614372E-3</v>
      </c>
      <c r="EL409" s="365">
        <v>2.6548166452731205E-3</v>
      </c>
      <c r="EM409" s="365">
        <v>2.6463389564159948E-3</v>
      </c>
      <c r="EN409" s="365">
        <v>2.6378883395634413E-3</v>
      </c>
      <c r="EO409" s="365">
        <v>2.6294647082657861E-3</v>
      </c>
      <c r="EP409" s="365">
        <v>2.6210679763494179E-3</v>
      </c>
      <c r="EQ409" s="365">
        <v>2.6404559318545669E-3</v>
      </c>
      <c r="ER409" s="365">
        <v>2.6599872994429053E-3</v>
      </c>
      <c r="ES409" s="365">
        <v>2.679663139928999E-3</v>
      </c>
      <c r="ET409" s="365">
        <v>2.6994845219742267E-3</v>
      </c>
      <c r="EU409" s="365">
        <v>2.7194525221448163E-3</v>
      </c>
      <c r="EV409" s="436">
        <v>2.7304141372910657E-3</v>
      </c>
      <c r="EW409" s="436">
        <v>2.7413757524373146E-3</v>
      </c>
      <c r="EX409" s="436">
        <v>2.7523373675835639E-3</v>
      </c>
      <c r="EY409" s="436">
        <v>2.7632989827298129E-3</v>
      </c>
      <c r="EZ409" s="365">
        <v>2.7742605978760622E-3</v>
      </c>
      <c r="FA409" s="436">
        <v>2.7832458824097362E-3</v>
      </c>
      <c r="FB409" s="436">
        <v>2.7922311669434105E-3</v>
      </c>
      <c r="FC409" s="436">
        <v>2.8012164514770845E-3</v>
      </c>
      <c r="FD409" s="436">
        <v>2.8102017360107589E-3</v>
      </c>
      <c r="FE409" s="365">
        <v>2.8191870205444328E-3</v>
      </c>
      <c r="FF409" s="364">
        <v>0</v>
      </c>
      <c r="FG409" s="364">
        <v>0</v>
      </c>
      <c r="FH409" s="364">
        <v>0</v>
      </c>
      <c r="FI409" s="365">
        <v>0</v>
      </c>
      <c r="FJ409" s="365">
        <v>0</v>
      </c>
      <c r="FK409" s="365">
        <v>0</v>
      </c>
      <c r="FL409" s="365">
        <v>0</v>
      </c>
      <c r="FM409" s="365">
        <v>0</v>
      </c>
      <c r="FN409" s="365">
        <v>0</v>
      </c>
      <c r="FO409" s="365">
        <v>0</v>
      </c>
      <c r="FP409" s="365">
        <v>0</v>
      </c>
      <c r="FQ409" s="365">
        <v>0</v>
      </c>
      <c r="FR409" s="365">
        <v>0</v>
      </c>
      <c r="FS409" s="365">
        <v>0</v>
      </c>
      <c r="FT409" s="365">
        <v>0</v>
      </c>
      <c r="FU409" s="436">
        <v>0</v>
      </c>
      <c r="FV409" s="436">
        <v>0</v>
      </c>
      <c r="FW409" s="436">
        <v>0</v>
      </c>
      <c r="FX409" s="436">
        <v>0</v>
      </c>
      <c r="FY409" s="365">
        <v>0</v>
      </c>
      <c r="FZ409" s="436">
        <v>0</v>
      </c>
      <c r="GA409" s="436">
        <v>0</v>
      </c>
      <c r="GB409" s="436">
        <v>0</v>
      </c>
      <c r="GC409" s="436">
        <v>0</v>
      </c>
      <c r="GD409" s="365">
        <v>0</v>
      </c>
    </row>
    <row r="410" spans="1:186" ht="15" x14ac:dyDescent="0.25">
      <c r="A410" s="357">
        <v>112</v>
      </c>
      <c r="B410" s="357">
        <v>109</v>
      </c>
      <c r="C410" s="357" t="s">
        <v>1320</v>
      </c>
      <c r="D410" s="2">
        <v>99712</v>
      </c>
      <c r="E410" s="268" t="s">
        <v>19</v>
      </c>
      <c r="F410" s="358" t="s">
        <v>915</v>
      </c>
      <c r="G410" s="49">
        <v>6</v>
      </c>
      <c r="H410" s="49">
        <v>4</v>
      </c>
      <c r="I410" s="49">
        <v>3</v>
      </c>
      <c r="J410" s="49">
        <v>1</v>
      </c>
      <c r="K410" s="49">
        <v>0</v>
      </c>
      <c r="L410" s="49">
        <v>2</v>
      </c>
      <c r="M410" s="49">
        <v>2</v>
      </c>
      <c r="N410" s="49">
        <v>2</v>
      </c>
      <c r="O410" s="49">
        <v>0</v>
      </c>
      <c r="P410" s="49">
        <v>0</v>
      </c>
      <c r="Q410" s="49">
        <v>4</v>
      </c>
      <c r="R410" s="49">
        <v>0</v>
      </c>
      <c r="S410" s="49">
        <v>2022</v>
      </c>
      <c r="T410" s="49">
        <v>2022</v>
      </c>
      <c r="U410" s="49">
        <v>2057.5</v>
      </c>
      <c r="V410" s="49">
        <v>0</v>
      </c>
      <c r="W410" s="49">
        <v>0</v>
      </c>
      <c r="X410" s="49">
        <v>2039.75</v>
      </c>
      <c r="Y410" s="434">
        <v>4044</v>
      </c>
      <c r="Z410" s="434">
        <v>4115</v>
      </c>
      <c r="AA410" s="49">
        <v>0</v>
      </c>
      <c r="AB410" s="49">
        <v>4</v>
      </c>
      <c r="AC410" s="49">
        <v>0</v>
      </c>
      <c r="AD410" s="285">
        <v>2</v>
      </c>
      <c r="AE410" s="285">
        <v>0</v>
      </c>
      <c r="AF410" s="359">
        <v>6</v>
      </c>
      <c r="AG410" s="360">
        <v>0</v>
      </c>
      <c r="AH410" s="360">
        <v>3</v>
      </c>
      <c r="AI410" s="361">
        <v>3</v>
      </c>
      <c r="AJ410" s="360">
        <v>0</v>
      </c>
      <c r="AK410" s="360">
        <v>0</v>
      </c>
      <c r="AL410" s="360">
        <v>3.636456980582953</v>
      </c>
      <c r="AM410" s="360">
        <v>3.636456980582953</v>
      </c>
      <c r="AN410" s="360">
        <v>0</v>
      </c>
      <c r="AO410" s="360">
        <v>0</v>
      </c>
      <c r="AP410" s="360">
        <v>2.7373623311637276</v>
      </c>
      <c r="AQ410" s="360">
        <v>2.7373623311637276</v>
      </c>
      <c r="AR410" s="360">
        <v>0</v>
      </c>
      <c r="AS410" s="360">
        <v>1.8596827016276773</v>
      </c>
      <c r="AT410" s="360">
        <v>0</v>
      </c>
      <c r="AU410" s="360">
        <v>3.3059548429076218</v>
      </c>
      <c r="AV410" s="360">
        <v>3.4672701893540752</v>
      </c>
      <c r="AW410" s="360">
        <v>3.636456980582953</v>
      </c>
      <c r="AX410" s="360">
        <v>3.8138993067898124</v>
      </c>
      <c r="AY410" s="360">
        <v>4</v>
      </c>
      <c r="AZ410" s="360">
        <v>2.4977175106913725</v>
      </c>
      <c r="BA410" s="360">
        <v>2.6147959437888453</v>
      </c>
      <c r="BB410" s="360">
        <v>2.7373623311637276</v>
      </c>
      <c r="BC410" s="360">
        <v>2.8656739161131335</v>
      </c>
      <c r="BD410" s="360">
        <v>3</v>
      </c>
      <c r="BE410" s="360">
        <v>1.7292098753666085</v>
      </c>
      <c r="BF410" s="360">
        <v>1.7932600739165065</v>
      </c>
      <c r="BG410" s="360">
        <v>1.8596827016276773</v>
      </c>
      <c r="BH410" s="360">
        <v>1.9285656336395076</v>
      </c>
      <c r="BI410" s="360">
        <v>2</v>
      </c>
      <c r="BJ410" s="362">
        <v>4.0536264218823037</v>
      </c>
      <c r="BK410" s="362">
        <v>4.107971792045582</v>
      </c>
      <c r="BL410" s="362">
        <v>4.163045749145792</v>
      </c>
      <c r="BM410" s="363">
        <v>4.1356755498614195</v>
      </c>
      <c r="BN410" s="363">
        <v>4.1084852976287989</v>
      </c>
      <c r="BO410" s="363">
        <v>4.095365574242483</v>
      </c>
      <c r="BP410" s="363">
        <v>4.08228774637952</v>
      </c>
      <c r="BQ410" s="363">
        <v>4.0692516802539433</v>
      </c>
      <c r="BR410" s="363">
        <v>4.0562572425070078</v>
      </c>
      <c r="BS410" s="363">
        <v>4.0433043002058273</v>
      </c>
      <c r="BT410" s="363">
        <v>4.0732124920472881</v>
      </c>
      <c r="BU410" s="363">
        <v>4.1033419138216978</v>
      </c>
      <c r="BV410" s="363">
        <v>4.1336942019597531</v>
      </c>
      <c r="BW410" s="363">
        <v>4.1642710049967784</v>
      </c>
      <c r="BX410" s="363">
        <v>4.1950739836622555</v>
      </c>
      <c r="BY410" s="435">
        <v>4.2119835587125598</v>
      </c>
      <c r="BZ410" s="435">
        <v>4.2288931337628641</v>
      </c>
      <c r="CA410" s="435">
        <v>4.2458027088131693</v>
      </c>
      <c r="CB410" s="435">
        <v>4.2627122838634737</v>
      </c>
      <c r="CC410" s="363">
        <v>4.279621858913778</v>
      </c>
      <c r="CD410" s="435">
        <v>4.2934827125510724</v>
      </c>
      <c r="CE410" s="435">
        <v>4.3073435661883659</v>
      </c>
      <c r="CF410" s="435">
        <v>4.3212044198256603</v>
      </c>
      <c r="CG410" s="435">
        <v>4.3350652734629538</v>
      </c>
      <c r="CH410" s="363">
        <v>4.3489261271002482</v>
      </c>
      <c r="CI410" s="362">
        <v>3.040219816411728</v>
      </c>
      <c r="CJ410" s="362">
        <v>3.0809788440341865</v>
      </c>
      <c r="CK410" s="362">
        <v>3.1222843118593442</v>
      </c>
      <c r="CL410" s="363">
        <v>3.1017566623960651</v>
      </c>
      <c r="CM410" s="363">
        <v>3.0813639732215998</v>
      </c>
      <c r="CN410" s="363">
        <v>3.0715241806818625</v>
      </c>
      <c r="CO410" s="363">
        <v>3.0617158097846402</v>
      </c>
      <c r="CP410" s="363">
        <v>3.0519387601904575</v>
      </c>
      <c r="CQ410" s="363">
        <v>3.0421929318802561</v>
      </c>
      <c r="CR410" s="363">
        <v>3.0324782251543709</v>
      </c>
      <c r="CS410" s="363">
        <v>3.0549093690354665</v>
      </c>
      <c r="CT410" s="363">
        <v>3.0775064353662733</v>
      </c>
      <c r="CU410" s="363">
        <v>3.1002706514698151</v>
      </c>
      <c r="CV410" s="363">
        <v>3.123203253747584</v>
      </c>
      <c r="CW410" s="363">
        <v>3.1463054877466918</v>
      </c>
      <c r="CX410" s="435">
        <v>3.1589876690344201</v>
      </c>
      <c r="CY410" s="435">
        <v>3.1716698503221488</v>
      </c>
      <c r="CZ410" s="435">
        <v>3.184352031609877</v>
      </c>
      <c r="DA410" s="435">
        <v>3.1970342128976057</v>
      </c>
      <c r="DB410" s="363">
        <v>3.2097163941853339</v>
      </c>
      <c r="DC410" s="435">
        <v>3.2201120344133045</v>
      </c>
      <c r="DD410" s="435">
        <v>3.2305076746412751</v>
      </c>
      <c r="DE410" s="435">
        <v>3.2409033148692452</v>
      </c>
      <c r="DF410" s="435">
        <v>3.2512989550972158</v>
      </c>
      <c r="DG410" s="363">
        <v>3.2616945953251864</v>
      </c>
      <c r="DH410" s="362">
        <v>2.0268132109411519</v>
      </c>
      <c r="DI410" s="362">
        <v>2.053985896022791</v>
      </c>
      <c r="DJ410" s="362">
        <v>2.081522874572896</v>
      </c>
      <c r="DK410" s="363">
        <v>2.0678377749307097</v>
      </c>
      <c r="DL410" s="363">
        <v>2.0542426488143994</v>
      </c>
      <c r="DM410" s="363">
        <v>2.0476827871212415</v>
      </c>
      <c r="DN410" s="363">
        <v>2.04114387318976</v>
      </c>
      <c r="DO410" s="363">
        <v>2.0346258401269717</v>
      </c>
      <c r="DP410" s="363">
        <v>2.0281286212535039</v>
      </c>
      <c r="DQ410" s="363">
        <v>2.0216521501029137</v>
      </c>
      <c r="DR410" s="363">
        <v>2.036606246023644</v>
      </c>
      <c r="DS410" s="363">
        <v>2.0516709569108489</v>
      </c>
      <c r="DT410" s="363">
        <v>2.0668471009798766</v>
      </c>
      <c r="DU410" s="363">
        <v>2.0821355024983892</v>
      </c>
      <c r="DV410" s="363">
        <v>2.0975369918311277</v>
      </c>
      <c r="DW410" s="435">
        <v>2.1059917793562799</v>
      </c>
      <c r="DX410" s="435">
        <v>2.1144465668814321</v>
      </c>
      <c r="DY410" s="435">
        <v>2.1229013544065847</v>
      </c>
      <c r="DZ410" s="435">
        <v>2.1313561419317368</v>
      </c>
      <c r="EA410" s="363">
        <v>2.139810929456889</v>
      </c>
      <c r="EB410" s="435">
        <v>2.1467413562755362</v>
      </c>
      <c r="EC410" s="435">
        <v>2.1536717830941829</v>
      </c>
      <c r="ED410" s="435">
        <v>2.1606022099128301</v>
      </c>
      <c r="EE410" s="435">
        <v>2.1675326367314769</v>
      </c>
      <c r="EF410" s="363">
        <v>2.1744630635501241</v>
      </c>
      <c r="EG410" s="364">
        <v>0</v>
      </c>
      <c r="EH410" s="364">
        <v>0</v>
      </c>
      <c r="EI410" s="364">
        <v>0</v>
      </c>
      <c r="EJ410" s="365">
        <v>0</v>
      </c>
      <c r="EK410" s="365">
        <v>0</v>
      </c>
      <c r="EL410" s="365">
        <v>0</v>
      </c>
      <c r="EM410" s="365">
        <v>0</v>
      </c>
      <c r="EN410" s="365">
        <v>0</v>
      </c>
      <c r="EO410" s="365">
        <v>0</v>
      </c>
      <c r="EP410" s="365">
        <v>0</v>
      </c>
      <c r="EQ410" s="365">
        <v>0</v>
      </c>
      <c r="ER410" s="365">
        <v>0</v>
      </c>
      <c r="ES410" s="365">
        <v>0</v>
      </c>
      <c r="ET410" s="365">
        <v>0</v>
      </c>
      <c r="EU410" s="365">
        <v>0</v>
      </c>
      <c r="EV410" s="436">
        <v>0</v>
      </c>
      <c r="EW410" s="436">
        <v>0</v>
      </c>
      <c r="EX410" s="436">
        <v>0</v>
      </c>
      <c r="EY410" s="436">
        <v>0</v>
      </c>
      <c r="EZ410" s="365">
        <v>0</v>
      </c>
      <c r="FA410" s="436">
        <v>0</v>
      </c>
      <c r="FB410" s="436">
        <v>0</v>
      </c>
      <c r="FC410" s="436">
        <v>0</v>
      </c>
      <c r="FD410" s="436">
        <v>0</v>
      </c>
      <c r="FE410" s="365">
        <v>0</v>
      </c>
      <c r="FF410" s="364">
        <v>0</v>
      </c>
      <c r="FG410" s="364">
        <v>0</v>
      </c>
      <c r="FH410" s="364">
        <v>0</v>
      </c>
      <c r="FI410" s="365">
        <v>0</v>
      </c>
      <c r="FJ410" s="365">
        <v>0</v>
      </c>
      <c r="FK410" s="365">
        <v>0</v>
      </c>
      <c r="FL410" s="365">
        <v>0</v>
      </c>
      <c r="FM410" s="365">
        <v>0</v>
      </c>
      <c r="FN410" s="365">
        <v>0</v>
      </c>
      <c r="FO410" s="365">
        <v>0</v>
      </c>
      <c r="FP410" s="365">
        <v>0</v>
      </c>
      <c r="FQ410" s="365">
        <v>0</v>
      </c>
      <c r="FR410" s="365">
        <v>0</v>
      </c>
      <c r="FS410" s="365">
        <v>0</v>
      </c>
      <c r="FT410" s="365">
        <v>0</v>
      </c>
      <c r="FU410" s="436">
        <v>0</v>
      </c>
      <c r="FV410" s="436">
        <v>0</v>
      </c>
      <c r="FW410" s="436">
        <v>0</v>
      </c>
      <c r="FX410" s="436">
        <v>0</v>
      </c>
      <c r="FY410" s="365">
        <v>0</v>
      </c>
      <c r="FZ410" s="436">
        <v>0</v>
      </c>
      <c r="GA410" s="436">
        <v>0</v>
      </c>
      <c r="GB410" s="436">
        <v>0</v>
      </c>
      <c r="GC410" s="436">
        <v>0</v>
      </c>
      <c r="GD410" s="365">
        <v>0</v>
      </c>
    </row>
    <row r="411" spans="1:186" ht="15" x14ac:dyDescent="0.25">
      <c r="A411" s="357">
        <v>114</v>
      </c>
      <c r="B411" s="357">
        <v>109</v>
      </c>
      <c r="C411" s="357" t="s">
        <v>1321</v>
      </c>
      <c r="D411" s="2">
        <v>99712</v>
      </c>
      <c r="E411" s="268" t="s">
        <v>19</v>
      </c>
      <c r="F411" s="358" t="s">
        <v>915</v>
      </c>
      <c r="G411" s="49">
        <v>2</v>
      </c>
      <c r="H411" s="49">
        <v>1</v>
      </c>
      <c r="I411" s="49">
        <v>1</v>
      </c>
      <c r="J411" s="49">
        <v>0</v>
      </c>
      <c r="K411" s="49">
        <v>0</v>
      </c>
      <c r="L411" s="49">
        <v>0</v>
      </c>
      <c r="M411" s="49">
        <v>0</v>
      </c>
      <c r="N411" s="49">
        <v>0</v>
      </c>
      <c r="O411" s="49">
        <v>0</v>
      </c>
      <c r="P411" s="49">
        <v>0</v>
      </c>
      <c r="Q411" s="49">
        <v>0</v>
      </c>
      <c r="R411" s="49">
        <v>0</v>
      </c>
      <c r="S411" s="49">
        <v>834.49503068156923</v>
      </c>
      <c r="T411" s="49">
        <v>834.49503068156923</v>
      </c>
      <c r="U411" s="49">
        <v>1408.3846153846155</v>
      </c>
      <c r="V411" s="49">
        <v>0</v>
      </c>
      <c r="W411" s="49">
        <v>0</v>
      </c>
      <c r="X411" s="49">
        <v>1365.173957061457</v>
      </c>
      <c r="Y411" s="434">
        <v>0</v>
      </c>
      <c r="Z411" s="434">
        <v>0</v>
      </c>
      <c r="AA411" s="49">
        <v>2.2912335412335411E-2</v>
      </c>
      <c r="AB411" s="49">
        <v>0.97578828828828834</v>
      </c>
      <c r="AC411" s="49">
        <v>1.2993762993762994E-3</v>
      </c>
      <c r="AD411" s="285">
        <v>0</v>
      </c>
      <c r="AE411" s="285">
        <v>0</v>
      </c>
      <c r="AF411" s="359">
        <v>1</v>
      </c>
      <c r="AG411" s="360">
        <v>2.2912335412335411E-2</v>
      </c>
      <c r="AH411" s="360">
        <v>0.97578828828828834</v>
      </c>
      <c r="AI411" s="361">
        <v>0.99870062370062374</v>
      </c>
      <c r="AJ411" s="360">
        <v>1.2993762993762994E-3</v>
      </c>
      <c r="AK411" s="360">
        <v>2.0829930512911272E-2</v>
      </c>
      <c r="AL411" s="360">
        <v>0.8871030331292592</v>
      </c>
      <c r="AM411" s="360">
        <v>0.90793296364217047</v>
      </c>
      <c r="AN411" s="360">
        <v>1.1812815035677471E-3</v>
      </c>
      <c r="AO411" s="360">
        <v>2.0906454625571898E-2</v>
      </c>
      <c r="AP411" s="360">
        <v>0.89036203451703089</v>
      </c>
      <c r="AQ411" s="360">
        <v>0.91126848914260283</v>
      </c>
      <c r="AR411" s="360">
        <v>1.1856212453065351E-3</v>
      </c>
      <c r="AS411" s="360">
        <v>0</v>
      </c>
      <c r="AT411" s="360">
        <v>0</v>
      </c>
      <c r="AU411" s="360">
        <v>0.82541479088448488</v>
      </c>
      <c r="AV411" s="360">
        <v>0.86569122516162356</v>
      </c>
      <c r="AW411" s="360">
        <v>0.90793296364217047</v>
      </c>
      <c r="AX411" s="360">
        <v>0.95223590410559056</v>
      </c>
      <c r="AY411" s="360">
        <v>0.99870062370062374</v>
      </c>
      <c r="AZ411" s="360">
        <v>0.83149067858514769</v>
      </c>
      <c r="BA411" s="360">
        <v>0.87046611330392698</v>
      </c>
      <c r="BB411" s="360">
        <v>0.91126848914260272</v>
      </c>
      <c r="BC411" s="360">
        <v>0.95398344244826516</v>
      </c>
      <c r="BD411" s="360">
        <v>0.99870062370062374</v>
      </c>
      <c r="BE411" s="360">
        <v>0</v>
      </c>
      <c r="BF411" s="360">
        <v>0</v>
      </c>
      <c r="BG411" s="360">
        <v>0</v>
      </c>
      <c r="BH411" s="360">
        <v>0</v>
      </c>
      <c r="BI411" s="360">
        <v>0</v>
      </c>
      <c r="BJ411" s="362">
        <v>1.0120898089457961</v>
      </c>
      <c r="BK411" s="362">
        <v>1.0256584977151229</v>
      </c>
      <c r="BL411" s="362">
        <v>1.0394090965415332</v>
      </c>
      <c r="BM411" s="363">
        <v>1.0325754377675052</v>
      </c>
      <c r="BN411" s="363">
        <v>1.0257867073016811</v>
      </c>
      <c r="BO411" s="363">
        <v>1.0225110383195077</v>
      </c>
      <c r="BP411" s="363">
        <v>1.0192458296086602</v>
      </c>
      <c r="BQ411" s="363">
        <v>1.015991047766106</v>
      </c>
      <c r="BR411" s="363">
        <v>1.0127466594954804</v>
      </c>
      <c r="BS411" s="363">
        <v>1.0095126316067435</v>
      </c>
      <c r="BT411" s="363">
        <v>1.0169799640681998</v>
      </c>
      <c r="BU411" s="363">
        <v>1.0245025321476602</v>
      </c>
      <c r="BV411" s="363">
        <v>1.0320807444212143</v>
      </c>
      <c r="BW411" s="363">
        <v>1.0397150124871766</v>
      </c>
      <c r="BX411" s="363">
        <v>1.0474057509884387</v>
      </c>
      <c r="BY411" s="435">
        <v>1.0516276517757517</v>
      </c>
      <c r="BZ411" s="435">
        <v>1.0558495525630647</v>
      </c>
      <c r="CA411" s="435">
        <v>1.0600714533503774</v>
      </c>
      <c r="CB411" s="435">
        <v>1.0642933541376904</v>
      </c>
      <c r="CC411" s="363">
        <v>1.0685152549250034</v>
      </c>
      <c r="CD411" s="435">
        <v>1.0719759657181505</v>
      </c>
      <c r="CE411" s="435">
        <v>1.0754366765112977</v>
      </c>
      <c r="CF411" s="435">
        <v>1.0788973873044447</v>
      </c>
      <c r="CG411" s="435">
        <v>1.082358098097592</v>
      </c>
      <c r="CH411" s="363">
        <v>1.085818808890739</v>
      </c>
      <c r="CI411" s="362">
        <v>1.0120898089457961</v>
      </c>
      <c r="CJ411" s="362">
        <v>1.0256584977151229</v>
      </c>
      <c r="CK411" s="362">
        <v>1.0394090965415332</v>
      </c>
      <c r="CL411" s="363">
        <v>1.0325754377675052</v>
      </c>
      <c r="CM411" s="363">
        <v>1.0257867073016811</v>
      </c>
      <c r="CN411" s="363">
        <v>1.0225110383195077</v>
      </c>
      <c r="CO411" s="363">
        <v>1.0192458296086602</v>
      </c>
      <c r="CP411" s="363">
        <v>1.015991047766106</v>
      </c>
      <c r="CQ411" s="363">
        <v>1.0127466594954804</v>
      </c>
      <c r="CR411" s="363">
        <v>1.0095126316067435</v>
      </c>
      <c r="CS411" s="363">
        <v>1.0169799640681998</v>
      </c>
      <c r="CT411" s="363">
        <v>1.0245025321476602</v>
      </c>
      <c r="CU411" s="363">
        <v>1.0320807444212143</v>
      </c>
      <c r="CV411" s="363">
        <v>1.0397150124871766</v>
      </c>
      <c r="CW411" s="363">
        <v>1.0474057509884387</v>
      </c>
      <c r="CX411" s="435">
        <v>1.0516276517757517</v>
      </c>
      <c r="CY411" s="435">
        <v>1.0558495525630647</v>
      </c>
      <c r="CZ411" s="435">
        <v>1.0600714533503774</v>
      </c>
      <c r="DA411" s="435">
        <v>1.0642933541376904</v>
      </c>
      <c r="DB411" s="363">
        <v>1.0685152549250034</v>
      </c>
      <c r="DC411" s="435">
        <v>1.0719759657181505</v>
      </c>
      <c r="DD411" s="435">
        <v>1.0754366765112977</v>
      </c>
      <c r="DE411" s="435">
        <v>1.0788973873044447</v>
      </c>
      <c r="DF411" s="435">
        <v>1.082358098097592</v>
      </c>
      <c r="DG411" s="363">
        <v>1.085818808890739</v>
      </c>
      <c r="DH411" s="362">
        <v>0</v>
      </c>
      <c r="DI411" s="362">
        <v>0</v>
      </c>
      <c r="DJ411" s="362">
        <v>0</v>
      </c>
      <c r="DK411" s="363">
        <v>0</v>
      </c>
      <c r="DL411" s="363">
        <v>0</v>
      </c>
      <c r="DM411" s="363">
        <v>0</v>
      </c>
      <c r="DN411" s="363">
        <v>0</v>
      </c>
      <c r="DO411" s="363">
        <v>0</v>
      </c>
      <c r="DP411" s="363">
        <v>0</v>
      </c>
      <c r="DQ411" s="363">
        <v>0</v>
      </c>
      <c r="DR411" s="363">
        <v>0</v>
      </c>
      <c r="DS411" s="363">
        <v>0</v>
      </c>
      <c r="DT411" s="363">
        <v>0</v>
      </c>
      <c r="DU411" s="363">
        <v>0</v>
      </c>
      <c r="DV411" s="363">
        <v>0</v>
      </c>
      <c r="DW411" s="435">
        <v>0</v>
      </c>
      <c r="DX411" s="435">
        <v>0</v>
      </c>
      <c r="DY411" s="435">
        <v>0</v>
      </c>
      <c r="DZ411" s="435">
        <v>0</v>
      </c>
      <c r="EA411" s="363">
        <v>0</v>
      </c>
      <c r="EB411" s="435">
        <v>0</v>
      </c>
      <c r="EC411" s="435">
        <v>0</v>
      </c>
      <c r="ED411" s="435">
        <v>0</v>
      </c>
      <c r="EE411" s="435">
        <v>0</v>
      </c>
      <c r="EF411" s="363">
        <v>0</v>
      </c>
      <c r="EG411" s="364">
        <v>1.3167965247798544E-3</v>
      </c>
      <c r="EH411" s="364">
        <v>1.3344502962726033E-3</v>
      </c>
      <c r="EI411" s="364">
        <v>1.3523407449148232E-3</v>
      </c>
      <c r="EJ411" s="365">
        <v>1.3434496978499935E-3</v>
      </c>
      <c r="EK411" s="365">
        <v>1.3346171055187107E-3</v>
      </c>
      <c r="EL411" s="365">
        <v>1.3303552411130725E-3</v>
      </c>
      <c r="EM411" s="365">
        <v>1.3261069862199584E-3</v>
      </c>
      <c r="EN411" s="365">
        <v>1.3218722973797892E-3</v>
      </c>
      <c r="EO411" s="365">
        <v>1.3176511312717671E-3</v>
      </c>
      <c r="EP411" s="365">
        <v>1.3134434447134315E-3</v>
      </c>
      <c r="EQ411" s="365">
        <v>1.3231589436224298E-3</v>
      </c>
      <c r="ER411" s="365">
        <v>1.3329463077643249E-3</v>
      </c>
      <c r="ES411" s="365">
        <v>1.3428060687239321E-3</v>
      </c>
      <c r="ET411" s="365">
        <v>1.3527387620181843E-3</v>
      </c>
      <c r="EU411" s="365">
        <v>1.3627449271252129E-3</v>
      </c>
      <c r="EV411" s="436">
        <v>1.3682379023884355E-3</v>
      </c>
      <c r="EW411" s="436">
        <v>1.3737308776516583E-3</v>
      </c>
      <c r="EX411" s="436">
        <v>1.3792238529148808E-3</v>
      </c>
      <c r="EY411" s="436">
        <v>1.3847168281781036E-3</v>
      </c>
      <c r="EZ411" s="365">
        <v>1.3902098034413262E-3</v>
      </c>
      <c r="FA411" s="436">
        <v>1.394712419617682E-3</v>
      </c>
      <c r="FB411" s="436">
        <v>1.399215035794038E-3</v>
      </c>
      <c r="FC411" s="436">
        <v>1.4037176519703938E-3</v>
      </c>
      <c r="FD411" s="436">
        <v>1.4082202681467498E-3</v>
      </c>
      <c r="FE411" s="365">
        <v>1.4127228843231056E-3</v>
      </c>
      <c r="FF411" s="364">
        <v>0</v>
      </c>
      <c r="FG411" s="364">
        <v>0</v>
      </c>
      <c r="FH411" s="364">
        <v>0</v>
      </c>
      <c r="FI411" s="365">
        <v>0</v>
      </c>
      <c r="FJ411" s="365">
        <v>0</v>
      </c>
      <c r="FK411" s="365">
        <v>0</v>
      </c>
      <c r="FL411" s="365">
        <v>0</v>
      </c>
      <c r="FM411" s="365">
        <v>0</v>
      </c>
      <c r="FN411" s="365">
        <v>0</v>
      </c>
      <c r="FO411" s="365">
        <v>0</v>
      </c>
      <c r="FP411" s="365">
        <v>0</v>
      </c>
      <c r="FQ411" s="365">
        <v>0</v>
      </c>
      <c r="FR411" s="365">
        <v>0</v>
      </c>
      <c r="FS411" s="365">
        <v>0</v>
      </c>
      <c r="FT411" s="365">
        <v>0</v>
      </c>
      <c r="FU411" s="436">
        <v>0</v>
      </c>
      <c r="FV411" s="436">
        <v>0</v>
      </c>
      <c r="FW411" s="436">
        <v>0</v>
      </c>
      <c r="FX411" s="436">
        <v>0</v>
      </c>
      <c r="FY411" s="365">
        <v>0</v>
      </c>
      <c r="FZ411" s="436">
        <v>0</v>
      </c>
      <c r="GA411" s="436">
        <v>0</v>
      </c>
      <c r="GB411" s="436">
        <v>0</v>
      </c>
      <c r="GC411" s="436">
        <v>0</v>
      </c>
      <c r="GD411" s="365">
        <v>0</v>
      </c>
    </row>
    <row r="412" spans="1:186" ht="15" x14ac:dyDescent="0.25">
      <c r="A412" s="357">
        <v>118</v>
      </c>
      <c r="B412" s="357">
        <v>109</v>
      </c>
      <c r="C412" s="357" t="s">
        <v>1322</v>
      </c>
      <c r="D412" s="2">
        <v>99712</v>
      </c>
      <c r="E412" s="268" t="s">
        <v>19</v>
      </c>
      <c r="F412" s="358" t="s">
        <v>915</v>
      </c>
      <c r="G412" s="49">
        <v>0</v>
      </c>
      <c r="H412" s="49">
        <v>1</v>
      </c>
      <c r="I412" s="49">
        <v>0</v>
      </c>
      <c r="J412" s="49">
        <v>1</v>
      </c>
      <c r="K412" s="49">
        <v>0</v>
      </c>
      <c r="L412" s="49">
        <v>0</v>
      </c>
      <c r="M412" s="49">
        <v>0</v>
      </c>
      <c r="N412" s="49">
        <v>0</v>
      </c>
      <c r="O412" s="49">
        <v>0</v>
      </c>
      <c r="P412" s="49">
        <v>0</v>
      </c>
      <c r="Q412" s="49">
        <v>0</v>
      </c>
      <c r="R412" s="49">
        <v>0</v>
      </c>
      <c r="S412" s="49">
        <v>834.49503068156923</v>
      </c>
      <c r="T412" s="49">
        <v>834.49503068156923</v>
      </c>
      <c r="U412" s="49">
        <v>1408.3846153846155</v>
      </c>
      <c r="V412" s="49">
        <v>0</v>
      </c>
      <c r="W412" s="49">
        <v>0</v>
      </c>
      <c r="X412" s="49">
        <v>1365.173957061457</v>
      </c>
      <c r="Y412" s="434">
        <v>0</v>
      </c>
      <c r="Z412" s="434">
        <v>0</v>
      </c>
      <c r="AA412" s="49">
        <v>2.2912335412335411E-2</v>
      </c>
      <c r="AB412" s="49">
        <v>0.97578828828828834</v>
      </c>
      <c r="AC412" s="49">
        <v>1.2993762993762994E-3</v>
      </c>
      <c r="AD412" s="285">
        <v>0</v>
      </c>
      <c r="AE412" s="285">
        <v>0</v>
      </c>
      <c r="AF412" s="359">
        <v>1</v>
      </c>
      <c r="AG412" s="360">
        <v>0</v>
      </c>
      <c r="AH412" s="360">
        <v>0</v>
      </c>
      <c r="AI412" s="361">
        <v>0</v>
      </c>
      <c r="AJ412" s="360">
        <v>0</v>
      </c>
      <c r="AK412" s="360">
        <v>2.0829930512911272E-2</v>
      </c>
      <c r="AL412" s="360">
        <v>0.8871030331292592</v>
      </c>
      <c r="AM412" s="360">
        <v>0.90793296364217047</v>
      </c>
      <c r="AN412" s="360">
        <v>1.1812815035677471E-3</v>
      </c>
      <c r="AO412" s="360">
        <v>0</v>
      </c>
      <c r="AP412" s="360">
        <v>0</v>
      </c>
      <c r="AQ412" s="360">
        <v>0</v>
      </c>
      <c r="AR412" s="360">
        <v>0</v>
      </c>
      <c r="AS412" s="360">
        <v>0</v>
      </c>
      <c r="AT412" s="360">
        <v>0</v>
      </c>
      <c r="AU412" s="360">
        <v>0.82541479088448488</v>
      </c>
      <c r="AV412" s="360">
        <v>0.86569122516162356</v>
      </c>
      <c r="AW412" s="360">
        <v>0.90793296364217047</v>
      </c>
      <c r="AX412" s="360">
        <v>0.95223590410559056</v>
      </c>
      <c r="AY412" s="360">
        <v>0.99870062370062374</v>
      </c>
      <c r="AZ412" s="360">
        <v>0</v>
      </c>
      <c r="BA412" s="360">
        <v>0</v>
      </c>
      <c r="BB412" s="360">
        <v>0</v>
      </c>
      <c r="BC412" s="360">
        <v>0</v>
      </c>
      <c r="BD412" s="360">
        <v>0</v>
      </c>
      <c r="BE412" s="360">
        <v>0</v>
      </c>
      <c r="BF412" s="360">
        <v>0</v>
      </c>
      <c r="BG412" s="360">
        <v>0</v>
      </c>
      <c r="BH412" s="360">
        <v>0</v>
      </c>
      <c r="BI412" s="360">
        <v>0</v>
      </c>
      <c r="BJ412" s="362">
        <v>1.0113419507725885</v>
      </c>
      <c r="BK412" s="362">
        <v>1.0241432889092785</v>
      </c>
      <c r="BL412" s="362">
        <v>1.0371066634946347</v>
      </c>
      <c r="BM412" s="363">
        <v>1.0302881422077084</v>
      </c>
      <c r="BN412" s="363">
        <v>1.0235144497066504</v>
      </c>
      <c r="BO412" s="363">
        <v>1.02024603677846</v>
      </c>
      <c r="BP412" s="363">
        <v>1.016988060950667</v>
      </c>
      <c r="BQ412" s="363">
        <v>1.0137404888942305</v>
      </c>
      <c r="BR412" s="363">
        <v>1.0105032873865416</v>
      </c>
      <c r="BS412" s="363">
        <v>1.0072764233110814</v>
      </c>
      <c r="BT412" s="363">
        <v>1.0147272146117101</v>
      </c>
      <c r="BU412" s="363">
        <v>1.0222331191759084</v>
      </c>
      <c r="BV412" s="363">
        <v>1.0297945446747143</v>
      </c>
      <c r="BW412" s="363">
        <v>1.0374119017946952</v>
      </c>
      <c r="BX412" s="363">
        <v>1.045085604260253</v>
      </c>
      <c r="BY412" s="435">
        <v>1.0492981529609564</v>
      </c>
      <c r="BZ412" s="435">
        <v>1.0535107016616601</v>
      </c>
      <c r="CA412" s="435">
        <v>1.0577232503623635</v>
      </c>
      <c r="CB412" s="435">
        <v>1.0619357990630671</v>
      </c>
      <c r="CC412" s="363">
        <v>1.0661483477637705</v>
      </c>
      <c r="CD412" s="435">
        <v>1.0696013926100616</v>
      </c>
      <c r="CE412" s="435">
        <v>1.0730544374563526</v>
      </c>
      <c r="CF412" s="435">
        <v>1.0765074823026435</v>
      </c>
      <c r="CG412" s="435">
        <v>1.0799605271489345</v>
      </c>
      <c r="CH412" s="363">
        <v>1.0834135719952256</v>
      </c>
      <c r="CI412" s="362">
        <v>0</v>
      </c>
      <c r="CJ412" s="362">
        <v>0</v>
      </c>
      <c r="CK412" s="362">
        <v>0</v>
      </c>
      <c r="CL412" s="363">
        <v>0</v>
      </c>
      <c r="CM412" s="363">
        <v>0</v>
      </c>
      <c r="CN412" s="363">
        <v>0</v>
      </c>
      <c r="CO412" s="363">
        <v>0</v>
      </c>
      <c r="CP412" s="363">
        <v>0</v>
      </c>
      <c r="CQ412" s="363">
        <v>0</v>
      </c>
      <c r="CR412" s="363">
        <v>0</v>
      </c>
      <c r="CS412" s="363">
        <v>0</v>
      </c>
      <c r="CT412" s="363">
        <v>0</v>
      </c>
      <c r="CU412" s="363">
        <v>0</v>
      </c>
      <c r="CV412" s="363">
        <v>0</v>
      </c>
      <c r="CW412" s="363">
        <v>0</v>
      </c>
      <c r="CX412" s="435">
        <v>0</v>
      </c>
      <c r="CY412" s="435">
        <v>0</v>
      </c>
      <c r="CZ412" s="435">
        <v>0</v>
      </c>
      <c r="DA412" s="435">
        <v>0</v>
      </c>
      <c r="DB412" s="363">
        <v>0</v>
      </c>
      <c r="DC412" s="435">
        <v>0</v>
      </c>
      <c r="DD412" s="435">
        <v>0</v>
      </c>
      <c r="DE412" s="435">
        <v>0</v>
      </c>
      <c r="DF412" s="435">
        <v>0</v>
      </c>
      <c r="DG412" s="363">
        <v>0</v>
      </c>
      <c r="DH412" s="362">
        <v>0</v>
      </c>
      <c r="DI412" s="362">
        <v>0</v>
      </c>
      <c r="DJ412" s="362">
        <v>0</v>
      </c>
      <c r="DK412" s="363">
        <v>0</v>
      </c>
      <c r="DL412" s="363">
        <v>0</v>
      </c>
      <c r="DM412" s="363">
        <v>0</v>
      </c>
      <c r="DN412" s="363">
        <v>0</v>
      </c>
      <c r="DO412" s="363">
        <v>0</v>
      </c>
      <c r="DP412" s="363">
        <v>0</v>
      </c>
      <c r="DQ412" s="363">
        <v>0</v>
      </c>
      <c r="DR412" s="363">
        <v>0</v>
      </c>
      <c r="DS412" s="363">
        <v>0</v>
      </c>
      <c r="DT412" s="363">
        <v>0</v>
      </c>
      <c r="DU412" s="363">
        <v>0</v>
      </c>
      <c r="DV412" s="363">
        <v>0</v>
      </c>
      <c r="DW412" s="435">
        <v>0</v>
      </c>
      <c r="DX412" s="435">
        <v>0</v>
      </c>
      <c r="DY412" s="435">
        <v>0</v>
      </c>
      <c r="DZ412" s="435">
        <v>0</v>
      </c>
      <c r="EA412" s="363">
        <v>0</v>
      </c>
      <c r="EB412" s="435">
        <v>0</v>
      </c>
      <c r="EC412" s="435">
        <v>0</v>
      </c>
      <c r="ED412" s="435">
        <v>0</v>
      </c>
      <c r="EE412" s="435">
        <v>0</v>
      </c>
      <c r="EF412" s="363">
        <v>0</v>
      </c>
      <c r="EG412" s="364">
        <v>1.3158235112836177E-3</v>
      </c>
      <c r="EH412" s="364">
        <v>1.3324789082868574E-3</v>
      </c>
      <c r="EI412" s="364">
        <v>1.3493451255459728E-3</v>
      </c>
      <c r="EJ412" s="365">
        <v>1.3404737733641796E-3</v>
      </c>
      <c r="EK412" s="365">
        <v>1.3316607464307186E-3</v>
      </c>
      <c r="EL412" s="365">
        <v>1.3274083226365602E-3</v>
      </c>
      <c r="EM412" s="365">
        <v>1.3231694782079974E-3</v>
      </c>
      <c r="EN412" s="365">
        <v>1.3189441697817206E-3</v>
      </c>
      <c r="EO412" s="365">
        <v>1.314732354132893E-3</v>
      </c>
      <c r="EP412" s="365">
        <v>1.310533988174709E-3</v>
      </c>
      <c r="EQ412" s="365">
        <v>1.3202279659272835E-3</v>
      </c>
      <c r="ER412" s="365">
        <v>1.3299936497214527E-3</v>
      </c>
      <c r="ES412" s="365">
        <v>1.3398315699644995E-3</v>
      </c>
      <c r="ET412" s="365">
        <v>1.3497422609871133E-3</v>
      </c>
      <c r="EU412" s="365">
        <v>1.3597262610724082E-3</v>
      </c>
      <c r="EV412" s="436">
        <v>1.3652070686455328E-3</v>
      </c>
      <c r="EW412" s="436">
        <v>1.3706878762186573E-3</v>
      </c>
      <c r="EX412" s="436">
        <v>1.376168683791782E-3</v>
      </c>
      <c r="EY412" s="436">
        <v>1.3816494913649064E-3</v>
      </c>
      <c r="EZ412" s="365">
        <v>1.3871302989380311E-3</v>
      </c>
      <c r="FA412" s="436">
        <v>1.3916229412048681E-3</v>
      </c>
      <c r="FB412" s="436">
        <v>1.3961155834717053E-3</v>
      </c>
      <c r="FC412" s="436">
        <v>1.4006082257385422E-3</v>
      </c>
      <c r="FD412" s="436">
        <v>1.4051008680053794E-3</v>
      </c>
      <c r="FE412" s="365">
        <v>1.4095935102722164E-3</v>
      </c>
      <c r="FF412" s="364">
        <v>0</v>
      </c>
      <c r="FG412" s="364">
        <v>0</v>
      </c>
      <c r="FH412" s="364">
        <v>0</v>
      </c>
      <c r="FI412" s="365">
        <v>0</v>
      </c>
      <c r="FJ412" s="365">
        <v>0</v>
      </c>
      <c r="FK412" s="365">
        <v>0</v>
      </c>
      <c r="FL412" s="365">
        <v>0</v>
      </c>
      <c r="FM412" s="365">
        <v>0</v>
      </c>
      <c r="FN412" s="365">
        <v>0</v>
      </c>
      <c r="FO412" s="365">
        <v>0</v>
      </c>
      <c r="FP412" s="365">
        <v>0</v>
      </c>
      <c r="FQ412" s="365">
        <v>0</v>
      </c>
      <c r="FR412" s="365">
        <v>0</v>
      </c>
      <c r="FS412" s="365">
        <v>0</v>
      </c>
      <c r="FT412" s="365">
        <v>0</v>
      </c>
      <c r="FU412" s="436">
        <v>0</v>
      </c>
      <c r="FV412" s="436">
        <v>0</v>
      </c>
      <c r="FW412" s="436">
        <v>0</v>
      </c>
      <c r="FX412" s="436">
        <v>0</v>
      </c>
      <c r="FY412" s="365">
        <v>0</v>
      </c>
      <c r="FZ412" s="436">
        <v>0</v>
      </c>
      <c r="GA412" s="436">
        <v>0</v>
      </c>
      <c r="GB412" s="436">
        <v>0</v>
      </c>
      <c r="GC412" s="436">
        <v>0</v>
      </c>
      <c r="GD412" s="365">
        <v>0</v>
      </c>
    </row>
    <row r="413" spans="1:186" ht="15" x14ac:dyDescent="0.25">
      <c r="A413" s="357">
        <v>118</v>
      </c>
      <c r="B413" s="357">
        <v>110</v>
      </c>
      <c r="C413" s="357" t="s">
        <v>1323</v>
      </c>
      <c r="D413" s="2">
        <v>99712</v>
      </c>
      <c r="E413" s="268" t="s">
        <v>19</v>
      </c>
      <c r="F413" s="358" t="s">
        <v>915</v>
      </c>
      <c r="G413" s="49">
        <v>0</v>
      </c>
      <c r="H413" s="49">
        <v>1</v>
      </c>
      <c r="I413" s="49">
        <v>0</v>
      </c>
      <c r="J413" s="49">
        <v>1</v>
      </c>
      <c r="K413" s="49">
        <v>0</v>
      </c>
      <c r="L413" s="49">
        <v>0</v>
      </c>
      <c r="M413" s="49">
        <v>0</v>
      </c>
      <c r="N413" s="49">
        <v>0</v>
      </c>
      <c r="O413" s="49">
        <v>0</v>
      </c>
      <c r="P413" s="49">
        <v>0</v>
      </c>
      <c r="Q413" s="49">
        <v>0</v>
      </c>
      <c r="R413" s="49">
        <v>0</v>
      </c>
      <c r="S413" s="49">
        <v>834.49503068156923</v>
      </c>
      <c r="T413" s="49">
        <v>834.49503068156923</v>
      </c>
      <c r="U413" s="49">
        <v>1408.3846153846155</v>
      </c>
      <c r="V413" s="49">
        <v>0</v>
      </c>
      <c r="W413" s="49">
        <v>0</v>
      </c>
      <c r="X413" s="49">
        <v>1365.173957061457</v>
      </c>
      <c r="Y413" s="434">
        <v>0</v>
      </c>
      <c r="Z413" s="434">
        <v>0</v>
      </c>
      <c r="AA413" s="49">
        <v>2.2912335412335411E-2</v>
      </c>
      <c r="AB413" s="49">
        <v>0.97578828828828834</v>
      </c>
      <c r="AC413" s="49">
        <v>1.2993762993762994E-3</v>
      </c>
      <c r="AD413" s="285">
        <v>0</v>
      </c>
      <c r="AE413" s="285">
        <v>0</v>
      </c>
      <c r="AF413" s="359">
        <v>1</v>
      </c>
      <c r="AG413" s="360">
        <v>0</v>
      </c>
      <c r="AH413" s="360">
        <v>0</v>
      </c>
      <c r="AI413" s="361">
        <v>0</v>
      </c>
      <c r="AJ413" s="360">
        <v>0</v>
      </c>
      <c r="AK413" s="360">
        <v>2.0829930512911272E-2</v>
      </c>
      <c r="AL413" s="360">
        <v>0.8871030331292592</v>
      </c>
      <c r="AM413" s="360">
        <v>0.90793296364217047</v>
      </c>
      <c r="AN413" s="360">
        <v>1.1812815035677471E-3</v>
      </c>
      <c r="AO413" s="360">
        <v>0</v>
      </c>
      <c r="AP413" s="360">
        <v>0</v>
      </c>
      <c r="AQ413" s="360">
        <v>0</v>
      </c>
      <c r="AR413" s="360">
        <v>0</v>
      </c>
      <c r="AS413" s="360">
        <v>0</v>
      </c>
      <c r="AT413" s="360">
        <v>0</v>
      </c>
      <c r="AU413" s="360">
        <v>0.82541479088448488</v>
      </c>
      <c r="AV413" s="360">
        <v>0.86569122516162356</v>
      </c>
      <c r="AW413" s="360">
        <v>0.90793296364217047</v>
      </c>
      <c r="AX413" s="360">
        <v>0.95223590410559056</v>
      </c>
      <c r="AY413" s="360">
        <v>0.99870062370062374</v>
      </c>
      <c r="AZ413" s="360">
        <v>0</v>
      </c>
      <c r="BA413" s="360">
        <v>0</v>
      </c>
      <c r="BB413" s="360">
        <v>0</v>
      </c>
      <c r="BC413" s="360">
        <v>0</v>
      </c>
      <c r="BD413" s="360">
        <v>0</v>
      </c>
      <c r="BE413" s="360">
        <v>0</v>
      </c>
      <c r="BF413" s="360">
        <v>0</v>
      </c>
      <c r="BG413" s="360">
        <v>0</v>
      </c>
      <c r="BH413" s="360">
        <v>0</v>
      </c>
      <c r="BI413" s="360">
        <v>0</v>
      </c>
      <c r="BJ413" s="362">
        <v>1.0120898089457961</v>
      </c>
      <c r="BK413" s="362">
        <v>1.0256584977151229</v>
      </c>
      <c r="BL413" s="362">
        <v>1.0394090965415332</v>
      </c>
      <c r="BM413" s="363">
        <v>1.0325754377675052</v>
      </c>
      <c r="BN413" s="363">
        <v>1.0257867073016811</v>
      </c>
      <c r="BO413" s="363">
        <v>1.0225110383195077</v>
      </c>
      <c r="BP413" s="363">
        <v>1.0192458296086602</v>
      </c>
      <c r="BQ413" s="363">
        <v>1.015991047766106</v>
      </c>
      <c r="BR413" s="363">
        <v>1.0127466594954804</v>
      </c>
      <c r="BS413" s="363">
        <v>1.0095126316067435</v>
      </c>
      <c r="BT413" s="363">
        <v>1.0169799640681998</v>
      </c>
      <c r="BU413" s="363">
        <v>1.0245025321476602</v>
      </c>
      <c r="BV413" s="363">
        <v>1.0320807444212143</v>
      </c>
      <c r="BW413" s="363">
        <v>1.0397150124871766</v>
      </c>
      <c r="BX413" s="363">
        <v>1.0474057509884387</v>
      </c>
      <c r="BY413" s="435">
        <v>1.0516276517757517</v>
      </c>
      <c r="BZ413" s="435">
        <v>1.0558495525630647</v>
      </c>
      <c r="CA413" s="435">
        <v>1.0600714533503774</v>
      </c>
      <c r="CB413" s="435">
        <v>1.0642933541376904</v>
      </c>
      <c r="CC413" s="363">
        <v>1.0685152549250034</v>
      </c>
      <c r="CD413" s="435">
        <v>1.0719759657181505</v>
      </c>
      <c r="CE413" s="435">
        <v>1.0754366765112977</v>
      </c>
      <c r="CF413" s="435">
        <v>1.0788973873044447</v>
      </c>
      <c r="CG413" s="435">
        <v>1.082358098097592</v>
      </c>
      <c r="CH413" s="363">
        <v>1.085818808890739</v>
      </c>
      <c r="CI413" s="362">
        <v>0</v>
      </c>
      <c r="CJ413" s="362">
        <v>0</v>
      </c>
      <c r="CK413" s="362">
        <v>0</v>
      </c>
      <c r="CL413" s="363">
        <v>0</v>
      </c>
      <c r="CM413" s="363">
        <v>0</v>
      </c>
      <c r="CN413" s="363">
        <v>0</v>
      </c>
      <c r="CO413" s="363">
        <v>0</v>
      </c>
      <c r="CP413" s="363">
        <v>0</v>
      </c>
      <c r="CQ413" s="363">
        <v>0</v>
      </c>
      <c r="CR413" s="363">
        <v>0</v>
      </c>
      <c r="CS413" s="363">
        <v>0</v>
      </c>
      <c r="CT413" s="363">
        <v>0</v>
      </c>
      <c r="CU413" s="363">
        <v>0</v>
      </c>
      <c r="CV413" s="363">
        <v>0</v>
      </c>
      <c r="CW413" s="363">
        <v>0</v>
      </c>
      <c r="CX413" s="435">
        <v>0</v>
      </c>
      <c r="CY413" s="435">
        <v>0</v>
      </c>
      <c r="CZ413" s="435">
        <v>0</v>
      </c>
      <c r="DA413" s="435">
        <v>0</v>
      </c>
      <c r="DB413" s="363">
        <v>0</v>
      </c>
      <c r="DC413" s="435">
        <v>0</v>
      </c>
      <c r="DD413" s="435">
        <v>0</v>
      </c>
      <c r="DE413" s="435">
        <v>0</v>
      </c>
      <c r="DF413" s="435">
        <v>0</v>
      </c>
      <c r="DG413" s="363">
        <v>0</v>
      </c>
      <c r="DH413" s="362">
        <v>0</v>
      </c>
      <c r="DI413" s="362">
        <v>0</v>
      </c>
      <c r="DJ413" s="362">
        <v>0</v>
      </c>
      <c r="DK413" s="363">
        <v>0</v>
      </c>
      <c r="DL413" s="363">
        <v>0</v>
      </c>
      <c r="DM413" s="363">
        <v>0</v>
      </c>
      <c r="DN413" s="363">
        <v>0</v>
      </c>
      <c r="DO413" s="363">
        <v>0</v>
      </c>
      <c r="DP413" s="363">
        <v>0</v>
      </c>
      <c r="DQ413" s="363">
        <v>0</v>
      </c>
      <c r="DR413" s="363">
        <v>0</v>
      </c>
      <c r="DS413" s="363">
        <v>0</v>
      </c>
      <c r="DT413" s="363">
        <v>0</v>
      </c>
      <c r="DU413" s="363">
        <v>0</v>
      </c>
      <c r="DV413" s="363">
        <v>0</v>
      </c>
      <c r="DW413" s="435">
        <v>0</v>
      </c>
      <c r="DX413" s="435">
        <v>0</v>
      </c>
      <c r="DY413" s="435">
        <v>0</v>
      </c>
      <c r="DZ413" s="435">
        <v>0</v>
      </c>
      <c r="EA413" s="363">
        <v>0</v>
      </c>
      <c r="EB413" s="435">
        <v>0</v>
      </c>
      <c r="EC413" s="435">
        <v>0</v>
      </c>
      <c r="ED413" s="435">
        <v>0</v>
      </c>
      <c r="EE413" s="435">
        <v>0</v>
      </c>
      <c r="EF413" s="363">
        <v>0</v>
      </c>
      <c r="EG413" s="364">
        <v>1.3167965247798544E-3</v>
      </c>
      <c r="EH413" s="364">
        <v>1.3344502962726033E-3</v>
      </c>
      <c r="EI413" s="364">
        <v>1.3523407449148232E-3</v>
      </c>
      <c r="EJ413" s="365">
        <v>1.3434496978499935E-3</v>
      </c>
      <c r="EK413" s="365">
        <v>1.3346171055187107E-3</v>
      </c>
      <c r="EL413" s="365">
        <v>1.3303552411130725E-3</v>
      </c>
      <c r="EM413" s="365">
        <v>1.3261069862199584E-3</v>
      </c>
      <c r="EN413" s="365">
        <v>1.3218722973797892E-3</v>
      </c>
      <c r="EO413" s="365">
        <v>1.3176511312717671E-3</v>
      </c>
      <c r="EP413" s="365">
        <v>1.3134434447134315E-3</v>
      </c>
      <c r="EQ413" s="365">
        <v>1.3231589436224298E-3</v>
      </c>
      <c r="ER413" s="365">
        <v>1.3329463077643249E-3</v>
      </c>
      <c r="ES413" s="365">
        <v>1.3428060687239321E-3</v>
      </c>
      <c r="ET413" s="365">
        <v>1.3527387620181843E-3</v>
      </c>
      <c r="EU413" s="365">
        <v>1.3627449271252129E-3</v>
      </c>
      <c r="EV413" s="436">
        <v>1.3682379023884355E-3</v>
      </c>
      <c r="EW413" s="436">
        <v>1.3737308776516583E-3</v>
      </c>
      <c r="EX413" s="436">
        <v>1.3792238529148808E-3</v>
      </c>
      <c r="EY413" s="436">
        <v>1.3847168281781036E-3</v>
      </c>
      <c r="EZ413" s="365">
        <v>1.3902098034413262E-3</v>
      </c>
      <c r="FA413" s="436">
        <v>1.394712419617682E-3</v>
      </c>
      <c r="FB413" s="436">
        <v>1.399215035794038E-3</v>
      </c>
      <c r="FC413" s="436">
        <v>1.4037176519703938E-3</v>
      </c>
      <c r="FD413" s="436">
        <v>1.4082202681467498E-3</v>
      </c>
      <c r="FE413" s="365">
        <v>1.4127228843231056E-3</v>
      </c>
      <c r="FF413" s="364">
        <v>0</v>
      </c>
      <c r="FG413" s="364">
        <v>0</v>
      </c>
      <c r="FH413" s="364">
        <v>0</v>
      </c>
      <c r="FI413" s="365">
        <v>0</v>
      </c>
      <c r="FJ413" s="365">
        <v>0</v>
      </c>
      <c r="FK413" s="365">
        <v>0</v>
      </c>
      <c r="FL413" s="365">
        <v>0</v>
      </c>
      <c r="FM413" s="365">
        <v>0</v>
      </c>
      <c r="FN413" s="365">
        <v>0</v>
      </c>
      <c r="FO413" s="365">
        <v>0</v>
      </c>
      <c r="FP413" s="365">
        <v>0</v>
      </c>
      <c r="FQ413" s="365">
        <v>0</v>
      </c>
      <c r="FR413" s="365">
        <v>0</v>
      </c>
      <c r="FS413" s="365">
        <v>0</v>
      </c>
      <c r="FT413" s="365">
        <v>0</v>
      </c>
      <c r="FU413" s="436">
        <v>0</v>
      </c>
      <c r="FV413" s="436">
        <v>0</v>
      </c>
      <c r="FW413" s="436">
        <v>0</v>
      </c>
      <c r="FX413" s="436">
        <v>0</v>
      </c>
      <c r="FY413" s="365">
        <v>0</v>
      </c>
      <c r="FZ413" s="436">
        <v>0</v>
      </c>
      <c r="GA413" s="436">
        <v>0</v>
      </c>
      <c r="GB413" s="436">
        <v>0</v>
      </c>
      <c r="GC413" s="436">
        <v>0</v>
      </c>
      <c r="GD413" s="365">
        <v>0</v>
      </c>
    </row>
    <row r="414" spans="1:186" ht="15" x14ac:dyDescent="0.25">
      <c r="A414" s="357">
        <v>142</v>
      </c>
      <c r="B414" s="357">
        <v>110</v>
      </c>
      <c r="C414" s="357" t="s">
        <v>1324</v>
      </c>
      <c r="D414" s="2">
        <v>99712</v>
      </c>
      <c r="E414" s="268" t="s">
        <v>19</v>
      </c>
      <c r="F414" s="358" t="s">
        <v>915</v>
      </c>
      <c r="G414" s="49">
        <v>0</v>
      </c>
      <c r="H414" s="49">
        <v>1</v>
      </c>
      <c r="I414" s="49">
        <v>0</v>
      </c>
      <c r="J414" s="49">
        <v>1</v>
      </c>
      <c r="K414" s="49">
        <v>0</v>
      </c>
      <c r="L414" s="49">
        <v>0</v>
      </c>
      <c r="M414" s="49">
        <v>0</v>
      </c>
      <c r="N414" s="49">
        <v>0</v>
      </c>
      <c r="O414" s="49">
        <v>0</v>
      </c>
      <c r="P414" s="49">
        <v>0</v>
      </c>
      <c r="Q414" s="49">
        <v>0</v>
      </c>
      <c r="R414" s="49">
        <v>0</v>
      </c>
      <c r="S414" s="49">
        <v>834.49503068156923</v>
      </c>
      <c r="T414" s="49">
        <v>834.49503068156923</v>
      </c>
      <c r="U414" s="49">
        <v>1408.3846153846155</v>
      </c>
      <c r="V414" s="49">
        <v>0</v>
      </c>
      <c r="W414" s="49">
        <v>0</v>
      </c>
      <c r="X414" s="49">
        <v>1365.173957061457</v>
      </c>
      <c r="Y414" s="434">
        <v>0</v>
      </c>
      <c r="Z414" s="434">
        <v>0</v>
      </c>
      <c r="AA414" s="49">
        <v>2.2912335412335411E-2</v>
      </c>
      <c r="AB414" s="49">
        <v>0.97578828828828834</v>
      </c>
      <c r="AC414" s="49">
        <v>1.2993762993762994E-3</v>
      </c>
      <c r="AD414" s="285">
        <v>0</v>
      </c>
      <c r="AE414" s="285">
        <v>0</v>
      </c>
      <c r="AF414" s="359">
        <v>1</v>
      </c>
      <c r="AG414" s="360">
        <v>0</v>
      </c>
      <c r="AH414" s="360">
        <v>0</v>
      </c>
      <c r="AI414" s="361">
        <v>0</v>
      </c>
      <c r="AJ414" s="360">
        <v>0</v>
      </c>
      <c r="AK414" s="360">
        <v>2.0829930512911272E-2</v>
      </c>
      <c r="AL414" s="360">
        <v>0.8871030331292592</v>
      </c>
      <c r="AM414" s="360">
        <v>0.90793296364217047</v>
      </c>
      <c r="AN414" s="360">
        <v>1.1812815035677471E-3</v>
      </c>
      <c r="AO414" s="360">
        <v>0</v>
      </c>
      <c r="AP414" s="360">
        <v>0</v>
      </c>
      <c r="AQ414" s="360">
        <v>0</v>
      </c>
      <c r="AR414" s="360">
        <v>0</v>
      </c>
      <c r="AS414" s="360">
        <v>0</v>
      </c>
      <c r="AT414" s="360">
        <v>0</v>
      </c>
      <c r="AU414" s="360">
        <v>0.82541479088448488</v>
      </c>
      <c r="AV414" s="360">
        <v>0.86569122516162356</v>
      </c>
      <c r="AW414" s="360">
        <v>0.90793296364217047</v>
      </c>
      <c r="AX414" s="360">
        <v>0.95223590410559056</v>
      </c>
      <c r="AY414" s="360">
        <v>0.99870062370062374</v>
      </c>
      <c r="AZ414" s="360">
        <v>0</v>
      </c>
      <c r="BA414" s="360">
        <v>0</v>
      </c>
      <c r="BB414" s="360">
        <v>0</v>
      </c>
      <c r="BC414" s="360">
        <v>0</v>
      </c>
      <c r="BD414" s="360">
        <v>0</v>
      </c>
      <c r="BE414" s="360">
        <v>0</v>
      </c>
      <c r="BF414" s="360">
        <v>0</v>
      </c>
      <c r="BG414" s="360">
        <v>0</v>
      </c>
      <c r="BH414" s="360">
        <v>0</v>
      </c>
      <c r="BI414" s="360">
        <v>0</v>
      </c>
      <c r="BJ414" s="362">
        <v>1.0113419507725885</v>
      </c>
      <c r="BK414" s="362">
        <v>1.0241432889092785</v>
      </c>
      <c r="BL414" s="362">
        <v>1.0371066634946347</v>
      </c>
      <c r="BM414" s="363">
        <v>1.0302881422077084</v>
      </c>
      <c r="BN414" s="363">
        <v>1.0235144497066504</v>
      </c>
      <c r="BO414" s="363">
        <v>1.02024603677846</v>
      </c>
      <c r="BP414" s="363">
        <v>1.016988060950667</v>
      </c>
      <c r="BQ414" s="363">
        <v>1.0137404888942305</v>
      </c>
      <c r="BR414" s="363">
        <v>1.0105032873865416</v>
      </c>
      <c r="BS414" s="363">
        <v>1.0072764233110814</v>
      </c>
      <c r="BT414" s="363">
        <v>1.0147272146117101</v>
      </c>
      <c r="BU414" s="363">
        <v>1.0222331191759084</v>
      </c>
      <c r="BV414" s="363">
        <v>1.0297945446747143</v>
      </c>
      <c r="BW414" s="363">
        <v>1.0374119017946952</v>
      </c>
      <c r="BX414" s="363">
        <v>1.045085604260253</v>
      </c>
      <c r="BY414" s="435">
        <v>1.0492981529609564</v>
      </c>
      <c r="BZ414" s="435">
        <v>1.0535107016616601</v>
      </c>
      <c r="CA414" s="435">
        <v>1.0577232503623635</v>
      </c>
      <c r="CB414" s="435">
        <v>1.0619357990630671</v>
      </c>
      <c r="CC414" s="363">
        <v>1.0661483477637705</v>
      </c>
      <c r="CD414" s="435">
        <v>1.0696013926100616</v>
      </c>
      <c r="CE414" s="435">
        <v>1.0730544374563526</v>
      </c>
      <c r="CF414" s="435">
        <v>1.0765074823026435</v>
      </c>
      <c r="CG414" s="435">
        <v>1.0799605271489345</v>
      </c>
      <c r="CH414" s="363">
        <v>1.0834135719952256</v>
      </c>
      <c r="CI414" s="362">
        <v>0</v>
      </c>
      <c r="CJ414" s="362">
        <v>0</v>
      </c>
      <c r="CK414" s="362">
        <v>0</v>
      </c>
      <c r="CL414" s="363">
        <v>0</v>
      </c>
      <c r="CM414" s="363">
        <v>0</v>
      </c>
      <c r="CN414" s="363">
        <v>0</v>
      </c>
      <c r="CO414" s="363">
        <v>0</v>
      </c>
      <c r="CP414" s="363">
        <v>0</v>
      </c>
      <c r="CQ414" s="363">
        <v>0</v>
      </c>
      <c r="CR414" s="363">
        <v>0</v>
      </c>
      <c r="CS414" s="363">
        <v>0</v>
      </c>
      <c r="CT414" s="363">
        <v>0</v>
      </c>
      <c r="CU414" s="363">
        <v>0</v>
      </c>
      <c r="CV414" s="363">
        <v>0</v>
      </c>
      <c r="CW414" s="363">
        <v>0</v>
      </c>
      <c r="CX414" s="435">
        <v>0</v>
      </c>
      <c r="CY414" s="435">
        <v>0</v>
      </c>
      <c r="CZ414" s="435">
        <v>0</v>
      </c>
      <c r="DA414" s="435">
        <v>0</v>
      </c>
      <c r="DB414" s="363">
        <v>0</v>
      </c>
      <c r="DC414" s="435">
        <v>0</v>
      </c>
      <c r="DD414" s="435">
        <v>0</v>
      </c>
      <c r="DE414" s="435">
        <v>0</v>
      </c>
      <c r="DF414" s="435">
        <v>0</v>
      </c>
      <c r="DG414" s="363">
        <v>0</v>
      </c>
      <c r="DH414" s="362">
        <v>0</v>
      </c>
      <c r="DI414" s="362">
        <v>0</v>
      </c>
      <c r="DJ414" s="362">
        <v>0</v>
      </c>
      <c r="DK414" s="363">
        <v>0</v>
      </c>
      <c r="DL414" s="363">
        <v>0</v>
      </c>
      <c r="DM414" s="363">
        <v>0</v>
      </c>
      <c r="DN414" s="363">
        <v>0</v>
      </c>
      <c r="DO414" s="363">
        <v>0</v>
      </c>
      <c r="DP414" s="363">
        <v>0</v>
      </c>
      <c r="DQ414" s="363">
        <v>0</v>
      </c>
      <c r="DR414" s="363">
        <v>0</v>
      </c>
      <c r="DS414" s="363">
        <v>0</v>
      </c>
      <c r="DT414" s="363">
        <v>0</v>
      </c>
      <c r="DU414" s="363">
        <v>0</v>
      </c>
      <c r="DV414" s="363">
        <v>0</v>
      </c>
      <c r="DW414" s="435">
        <v>0</v>
      </c>
      <c r="DX414" s="435">
        <v>0</v>
      </c>
      <c r="DY414" s="435">
        <v>0</v>
      </c>
      <c r="DZ414" s="435">
        <v>0</v>
      </c>
      <c r="EA414" s="363">
        <v>0</v>
      </c>
      <c r="EB414" s="435">
        <v>0</v>
      </c>
      <c r="EC414" s="435">
        <v>0</v>
      </c>
      <c r="ED414" s="435">
        <v>0</v>
      </c>
      <c r="EE414" s="435">
        <v>0</v>
      </c>
      <c r="EF414" s="363">
        <v>0</v>
      </c>
      <c r="EG414" s="364">
        <v>1.3158235112836177E-3</v>
      </c>
      <c r="EH414" s="364">
        <v>1.3324789082868574E-3</v>
      </c>
      <c r="EI414" s="364">
        <v>1.3493451255459728E-3</v>
      </c>
      <c r="EJ414" s="365">
        <v>1.3404737733641796E-3</v>
      </c>
      <c r="EK414" s="365">
        <v>1.3316607464307186E-3</v>
      </c>
      <c r="EL414" s="365">
        <v>1.3274083226365602E-3</v>
      </c>
      <c r="EM414" s="365">
        <v>1.3231694782079974E-3</v>
      </c>
      <c r="EN414" s="365">
        <v>1.3189441697817206E-3</v>
      </c>
      <c r="EO414" s="365">
        <v>1.314732354132893E-3</v>
      </c>
      <c r="EP414" s="365">
        <v>1.310533988174709E-3</v>
      </c>
      <c r="EQ414" s="365">
        <v>1.3202279659272835E-3</v>
      </c>
      <c r="ER414" s="365">
        <v>1.3299936497214527E-3</v>
      </c>
      <c r="ES414" s="365">
        <v>1.3398315699644995E-3</v>
      </c>
      <c r="ET414" s="365">
        <v>1.3497422609871133E-3</v>
      </c>
      <c r="EU414" s="365">
        <v>1.3597262610724082E-3</v>
      </c>
      <c r="EV414" s="436">
        <v>1.3652070686455328E-3</v>
      </c>
      <c r="EW414" s="436">
        <v>1.3706878762186573E-3</v>
      </c>
      <c r="EX414" s="436">
        <v>1.376168683791782E-3</v>
      </c>
      <c r="EY414" s="436">
        <v>1.3816494913649064E-3</v>
      </c>
      <c r="EZ414" s="365">
        <v>1.3871302989380311E-3</v>
      </c>
      <c r="FA414" s="436">
        <v>1.3916229412048681E-3</v>
      </c>
      <c r="FB414" s="436">
        <v>1.3961155834717053E-3</v>
      </c>
      <c r="FC414" s="436">
        <v>1.4006082257385422E-3</v>
      </c>
      <c r="FD414" s="436">
        <v>1.4051008680053794E-3</v>
      </c>
      <c r="FE414" s="365">
        <v>1.4095935102722164E-3</v>
      </c>
      <c r="FF414" s="364">
        <v>0</v>
      </c>
      <c r="FG414" s="364">
        <v>0</v>
      </c>
      <c r="FH414" s="364">
        <v>0</v>
      </c>
      <c r="FI414" s="365">
        <v>0</v>
      </c>
      <c r="FJ414" s="365">
        <v>0</v>
      </c>
      <c r="FK414" s="365">
        <v>0</v>
      </c>
      <c r="FL414" s="365">
        <v>0</v>
      </c>
      <c r="FM414" s="365">
        <v>0</v>
      </c>
      <c r="FN414" s="365">
        <v>0</v>
      </c>
      <c r="FO414" s="365">
        <v>0</v>
      </c>
      <c r="FP414" s="365">
        <v>0</v>
      </c>
      <c r="FQ414" s="365">
        <v>0</v>
      </c>
      <c r="FR414" s="365">
        <v>0</v>
      </c>
      <c r="FS414" s="365">
        <v>0</v>
      </c>
      <c r="FT414" s="365">
        <v>0</v>
      </c>
      <c r="FU414" s="436">
        <v>0</v>
      </c>
      <c r="FV414" s="436">
        <v>0</v>
      </c>
      <c r="FW414" s="436">
        <v>0</v>
      </c>
      <c r="FX414" s="436">
        <v>0</v>
      </c>
      <c r="FY414" s="365">
        <v>0</v>
      </c>
      <c r="FZ414" s="436">
        <v>0</v>
      </c>
      <c r="GA414" s="436">
        <v>0</v>
      </c>
      <c r="GB414" s="436">
        <v>0</v>
      </c>
      <c r="GC414" s="436">
        <v>0</v>
      </c>
      <c r="GD414" s="365">
        <v>0</v>
      </c>
    </row>
    <row r="415" spans="1:186" ht="15" x14ac:dyDescent="0.25">
      <c r="A415" s="357">
        <v>161</v>
      </c>
      <c r="B415" s="357">
        <v>110</v>
      </c>
      <c r="C415" s="357" t="s">
        <v>1325</v>
      </c>
      <c r="D415" s="2">
        <v>99712</v>
      </c>
      <c r="E415" s="268" t="s">
        <v>19</v>
      </c>
      <c r="F415" s="358" t="s">
        <v>915</v>
      </c>
      <c r="G415" s="49">
        <v>2</v>
      </c>
      <c r="H415" s="49">
        <v>3</v>
      </c>
      <c r="I415" s="49">
        <v>1</v>
      </c>
      <c r="J415" s="49">
        <v>2</v>
      </c>
      <c r="K415" s="49">
        <v>0</v>
      </c>
      <c r="L415" s="49">
        <v>9</v>
      </c>
      <c r="M415" s="49">
        <v>9</v>
      </c>
      <c r="N415" s="49">
        <v>1</v>
      </c>
      <c r="O415" s="49">
        <v>0</v>
      </c>
      <c r="P415" s="49">
        <v>0</v>
      </c>
      <c r="Q415" s="49">
        <v>10</v>
      </c>
      <c r="R415" s="49">
        <v>0</v>
      </c>
      <c r="S415" s="49">
        <v>470</v>
      </c>
      <c r="T415" s="49">
        <v>470</v>
      </c>
      <c r="U415" s="49">
        <v>2881</v>
      </c>
      <c r="V415" s="49">
        <v>0</v>
      </c>
      <c r="W415" s="49">
        <v>0</v>
      </c>
      <c r="X415" s="49">
        <v>711.1</v>
      </c>
      <c r="Y415" s="434">
        <v>4230</v>
      </c>
      <c r="Z415" s="434">
        <v>2881</v>
      </c>
      <c r="AA415" s="49">
        <v>0</v>
      </c>
      <c r="AB415" s="49">
        <v>3</v>
      </c>
      <c r="AC415" s="49">
        <v>0</v>
      </c>
      <c r="AD415" s="285">
        <v>1</v>
      </c>
      <c r="AE415" s="285">
        <v>0</v>
      </c>
      <c r="AF415" s="359">
        <v>4</v>
      </c>
      <c r="AG415" s="360">
        <v>0</v>
      </c>
      <c r="AH415" s="360">
        <v>1</v>
      </c>
      <c r="AI415" s="361">
        <v>1</v>
      </c>
      <c r="AJ415" s="360">
        <v>0</v>
      </c>
      <c r="AK415" s="360">
        <v>0</v>
      </c>
      <c r="AL415" s="360">
        <v>2.7273427354372148</v>
      </c>
      <c r="AM415" s="360">
        <v>2.7273427354372148</v>
      </c>
      <c r="AN415" s="360">
        <v>0</v>
      </c>
      <c r="AO415" s="360">
        <v>0</v>
      </c>
      <c r="AP415" s="360">
        <v>0.91245411038790925</v>
      </c>
      <c r="AQ415" s="360">
        <v>0.91245411038790925</v>
      </c>
      <c r="AR415" s="360">
        <v>0</v>
      </c>
      <c r="AS415" s="360">
        <v>0.92984135081383867</v>
      </c>
      <c r="AT415" s="360">
        <v>0</v>
      </c>
      <c r="AU415" s="360">
        <v>2.4794661321807161</v>
      </c>
      <c r="AV415" s="360">
        <v>2.600452642015556</v>
      </c>
      <c r="AW415" s="360">
        <v>2.7273427354372148</v>
      </c>
      <c r="AX415" s="360">
        <v>2.8604244800923593</v>
      </c>
      <c r="AY415" s="360">
        <v>3</v>
      </c>
      <c r="AZ415" s="360">
        <v>0.83257250356379087</v>
      </c>
      <c r="BA415" s="360">
        <v>0.87159864792961517</v>
      </c>
      <c r="BB415" s="360">
        <v>0.91245411038790925</v>
      </c>
      <c r="BC415" s="360">
        <v>0.9552246387043779</v>
      </c>
      <c r="BD415" s="360">
        <v>1</v>
      </c>
      <c r="BE415" s="360">
        <v>0.86460493768330426</v>
      </c>
      <c r="BF415" s="360">
        <v>0.89663003695825327</v>
      </c>
      <c r="BG415" s="360">
        <v>0.92984135081383867</v>
      </c>
      <c r="BH415" s="360">
        <v>0.96428281681975381</v>
      </c>
      <c r="BI415" s="360">
        <v>1</v>
      </c>
      <c r="BJ415" s="362">
        <v>3.0379733228516161</v>
      </c>
      <c r="BK415" s="362">
        <v>3.0764273034526965</v>
      </c>
      <c r="BL415" s="362">
        <v>3.1153680258605418</v>
      </c>
      <c r="BM415" s="363">
        <v>3.094885847943218</v>
      </c>
      <c r="BN415" s="363">
        <v>3.0745383313592431</v>
      </c>
      <c r="BO415" s="363">
        <v>3.0647203353032899</v>
      </c>
      <c r="BP415" s="363">
        <v>3.0549336912866245</v>
      </c>
      <c r="BQ415" s="363">
        <v>3.0451782991920364</v>
      </c>
      <c r="BR415" s="363">
        <v>3.0354540592220234</v>
      </c>
      <c r="BS415" s="363">
        <v>3.0257608718977682</v>
      </c>
      <c r="BT415" s="363">
        <v>3.0481423277329118</v>
      </c>
      <c r="BU415" s="363">
        <v>3.0706893384768899</v>
      </c>
      <c r="BV415" s="363">
        <v>3.0934031287340367</v>
      </c>
      <c r="BW415" s="363">
        <v>3.1162849321670469</v>
      </c>
      <c r="BX415" s="363">
        <v>3.1393359915639762</v>
      </c>
      <c r="BY415" s="435">
        <v>3.1519900800888063</v>
      </c>
      <c r="BZ415" s="435">
        <v>3.164644168613636</v>
      </c>
      <c r="CA415" s="435">
        <v>3.177298257138466</v>
      </c>
      <c r="CB415" s="435">
        <v>3.1899523456632957</v>
      </c>
      <c r="CC415" s="363">
        <v>3.2026064341881257</v>
      </c>
      <c r="CD415" s="435">
        <v>3.2129790466537993</v>
      </c>
      <c r="CE415" s="435">
        <v>3.2233516591194729</v>
      </c>
      <c r="CF415" s="435">
        <v>3.233724271585146</v>
      </c>
      <c r="CG415" s="435">
        <v>3.2440968840508195</v>
      </c>
      <c r="CH415" s="363">
        <v>3.2544694965164931</v>
      </c>
      <c r="CI415" s="362">
        <v>1.012657774283872</v>
      </c>
      <c r="CJ415" s="362">
        <v>1.0254757678175654</v>
      </c>
      <c r="CK415" s="362">
        <v>1.0384560086201806</v>
      </c>
      <c r="CL415" s="363">
        <v>1.0316286159810726</v>
      </c>
      <c r="CM415" s="363">
        <v>1.024846110453081</v>
      </c>
      <c r="CN415" s="363">
        <v>1.0215734451010967</v>
      </c>
      <c r="CO415" s="363">
        <v>1.0183112304288748</v>
      </c>
      <c r="CP415" s="363">
        <v>1.0150594330640121</v>
      </c>
      <c r="CQ415" s="363">
        <v>1.0118180197406743</v>
      </c>
      <c r="CR415" s="363">
        <v>1.0085869572992561</v>
      </c>
      <c r="CS415" s="363">
        <v>1.0160474425776373</v>
      </c>
      <c r="CT415" s="363">
        <v>1.02356311282563</v>
      </c>
      <c r="CU415" s="363">
        <v>1.0311343762446787</v>
      </c>
      <c r="CV415" s="363">
        <v>1.0387616440556824</v>
      </c>
      <c r="CW415" s="363">
        <v>1.0464453305213253</v>
      </c>
      <c r="CX415" s="435">
        <v>1.050663360029602</v>
      </c>
      <c r="CY415" s="435">
        <v>1.0548813895378786</v>
      </c>
      <c r="CZ415" s="435">
        <v>1.0590994190461553</v>
      </c>
      <c r="DA415" s="435">
        <v>1.0633174485544319</v>
      </c>
      <c r="DB415" s="363">
        <v>1.0675354780627087</v>
      </c>
      <c r="DC415" s="435">
        <v>1.0709930155512664</v>
      </c>
      <c r="DD415" s="435">
        <v>1.0744505530398243</v>
      </c>
      <c r="DE415" s="435">
        <v>1.077908090528382</v>
      </c>
      <c r="DF415" s="435">
        <v>1.0813656280169399</v>
      </c>
      <c r="DG415" s="363">
        <v>1.0848231655054976</v>
      </c>
      <c r="DH415" s="362">
        <v>1.012657774283872</v>
      </c>
      <c r="DI415" s="362">
        <v>1.0254757678175654</v>
      </c>
      <c r="DJ415" s="362">
        <v>1.0384560086201806</v>
      </c>
      <c r="DK415" s="363">
        <v>1.0316286159810726</v>
      </c>
      <c r="DL415" s="363">
        <v>1.024846110453081</v>
      </c>
      <c r="DM415" s="363">
        <v>1.0215734451010967</v>
      </c>
      <c r="DN415" s="363">
        <v>1.0183112304288748</v>
      </c>
      <c r="DO415" s="363">
        <v>1.0150594330640121</v>
      </c>
      <c r="DP415" s="363">
        <v>1.0118180197406743</v>
      </c>
      <c r="DQ415" s="363">
        <v>1.0085869572992561</v>
      </c>
      <c r="DR415" s="363">
        <v>1.0160474425776373</v>
      </c>
      <c r="DS415" s="363">
        <v>1.02356311282563</v>
      </c>
      <c r="DT415" s="363">
        <v>1.0311343762446787</v>
      </c>
      <c r="DU415" s="363">
        <v>1.0387616440556824</v>
      </c>
      <c r="DV415" s="363">
        <v>1.0464453305213253</v>
      </c>
      <c r="DW415" s="435">
        <v>1.050663360029602</v>
      </c>
      <c r="DX415" s="435">
        <v>1.0548813895378786</v>
      </c>
      <c r="DY415" s="435">
        <v>1.0590994190461553</v>
      </c>
      <c r="DZ415" s="435">
        <v>1.0633174485544319</v>
      </c>
      <c r="EA415" s="363">
        <v>1.0675354780627087</v>
      </c>
      <c r="EB415" s="435">
        <v>1.0709930155512664</v>
      </c>
      <c r="EC415" s="435">
        <v>1.0744505530398243</v>
      </c>
      <c r="ED415" s="435">
        <v>1.077908090528382</v>
      </c>
      <c r="EE415" s="435">
        <v>1.0813656280169399</v>
      </c>
      <c r="EF415" s="363">
        <v>1.0848231655054976</v>
      </c>
      <c r="EG415" s="364">
        <v>0</v>
      </c>
      <c r="EH415" s="364">
        <v>0</v>
      </c>
      <c r="EI415" s="364">
        <v>0</v>
      </c>
      <c r="EJ415" s="365">
        <v>0</v>
      </c>
      <c r="EK415" s="365">
        <v>0</v>
      </c>
      <c r="EL415" s="365">
        <v>0</v>
      </c>
      <c r="EM415" s="365">
        <v>0</v>
      </c>
      <c r="EN415" s="365">
        <v>0</v>
      </c>
      <c r="EO415" s="365">
        <v>0</v>
      </c>
      <c r="EP415" s="365">
        <v>0</v>
      </c>
      <c r="EQ415" s="365">
        <v>0</v>
      </c>
      <c r="ER415" s="365">
        <v>0</v>
      </c>
      <c r="ES415" s="365">
        <v>0</v>
      </c>
      <c r="ET415" s="365">
        <v>0</v>
      </c>
      <c r="EU415" s="365">
        <v>0</v>
      </c>
      <c r="EV415" s="436">
        <v>0</v>
      </c>
      <c r="EW415" s="436">
        <v>0</v>
      </c>
      <c r="EX415" s="436">
        <v>0</v>
      </c>
      <c r="EY415" s="436">
        <v>0</v>
      </c>
      <c r="EZ415" s="365">
        <v>0</v>
      </c>
      <c r="FA415" s="436">
        <v>0</v>
      </c>
      <c r="FB415" s="436">
        <v>0</v>
      </c>
      <c r="FC415" s="436">
        <v>0</v>
      </c>
      <c r="FD415" s="436">
        <v>0</v>
      </c>
      <c r="FE415" s="365">
        <v>0</v>
      </c>
      <c r="FF415" s="364">
        <v>0</v>
      </c>
      <c r="FG415" s="364">
        <v>0</v>
      </c>
      <c r="FH415" s="364">
        <v>0</v>
      </c>
      <c r="FI415" s="365">
        <v>0</v>
      </c>
      <c r="FJ415" s="365">
        <v>0</v>
      </c>
      <c r="FK415" s="365">
        <v>0</v>
      </c>
      <c r="FL415" s="365">
        <v>0</v>
      </c>
      <c r="FM415" s="365">
        <v>0</v>
      </c>
      <c r="FN415" s="365">
        <v>0</v>
      </c>
      <c r="FO415" s="365">
        <v>0</v>
      </c>
      <c r="FP415" s="365">
        <v>0</v>
      </c>
      <c r="FQ415" s="365">
        <v>0</v>
      </c>
      <c r="FR415" s="365">
        <v>0</v>
      </c>
      <c r="FS415" s="365">
        <v>0</v>
      </c>
      <c r="FT415" s="365">
        <v>0</v>
      </c>
      <c r="FU415" s="436">
        <v>0</v>
      </c>
      <c r="FV415" s="436">
        <v>0</v>
      </c>
      <c r="FW415" s="436">
        <v>0</v>
      </c>
      <c r="FX415" s="436">
        <v>0</v>
      </c>
      <c r="FY415" s="365">
        <v>0</v>
      </c>
      <c r="FZ415" s="436">
        <v>0</v>
      </c>
      <c r="GA415" s="436">
        <v>0</v>
      </c>
      <c r="GB415" s="436">
        <v>0</v>
      </c>
      <c r="GC415" s="436">
        <v>0</v>
      </c>
      <c r="GD415" s="365">
        <v>0</v>
      </c>
    </row>
    <row r="416" spans="1:186" ht="15" x14ac:dyDescent="0.25">
      <c r="A416" s="357">
        <v>111</v>
      </c>
      <c r="B416" s="357">
        <v>111</v>
      </c>
      <c r="C416" s="357" t="s">
        <v>1326</v>
      </c>
      <c r="D416" s="2">
        <v>99712</v>
      </c>
      <c r="E416" s="268" t="s">
        <v>19</v>
      </c>
      <c r="F416" s="358" t="s">
        <v>915</v>
      </c>
      <c r="G416" s="49">
        <v>2</v>
      </c>
      <c r="H416" s="49">
        <v>1</v>
      </c>
      <c r="I416" s="49">
        <v>1</v>
      </c>
      <c r="J416" s="49">
        <v>0</v>
      </c>
      <c r="K416" s="49">
        <v>0</v>
      </c>
      <c r="L416" s="49">
        <v>6</v>
      </c>
      <c r="M416" s="49">
        <v>6</v>
      </c>
      <c r="N416" s="49">
        <v>0</v>
      </c>
      <c r="O416" s="49">
        <v>0</v>
      </c>
      <c r="P416" s="49">
        <v>0</v>
      </c>
      <c r="Q416" s="49">
        <v>6</v>
      </c>
      <c r="R416" s="49">
        <v>0</v>
      </c>
      <c r="S416" s="49">
        <v>1628.6666666666667</v>
      </c>
      <c r="T416" s="49">
        <v>1628.6666666666667</v>
      </c>
      <c r="U416" s="49">
        <v>0</v>
      </c>
      <c r="V416" s="49">
        <v>0</v>
      </c>
      <c r="W416" s="49">
        <v>0</v>
      </c>
      <c r="X416" s="49">
        <v>1628.6666666666667</v>
      </c>
      <c r="Y416" s="434">
        <v>9772</v>
      </c>
      <c r="Z416" s="434">
        <v>0</v>
      </c>
      <c r="AA416" s="49">
        <v>0</v>
      </c>
      <c r="AB416" s="49">
        <v>1</v>
      </c>
      <c r="AC416" s="49">
        <v>0</v>
      </c>
      <c r="AD416" s="285">
        <v>0</v>
      </c>
      <c r="AE416" s="285">
        <v>0</v>
      </c>
      <c r="AF416" s="359">
        <v>1</v>
      </c>
      <c r="AG416" s="360">
        <v>0</v>
      </c>
      <c r="AH416" s="360">
        <v>1</v>
      </c>
      <c r="AI416" s="361">
        <v>1</v>
      </c>
      <c r="AJ416" s="360">
        <v>0</v>
      </c>
      <c r="AK416" s="360">
        <v>0</v>
      </c>
      <c r="AL416" s="360">
        <v>0.90911424514573824</v>
      </c>
      <c r="AM416" s="360">
        <v>0.90911424514573824</v>
      </c>
      <c r="AN416" s="360">
        <v>0</v>
      </c>
      <c r="AO416" s="360">
        <v>0</v>
      </c>
      <c r="AP416" s="360">
        <v>0.91245411038790925</v>
      </c>
      <c r="AQ416" s="360">
        <v>0.91245411038790925</v>
      </c>
      <c r="AR416" s="360">
        <v>0</v>
      </c>
      <c r="AS416" s="360">
        <v>0</v>
      </c>
      <c r="AT416" s="360">
        <v>0</v>
      </c>
      <c r="AU416" s="360">
        <v>0.82648871072690544</v>
      </c>
      <c r="AV416" s="360">
        <v>0.86681754733851879</v>
      </c>
      <c r="AW416" s="360">
        <v>0.90911424514573824</v>
      </c>
      <c r="AX416" s="360">
        <v>0.95347482669745309</v>
      </c>
      <c r="AY416" s="360">
        <v>1</v>
      </c>
      <c r="AZ416" s="360">
        <v>0.83257250356379087</v>
      </c>
      <c r="BA416" s="360">
        <v>0.87159864792961517</v>
      </c>
      <c r="BB416" s="360">
        <v>0.91245411038790925</v>
      </c>
      <c r="BC416" s="360">
        <v>0.9552246387043779</v>
      </c>
      <c r="BD416" s="360">
        <v>1</v>
      </c>
      <c r="BE416" s="360">
        <v>0</v>
      </c>
      <c r="BF416" s="360">
        <v>0</v>
      </c>
      <c r="BG416" s="360">
        <v>0</v>
      </c>
      <c r="BH416" s="360">
        <v>0</v>
      </c>
      <c r="BI416" s="360">
        <v>0</v>
      </c>
      <c r="BJ416" s="362">
        <v>1.0134066054705759</v>
      </c>
      <c r="BK416" s="362">
        <v>1.0269929480113955</v>
      </c>
      <c r="BL416" s="362">
        <v>1.040761437286448</v>
      </c>
      <c r="BM416" s="363">
        <v>1.0339188874653549</v>
      </c>
      <c r="BN416" s="363">
        <v>1.0271213244071997</v>
      </c>
      <c r="BO416" s="363">
        <v>1.0238413935606208</v>
      </c>
      <c r="BP416" s="363">
        <v>1.02057193659488</v>
      </c>
      <c r="BQ416" s="363">
        <v>1.0173129200634858</v>
      </c>
      <c r="BR416" s="363">
        <v>1.014064310626752</v>
      </c>
      <c r="BS416" s="363">
        <v>1.0108260750514568</v>
      </c>
      <c r="BT416" s="363">
        <v>1.018303123011822</v>
      </c>
      <c r="BU416" s="363">
        <v>1.0258354784554244</v>
      </c>
      <c r="BV416" s="363">
        <v>1.0334235504899383</v>
      </c>
      <c r="BW416" s="363">
        <v>1.0410677512491946</v>
      </c>
      <c r="BX416" s="363">
        <v>1.0487684959155639</v>
      </c>
      <c r="BY416" s="435">
        <v>1.05299588967814</v>
      </c>
      <c r="BZ416" s="435">
        <v>1.057223283440716</v>
      </c>
      <c r="CA416" s="435">
        <v>1.0614506772032923</v>
      </c>
      <c r="CB416" s="435">
        <v>1.0656780709658684</v>
      </c>
      <c r="CC416" s="363">
        <v>1.0699054647284445</v>
      </c>
      <c r="CD416" s="435">
        <v>1.0733706781377681</v>
      </c>
      <c r="CE416" s="435">
        <v>1.0768358915470915</v>
      </c>
      <c r="CF416" s="435">
        <v>1.0803011049564151</v>
      </c>
      <c r="CG416" s="435">
        <v>1.0837663183657384</v>
      </c>
      <c r="CH416" s="363">
        <v>1.087231531775062</v>
      </c>
      <c r="CI416" s="362">
        <v>1.0134066054705759</v>
      </c>
      <c r="CJ416" s="362">
        <v>1.0269929480113955</v>
      </c>
      <c r="CK416" s="362">
        <v>1.040761437286448</v>
      </c>
      <c r="CL416" s="363">
        <v>1.0339188874653549</v>
      </c>
      <c r="CM416" s="363">
        <v>1.0271213244071997</v>
      </c>
      <c r="CN416" s="363">
        <v>1.0238413935606208</v>
      </c>
      <c r="CO416" s="363">
        <v>1.02057193659488</v>
      </c>
      <c r="CP416" s="363">
        <v>1.0173129200634858</v>
      </c>
      <c r="CQ416" s="363">
        <v>1.014064310626752</v>
      </c>
      <c r="CR416" s="363">
        <v>1.0108260750514568</v>
      </c>
      <c r="CS416" s="363">
        <v>1.018303123011822</v>
      </c>
      <c r="CT416" s="363">
        <v>1.0258354784554244</v>
      </c>
      <c r="CU416" s="363">
        <v>1.0334235504899383</v>
      </c>
      <c r="CV416" s="363">
        <v>1.0410677512491946</v>
      </c>
      <c r="CW416" s="363">
        <v>1.0487684959155639</v>
      </c>
      <c r="CX416" s="435">
        <v>1.05299588967814</v>
      </c>
      <c r="CY416" s="435">
        <v>1.057223283440716</v>
      </c>
      <c r="CZ416" s="435">
        <v>1.0614506772032923</v>
      </c>
      <c r="DA416" s="435">
        <v>1.0656780709658684</v>
      </c>
      <c r="DB416" s="363">
        <v>1.0699054647284445</v>
      </c>
      <c r="DC416" s="435">
        <v>1.0733706781377681</v>
      </c>
      <c r="DD416" s="435">
        <v>1.0768358915470915</v>
      </c>
      <c r="DE416" s="435">
        <v>1.0803011049564151</v>
      </c>
      <c r="DF416" s="435">
        <v>1.0837663183657384</v>
      </c>
      <c r="DG416" s="363">
        <v>1.087231531775062</v>
      </c>
      <c r="DH416" s="362">
        <v>0</v>
      </c>
      <c r="DI416" s="362">
        <v>0</v>
      </c>
      <c r="DJ416" s="362">
        <v>0</v>
      </c>
      <c r="DK416" s="363">
        <v>0</v>
      </c>
      <c r="DL416" s="363">
        <v>0</v>
      </c>
      <c r="DM416" s="363">
        <v>0</v>
      </c>
      <c r="DN416" s="363">
        <v>0</v>
      </c>
      <c r="DO416" s="363">
        <v>0</v>
      </c>
      <c r="DP416" s="363">
        <v>0</v>
      </c>
      <c r="DQ416" s="363">
        <v>0</v>
      </c>
      <c r="DR416" s="363">
        <v>0</v>
      </c>
      <c r="DS416" s="363">
        <v>0</v>
      </c>
      <c r="DT416" s="363">
        <v>0</v>
      </c>
      <c r="DU416" s="363">
        <v>0</v>
      </c>
      <c r="DV416" s="363">
        <v>0</v>
      </c>
      <c r="DW416" s="435">
        <v>0</v>
      </c>
      <c r="DX416" s="435">
        <v>0</v>
      </c>
      <c r="DY416" s="435">
        <v>0</v>
      </c>
      <c r="DZ416" s="435">
        <v>0</v>
      </c>
      <c r="EA416" s="363">
        <v>0</v>
      </c>
      <c r="EB416" s="435">
        <v>0</v>
      </c>
      <c r="EC416" s="435">
        <v>0</v>
      </c>
      <c r="ED416" s="435">
        <v>0</v>
      </c>
      <c r="EE416" s="435">
        <v>0</v>
      </c>
      <c r="EF416" s="363">
        <v>0</v>
      </c>
      <c r="EG416" s="364">
        <v>0</v>
      </c>
      <c r="EH416" s="364">
        <v>0</v>
      </c>
      <c r="EI416" s="364">
        <v>0</v>
      </c>
      <c r="EJ416" s="365">
        <v>0</v>
      </c>
      <c r="EK416" s="365">
        <v>0</v>
      </c>
      <c r="EL416" s="365">
        <v>0</v>
      </c>
      <c r="EM416" s="365">
        <v>0</v>
      </c>
      <c r="EN416" s="365">
        <v>0</v>
      </c>
      <c r="EO416" s="365">
        <v>0</v>
      </c>
      <c r="EP416" s="365">
        <v>0</v>
      </c>
      <c r="EQ416" s="365">
        <v>0</v>
      </c>
      <c r="ER416" s="365">
        <v>0</v>
      </c>
      <c r="ES416" s="365">
        <v>0</v>
      </c>
      <c r="ET416" s="365">
        <v>0</v>
      </c>
      <c r="EU416" s="365">
        <v>0</v>
      </c>
      <c r="EV416" s="436">
        <v>0</v>
      </c>
      <c r="EW416" s="436">
        <v>0</v>
      </c>
      <c r="EX416" s="436">
        <v>0</v>
      </c>
      <c r="EY416" s="436">
        <v>0</v>
      </c>
      <c r="EZ416" s="365">
        <v>0</v>
      </c>
      <c r="FA416" s="436">
        <v>0</v>
      </c>
      <c r="FB416" s="436">
        <v>0</v>
      </c>
      <c r="FC416" s="436">
        <v>0</v>
      </c>
      <c r="FD416" s="436">
        <v>0</v>
      </c>
      <c r="FE416" s="365">
        <v>0</v>
      </c>
      <c r="FF416" s="364">
        <v>0</v>
      </c>
      <c r="FG416" s="364">
        <v>0</v>
      </c>
      <c r="FH416" s="364">
        <v>0</v>
      </c>
      <c r="FI416" s="365">
        <v>0</v>
      </c>
      <c r="FJ416" s="365">
        <v>0</v>
      </c>
      <c r="FK416" s="365">
        <v>0</v>
      </c>
      <c r="FL416" s="365">
        <v>0</v>
      </c>
      <c r="FM416" s="365">
        <v>0</v>
      </c>
      <c r="FN416" s="365">
        <v>0</v>
      </c>
      <c r="FO416" s="365">
        <v>0</v>
      </c>
      <c r="FP416" s="365">
        <v>0</v>
      </c>
      <c r="FQ416" s="365">
        <v>0</v>
      </c>
      <c r="FR416" s="365">
        <v>0</v>
      </c>
      <c r="FS416" s="365">
        <v>0</v>
      </c>
      <c r="FT416" s="365">
        <v>0</v>
      </c>
      <c r="FU416" s="436">
        <v>0</v>
      </c>
      <c r="FV416" s="436">
        <v>0</v>
      </c>
      <c r="FW416" s="436">
        <v>0</v>
      </c>
      <c r="FX416" s="436">
        <v>0</v>
      </c>
      <c r="FY416" s="365">
        <v>0</v>
      </c>
      <c r="FZ416" s="436">
        <v>0</v>
      </c>
      <c r="GA416" s="436">
        <v>0</v>
      </c>
      <c r="GB416" s="436">
        <v>0</v>
      </c>
      <c r="GC416" s="436">
        <v>0</v>
      </c>
      <c r="GD416" s="365">
        <v>0</v>
      </c>
    </row>
    <row r="417" spans="1:186" ht="15" x14ac:dyDescent="0.25">
      <c r="A417" s="357">
        <v>112</v>
      </c>
      <c r="B417" s="357">
        <v>111</v>
      </c>
      <c r="C417" s="357" t="s">
        <v>1327</v>
      </c>
      <c r="D417" s="2">
        <v>99712</v>
      </c>
      <c r="E417" s="268" t="s">
        <v>19</v>
      </c>
      <c r="F417" s="358" t="s">
        <v>915</v>
      </c>
      <c r="G417" s="49">
        <v>0</v>
      </c>
      <c r="H417" s="49">
        <v>1</v>
      </c>
      <c r="I417" s="49">
        <v>0</v>
      </c>
      <c r="J417" s="49">
        <v>1</v>
      </c>
      <c r="K417" s="49">
        <v>0</v>
      </c>
      <c r="L417" s="49">
        <v>5</v>
      </c>
      <c r="M417" s="49">
        <v>5</v>
      </c>
      <c r="N417" s="49">
        <v>0</v>
      </c>
      <c r="O417" s="49">
        <v>0</v>
      </c>
      <c r="P417" s="49">
        <v>0</v>
      </c>
      <c r="Q417" s="49">
        <v>5</v>
      </c>
      <c r="R417" s="49">
        <v>0</v>
      </c>
      <c r="S417" s="49">
        <v>718.4</v>
      </c>
      <c r="T417" s="49">
        <v>718.4</v>
      </c>
      <c r="U417" s="49">
        <v>0</v>
      </c>
      <c r="V417" s="49">
        <v>0</v>
      </c>
      <c r="W417" s="49">
        <v>0</v>
      </c>
      <c r="X417" s="49">
        <v>718.4</v>
      </c>
      <c r="Y417" s="434">
        <v>3592</v>
      </c>
      <c r="Z417" s="434">
        <v>0</v>
      </c>
      <c r="AA417" s="49">
        <v>0</v>
      </c>
      <c r="AB417" s="49">
        <v>1</v>
      </c>
      <c r="AC417" s="49">
        <v>0</v>
      </c>
      <c r="AD417" s="285">
        <v>0</v>
      </c>
      <c r="AE417" s="285">
        <v>0</v>
      </c>
      <c r="AF417" s="359">
        <v>1</v>
      </c>
      <c r="AG417" s="360">
        <v>0</v>
      </c>
      <c r="AH417" s="360">
        <v>0</v>
      </c>
      <c r="AI417" s="361">
        <v>0</v>
      </c>
      <c r="AJ417" s="360">
        <v>0</v>
      </c>
      <c r="AK417" s="360">
        <v>0</v>
      </c>
      <c r="AL417" s="360">
        <v>0.90911424514573824</v>
      </c>
      <c r="AM417" s="360">
        <v>0.90911424514573824</v>
      </c>
      <c r="AN417" s="360">
        <v>0</v>
      </c>
      <c r="AO417" s="360">
        <v>0</v>
      </c>
      <c r="AP417" s="360">
        <v>0</v>
      </c>
      <c r="AQ417" s="360">
        <v>0</v>
      </c>
      <c r="AR417" s="360">
        <v>0</v>
      </c>
      <c r="AS417" s="360">
        <v>0</v>
      </c>
      <c r="AT417" s="360">
        <v>0</v>
      </c>
      <c r="AU417" s="360">
        <v>0.82648871072690544</v>
      </c>
      <c r="AV417" s="360">
        <v>0.86681754733851879</v>
      </c>
      <c r="AW417" s="360">
        <v>0.90911424514573824</v>
      </c>
      <c r="AX417" s="360">
        <v>0.95347482669745309</v>
      </c>
      <c r="AY417" s="360">
        <v>1</v>
      </c>
      <c r="AZ417" s="360">
        <v>0</v>
      </c>
      <c r="BA417" s="360">
        <v>0</v>
      </c>
      <c r="BB417" s="360">
        <v>0</v>
      </c>
      <c r="BC417" s="360">
        <v>0</v>
      </c>
      <c r="BD417" s="360">
        <v>0</v>
      </c>
      <c r="BE417" s="360">
        <v>0</v>
      </c>
      <c r="BF417" s="360">
        <v>0</v>
      </c>
      <c r="BG417" s="360">
        <v>0</v>
      </c>
      <c r="BH417" s="360">
        <v>0</v>
      </c>
      <c r="BI417" s="360">
        <v>0</v>
      </c>
      <c r="BJ417" s="362">
        <v>1.0134066054705759</v>
      </c>
      <c r="BK417" s="362">
        <v>1.0269929480113955</v>
      </c>
      <c r="BL417" s="362">
        <v>1.040761437286448</v>
      </c>
      <c r="BM417" s="363">
        <v>1.0339188874653549</v>
      </c>
      <c r="BN417" s="363">
        <v>1.0271213244071997</v>
      </c>
      <c r="BO417" s="363">
        <v>1.0238413935606208</v>
      </c>
      <c r="BP417" s="363">
        <v>1.02057193659488</v>
      </c>
      <c r="BQ417" s="363">
        <v>1.0173129200634858</v>
      </c>
      <c r="BR417" s="363">
        <v>1.014064310626752</v>
      </c>
      <c r="BS417" s="363">
        <v>1.0108260750514568</v>
      </c>
      <c r="BT417" s="363">
        <v>1.018303123011822</v>
      </c>
      <c r="BU417" s="363">
        <v>1.0258354784554244</v>
      </c>
      <c r="BV417" s="363">
        <v>1.0334235504899383</v>
      </c>
      <c r="BW417" s="363">
        <v>1.0410677512491946</v>
      </c>
      <c r="BX417" s="363">
        <v>1.0487684959155639</v>
      </c>
      <c r="BY417" s="435">
        <v>1.05299588967814</v>
      </c>
      <c r="BZ417" s="435">
        <v>1.057223283440716</v>
      </c>
      <c r="CA417" s="435">
        <v>1.0614506772032923</v>
      </c>
      <c r="CB417" s="435">
        <v>1.0656780709658684</v>
      </c>
      <c r="CC417" s="363">
        <v>1.0699054647284445</v>
      </c>
      <c r="CD417" s="435">
        <v>1.0733706781377681</v>
      </c>
      <c r="CE417" s="435">
        <v>1.0768358915470915</v>
      </c>
      <c r="CF417" s="435">
        <v>1.0803011049564151</v>
      </c>
      <c r="CG417" s="435">
        <v>1.0837663183657384</v>
      </c>
      <c r="CH417" s="363">
        <v>1.087231531775062</v>
      </c>
      <c r="CI417" s="362">
        <v>0</v>
      </c>
      <c r="CJ417" s="362">
        <v>0</v>
      </c>
      <c r="CK417" s="362">
        <v>0</v>
      </c>
      <c r="CL417" s="363">
        <v>0</v>
      </c>
      <c r="CM417" s="363">
        <v>0</v>
      </c>
      <c r="CN417" s="363">
        <v>0</v>
      </c>
      <c r="CO417" s="363">
        <v>0</v>
      </c>
      <c r="CP417" s="363">
        <v>0</v>
      </c>
      <c r="CQ417" s="363">
        <v>0</v>
      </c>
      <c r="CR417" s="363">
        <v>0</v>
      </c>
      <c r="CS417" s="363">
        <v>0</v>
      </c>
      <c r="CT417" s="363">
        <v>0</v>
      </c>
      <c r="CU417" s="363">
        <v>0</v>
      </c>
      <c r="CV417" s="363">
        <v>0</v>
      </c>
      <c r="CW417" s="363">
        <v>0</v>
      </c>
      <c r="CX417" s="435">
        <v>0</v>
      </c>
      <c r="CY417" s="435">
        <v>0</v>
      </c>
      <c r="CZ417" s="435">
        <v>0</v>
      </c>
      <c r="DA417" s="435">
        <v>0</v>
      </c>
      <c r="DB417" s="363">
        <v>0</v>
      </c>
      <c r="DC417" s="435">
        <v>0</v>
      </c>
      <c r="DD417" s="435">
        <v>0</v>
      </c>
      <c r="DE417" s="435">
        <v>0</v>
      </c>
      <c r="DF417" s="435">
        <v>0</v>
      </c>
      <c r="DG417" s="363">
        <v>0</v>
      </c>
      <c r="DH417" s="362">
        <v>0</v>
      </c>
      <c r="DI417" s="362">
        <v>0</v>
      </c>
      <c r="DJ417" s="362">
        <v>0</v>
      </c>
      <c r="DK417" s="363">
        <v>0</v>
      </c>
      <c r="DL417" s="363">
        <v>0</v>
      </c>
      <c r="DM417" s="363">
        <v>0</v>
      </c>
      <c r="DN417" s="363">
        <v>0</v>
      </c>
      <c r="DO417" s="363">
        <v>0</v>
      </c>
      <c r="DP417" s="363">
        <v>0</v>
      </c>
      <c r="DQ417" s="363">
        <v>0</v>
      </c>
      <c r="DR417" s="363">
        <v>0</v>
      </c>
      <c r="DS417" s="363">
        <v>0</v>
      </c>
      <c r="DT417" s="363">
        <v>0</v>
      </c>
      <c r="DU417" s="363">
        <v>0</v>
      </c>
      <c r="DV417" s="363">
        <v>0</v>
      </c>
      <c r="DW417" s="435">
        <v>0</v>
      </c>
      <c r="DX417" s="435">
        <v>0</v>
      </c>
      <c r="DY417" s="435">
        <v>0</v>
      </c>
      <c r="DZ417" s="435">
        <v>0</v>
      </c>
      <c r="EA417" s="363">
        <v>0</v>
      </c>
      <c r="EB417" s="435">
        <v>0</v>
      </c>
      <c r="EC417" s="435">
        <v>0</v>
      </c>
      <c r="ED417" s="435">
        <v>0</v>
      </c>
      <c r="EE417" s="435">
        <v>0</v>
      </c>
      <c r="EF417" s="363">
        <v>0</v>
      </c>
      <c r="EG417" s="364">
        <v>0</v>
      </c>
      <c r="EH417" s="364">
        <v>0</v>
      </c>
      <c r="EI417" s="364">
        <v>0</v>
      </c>
      <c r="EJ417" s="365">
        <v>0</v>
      </c>
      <c r="EK417" s="365">
        <v>0</v>
      </c>
      <c r="EL417" s="365">
        <v>0</v>
      </c>
      <c r="EM417" s="365">
        <v>0</v>
      </c>
      <c r="EN417" s="365">
        <v>0</v>
      </c>
      <c r="EO417" s="365">
        <v>0</v>
      </c>
      <c r="EP417" s="365">
        <v>0</v>
      </c>
      <c r="EQ417" s="365">
        <v>0</v>
      </c>
      <c r="ER417" s="365">
        <v>0</v>
      </c>
      <c r="ES417" s="365">
        <v>0</v>
      </c>
      <c r="ET417" s="365">
        <v>0</v>
      </c>
      <c r="EU417" s="365">
        <v>0</v>
      </c>
      <c r="EV417" s="436">
        <v>0</v>
      </c>
      <c r="EW417" s="436">
        <v>0</v>
      </c>
      <c r="EX417" s="436">
        <v>0</v>
      </c>
      <c r="EY417" s="436">
        <v>0</v>
      </c>
      <c r="EZ417" s="365">
        <v>0</v>
      </c>
      <c r="FA417" s="436">
        <v>0</v>
      </c>
      <c r="FB417" s="436">
        <v>0</v>
      </c>
      <c r="FC417" s="436">
        <v>0</v>
      </c>
      <c r="FD417" s="436">
        <v>0</v>
      </c>
      <c r="FE417" s="365">
        <v>0</v>
      </c>
      <c r="FF417" s="364">
        <v>0</v>
      </c>
      <c r="FG417" s="364">
        <v>0</v>
      </c>
      <c r="FH417" s="364">
        <v>0</v>
      </c>
      <c r="FI417" s="365">
        <v>0</v>
      </c>
      <c r="FJ417" s="365">
        <v>0</v>
      </c>
      <c r="FK417" s="365">
        <v>0</v>
      </c>
      <c r="FL417" s="365">
        <v>0</v>
      </c>
      <c r="FM417" s="365">
        <v>0</v>
      </c>
      <c r="FN417" s="365">
        <v>0</v>
      </c>
      <c r="FO417" s="365">
        <v>0</v>
      </c>
      <c r="FP417" s="365">
        <v>0</v>
      </c>
      <c r="FQ417" s="365">
        <v>0</v>
      </c>
      <c r="FR417" s="365">
        <v>0</v>
      </c>
      <c r="FS417" s="365">
        <v>0</v>
      </c>
      <c r="FT417" s="365">
        <v>0</v>
      </c>
      <c r="FU417" s="436">
        <v>0</v>
      </c>
      <c r="FV417" s="436">
        <v>0</v>
      </c>
      <c r="FW417" s="436">
        <v>0</v>
      </c>
      <c r="FX417" s="436">
        <v>0</v>
      </c>
      <c r="FY417" s="365">
        <v>0</v>
      </c>
      <c r="FZ417" s="436">
        <v>0</v>
      </c>
      <c r="GA417" s="436">
        <v>0</v>
      </c>
      <c r="GB417" s="436">
        <v>0</v>
      </c>
      <c r="GC417" s="436">
        <v>0</v>
      </c>
      <c r="GD417" s="365">
        <v>0</v>
      </c>
    </row>
    <row r="418" spans="1:186" ht="15" x14ac:dyDescent="0.25">
      <c r="A418" s="357">
        <v>118</v>
      </c>
      <c r="B418" s="357">
        <v>111</v>
      </c>
      <c r="C418" s="357" t="s">
        <v>1328</v>
      </c>
      <c r="D418" s="2">
        <v>99712</v>
      </c>
      <c r="E418" s="268" t="s">
        <v>19</v>
      </c>
      <c r="F418" s="358" t="s">
        <v>915</v>
      </c>
      <c r="G418" s="49">
        <v>21</v>
      </c>
      <c r="H418" s="49">
        <v>23</v>
      </c>
      <c r="I418" s="49">
        <v>13</v>
      </c>
      <c r="J418" s="49">
        <v>10</v>
      </c>
      <c r="K418" s="49">
        <v>0</v>
      </c>
      <c r="L418" s="49">
        <v>3</v>
      </c>
      <c r="M418" s="49">
        <v>3</v>
      </c>
      <c r="N418" s="49">
        <v>0</v>
      </c>
      <c r="O418" s="49">
        <v>0</v>
      </c>
      <c r="P418" s="49">
        <v>0</v>
      </c>
      <c r="Q418" s="49">
        <v>3</v>
      </c>
      <c r="R418" s="49">
        <v>0</v>
      </c>
      <c r="S418" s="49">
        <v>633</v>
      </c>
      <c r="T418" s="49">
        <v>633</v>
      </c>
      <c r="U418" s="49">
        <v>0</v>
      </c>
      <c r="V418" s="49">
        <v>0</v>
      </c>
      <c r="W418" s="49">
        <v>0</v>
      </c>
      <c r="X418" s="49">
        <v>633</v>
      </c>
      <c r="Y418" s="434">
        <v>1899</v>
      </c>
      <c r="Z418" s="434">
        <v>0</v>
      </c>
      <c r="AA418" s="49">
        <v>0</v>
      </c>
      <c r="AB418" s="49">
        <v>23</v>
      </c>
      <c r="AC418" s="49">
        <v>0</v>
      </c>
      <c r="AD418" s="285">
        <v>0</v>
      </c>
      <c r="AE418" s="285">
        <v>0</v>
      </c>
      <c r="AF418" s="359">
        <v>23</v>
      </c>
      <c r="AG418" s="360">
        <v>0</v>
      </c>
      <c r="AH418" s="360">
        <v>13</v>
      </c>
      <c r="AI418" s="361">
        <v>13</v>
      </c>
      <c r="AJ418" s="360">
        <v>0</v>
      </c>
      <c r="AK418" s="360">
        <v>0</v>
      </c>
      <c r="AL418" s="360">
        <v>20.909627638351978</v>
      </c>
      <c r="AM418" s="360">
        <v>20.909627638351978</v>
      </c>
      <c r="AN418" s="360">
        <v>0</v>
      </c>
      <c r="AO418" s="360">
        <v>0</v>
      </c>
      <c r="AP418" s="360">
        <v>11.861903435042819</v>
      </c>
      <c r="AQ418" s="360">
        <v>11.861903435042819</v>
      </c>
      <c r="AR418" s="360">
        <v>0</v>
      </c>
      <c r="AS418" s="360">
        <v>0</v>
      </c>
      <c r="AT418" s="360">
        <v>0</v>
      </c>
      <c r="AU418" s="360">
        <v>19.009240346718826</v>
      </c>
      <c r="AV418" s="360">
        <v>19.936803588785931</v>
      </c>
      <c r="AW418" s="360">
        <v>20.909627638351978</v>
      </c>
      <c r="AX418" s="360">
        <v>21.929921014041422</v>
      </c>
      <c r="AY418" s="360">
        <v>23</v>
      </c>
      <c r="AZ418" s="360">
        <v>10.82344254632928</v>
      </c>
      <c r="BA418" s="360">
        <v>11.330782423084997</v>
      </c>
      <c r="BB418" s="360">
        <v>11.861903435042819</v>
      </c>
      <c r="BC418" s="360">
        <v>12.417920303156913</v>
      </c>
      <c r="BD418" s="360">
        <v>13</v>
      </c>
      <c r="BE418" s="360">
        <v>0</v>
      </c>
      <c r="BF418" s="360">
        <v>0</v>
      </c>
      <c r="BG418" s="360">
        <v>0</v>
      </c>
      <c r="BH418" s="360">
        <v>0</v>
      </c>
      <c r="BI418" s="360">
        <v>0</v>
      </c>
      <c r="BJ418" s="362">
        <v>23.308351925823246</v>
      </c>
      <c r="BK418" s="362">
        <v>23.620837804262095</v>
      </c>
      <c r="BL418" s="362">
        <v>23.937513057588305</v>
      </c>
      <c r="BM418" s="363">
        <v>23.780134411703166</v>
      </c>
      <c r="BN418" s="363">
        <v>23.623790461365598</v>
      </c>
      <c r="BO418" s="363">
        <v>23.548352051894277</v>
      </c>
      <c r="BP418" s="363">
        <v>23.473154541682241</v>
      </c>
      <c r="BQ418" s="363">
        <v>23.398197161460175</v>
      </c>
      <c r="BR418" s="363">
        <v>23.323479144415298</v>
      </c>
      <c r="BS418" s="363">
        <v>23.248999726183509</v>
      </c>
      <c r="BT418" s="363">
        <v>23.42097182927191</v>
      </c>
      <c r="BU418" s="363">
        <v>23.594216004474763</v>
      </c>
      <c r="BV418" s="363">
        <v>23.768741661268582</v>
      </c>
      <c r="BW418" s="363">
        <v>23.944558278731478</v>
      </c>
      <c r="BX418" s="363">
        <v>24.121675406057971</v>
      </c>
      <c r="BY418" s="435">
        <v>24.218905462597224</v>
      </c>
      <c r="BZ418" s="435">
        <v>24.316135519136473</v>
      </c>
      <c r="CA418" s="435">
        <v>24.413365575675726</v>
      </c>
      <c r="CB418" s="435">
        <v>24.510595632214976</v>
      </c>
      <c r="CC418" s="363">
        <v>24.607825688754229</v>
      </c>
      <c r="CD418" s="435">
        <v>24.687525597168669</v>
      </c>
      <c r="CE418" s="435">
        <v>24.767225505583109</v>
      </c>
      <c r="CF418" s="435">
        <v>24.846925413997546</v>
      </c>
      <c r="CG418" s="435">
        <v>24.926625322411986</v>
      </c>
      <c r="CH418" s="363">
        <v>25.006325230826427</v>
      </c>
      <c r="CI418" s="362">
        <v>13.174285871117487</v>
      </c>
      <c r="CJ418" s="362">
        <v>13.350908324148142</v>
      </c>
      <c r="CK418" s="362">
        <v>13.529898684723824</v>
      </c>
      <c r="CL418" s="363">
        <v>13.440945537049615</v>
      </c>
      <c r="CM418" s="363">
        <v>13.352577217293597</v>
      </c>
      <c r="CN418" s="363">
        <v>13.30993811628807</v>
      </c>
      <c r="CO418" s="363">
        <v>13.267435175733439</v>
      </c>
      <c r="CP418" s="363">
        <v>13.225067960825315</v>
      </c>
      <c r="CQ418" s="363">
        <v>13.182836038147776</v>
      </c>
      <c r="CR418" s="363">
        <v>13.140738975668938</v>
      </c>
      <c r="CS418" s="363">
        <v>13.237940599153687</v>
      </c>
      <c r="CT418" s="363">
        <v>13.335861219920517</v>
      </c>
      <c r="CU418" s="363">
        <v>13.434506156369197</v>
      </c>
      <c r="CV418" s="363">
        <v>13.53388076623953</v>
      </c>
      <c r="CW418" s="363">
        <v>13.633990446902331</v>
      </c>
      <c r="CX418" s="435">
        <v>13.68894656581582</v>
      </c>
      <c r="CY418" s="435">
        <v>13.74390268472931</v>
      </c>
      <c r="CZ418" s="435">
        <v>13.798858803642801</v>
      </c>
      <c r="DA418" s="435">
        <v>13.853814922556291</v>
      </c>
      <c r="DB418" s="363">
        <v>13.90877104146978</v>
      </c>
      <c r="DC418" s="435">
        <v>13.953818815790985</v>
      </c>
      <c r="DD418" s="435">
        <v>13.99886659011219</v>
      </c>
      <c r="DE418" s="435">
        <v>14.043914364433396</v>
      </c>
      <c r="DF418" s="435">
        <v>14.088962138754601</v>
      </c>
      <c r="DG418" s="363">
        <v>14.134009913075806</v>
      </c>
      <c r="DH418" s="362">
        <v>0</v>
      </c>
      <c r="DI418" s="362">
        <v>0</v>
      </c>
      <c r="DJ418" s="362">
        <v>0</v>
      </c>
      <c r="DK418" s="363">
        <v>0</v>
      </c>
      <c r="DL418" s="363">
        <v>0</v>
      </c>
      <c r="DM418" s="363">
        <v>0</v>
      </c>
      <c r="DN418" s="363">
        <v>0</v>
      </c>
      <c r="DO418" s="363">
        <v>0</v>
      </c>
      <c r="DP418" s="363">
        <v>0</v>
      </c>
      <c r="DQ418" s="363">
        <v>0</v>
      </c>
      <c r="DR418" s="363">
        <v>0</v>
      </c>
      <c r="DS418" s="363">
        <v>0</v>
      </c>
      <c r="DT418" s="363">
        <v>0</v>
      </c>
      <c r="DU418" s="363">
        <v>0</v>
      </c>
      <c r="DV418" s="363">
        <v>0</v>
      </c>
      <c r="DW418" s="435">
        <v>0</v>
      </c>
      <c r="DX418" s="435">
        <v>0</v>
      </c>
      <c r="DY418" s="435">
        <v>0</v>
      </c>
      <c r="DZ418" s="435">
        <v>0</v>
      </c>
      <c r="EA418" s="363">
        <v>0</v>
      </c>
      <c r="EB418" s="435">
        <v>0</v>
      </c>
      <c r="EC418" s="435">
        <v>0</v>
      </c>
      <c r="ED418" s="435">
        <v>0</v>
      </c>
      <c r="EE418" s="435">
        <v>0</v>
      </c>
      <c r="EF418" s="363">
        <v>0</v>
      </c>
      <c r="EG418" s="364">
        <v>0</v>
      </c>
      <c r="EH418" s="364">
        <v>0</v>
      </c>
      <c r="EI418" s="364">
        <v>0</v>
      </c>
      <c r="EJ418" s="365">
        <v>0</v>
      </c>
      <c r="EK418" s="365">
        <v>0</v>
      </c>
      <c r="EL418" s="365">
        <v>0</v>
      </c>
      <c r="EM418" s="365">
        <v>0</v>
      </c>
      <c r="EN418" s="365">
        <v>0</v>
      </c>
      <c r="EO418" s="365">
        <v>0</v>
      </c>
      <c r="EP418" s="365">
        <v>0</v>
      </c>
      <c r="EQ418" s="365">
        <v>0</v>
      </c>
      <c r="ER418" s="365">
        <v>0</v>
      </c>
      <c r="ES418" s="365">
        <v>0</v>
      </c>
      <c r="ET418" s="365">
        <v>0</v>
      </c>
      <c r="EU418" s="365">
        <v>0</v>
      </c>
      <c r="EV418" s="436">
        <v>0</v>
      </c>
      <c r="EW418" s="436">
        <v>0</v>
      </c>
      <c r="EX418" s="436">
        <v>0</v>
      </c>
      <c r="EY418" s="436">
        <v>0</v>
      </c>
      <c r="EZ418" s="365">
        <v>0</v>
      </c>
      <c r="FA418" s="436">
        <v>0</v>
      </c>
      <c r="FB418" s="436">
        <v>0</v>
      </c>
      <c r="FC418" s="436">
        <v>0</v>
      </c>
      <c r="FD418" s="436">
        <v>0</v>
      </c>
      <c r="FE418" s="365">
        <v>0</v>
      </c>
      <c r="FF418" s="364">
        <v>0</v>
      </c>
      <c r="FG418" s="364">
        <v>0</v>
      </c>
      <c r="FH418" s="364">
        <v>0</v>
      </c>
      <c r="FI418" s="365">
        <v>0</v>
      </c>
      <c r="FJ418" s="365">
        <v>0</v>
      </c>
      <c r="FK418" s="365">
        <v>0</v>
      </c>
      <c r="FL418" s="365">
        <v>0</v>
      </c>
      <c r="FM418" s="365">
        <v>0</v>
      </c>
      <c r="FN418" s="365">
        <v>0</v>
      </c>
      <c r="FO418" s="365">
        <v>0</v>
      </c>
      <c r="FP418" s="365">
        <v>0</v>
      </c>
      <c r="FQ418" s="365">
        <v>0</v>
      </c>
      <c r="FR418" s="365">
        <v>0</v>
      </c>
      <c r="FS418" s="365">
        <v>0</v>
      </c>
      <c r="FT418" s="365">
        <v>0</v>
      </c>
      <c r="FU418" s="436">
        <v>0</v>
      </c>
      <c r="FV418" s="436">
        <v>0</v>
      </c>
      <c r="FW418" s="436">
        <v>0</v>
      </c>
      <c r="FX418" s="436">
        <v>0</v>
      </c>
      <c r="FY418" s="365">
        <v>0</v>
      </c>
      <c r="FZ418" s="436">
        <v>0</v>
      </c>
      <c r="GA418" s="436">
        <v>0</v>
      </c>
      <c r="GB418" s="436">
        <v>0</v>
      </c>
      <c r="GC418" s="436">
        <v>0</v>
      </c>
      <c r="GD418" s="365">
        <v>0</v>
      </c>
    </row>
    <row r="419" spans="1:186" ht="15" x14ac:dyDescent="0.25">
      <c r="A419" s="357">
        <v>119</v>
      </c>
      <c r="B419" s="357">
        <v>111</v>
      </c>
      <c r="C419" s="357" t="s">
        <v>1329</v>
      </c>
      <c r="D419" s="2">
        <v>99712</v>
      </c>
      <c r="E419" s="268" t="s">
        <v>19</v>
      </c>
      <c r="F419" s="358" t="s">
        <v>915</v>
      </c>
      <c r="G419" s="49">
        <v>5</v>
      </c>
      <c r="H419" s="49">
        <v>6</v>
      </c>
      <c r="I419" s="49">
        <v>3</v>
      </c>
      <c r="J419" s="49">
        <v>3</v>
      </c>
      <c r="K419" s="49">
        <v>0</v>
      </c>
      <c r="L419" s="49">
        <v>19</v>
      </c>
      <c r="M419" s="49">
        <v>19</v>
      </c>
      <c r="N419" s="49">
        <v>1</v>
      </c>
      <c r="O419" s="49">
        <v>0</v>
      </c>
      <c r="P419" s="49">
        <v>0</v>
      </c>
      <c r="Q419" s="49">
        <v>20</v>
      </c>
      <c r="R419" s="49">
        <v>0</v>
      </c>
      <c r="S419" s="49">
        <v>928.36842105263156</v>
      </c>
      <c r="T419" s="49">
        <v>928.36842105263156</v>
      </c>
      <c r="U419" s="49">
        <v>480</v>
      </c>
      <c r="V419" s="49">
        <v>0</v>
      </c>
      <c r="W419" s="49">
        <v>0</v>
      </c>
      <c r="X419" s="49">
        <v>905.95</v>
      </c>
      <c r="Y419" s="434">
        <v>17639</v>
      </c>
      <c r="Z419" s="434">
        <v>480</v>
      </c>
      <c r="AA419" s="49">
        <v>0</v>
      </c>
      <c r="AB419" s="49">
        <v>6</v>
      </c>
      <c r="AC419" s="49">
        <v>0</v>
      </c>
      <c r="AD419" s="285">
        <v>1</v>
      </c>
      <c r="AE419" s="285">
        <v>0</v>
      </c>
      <c r="AF419" s="359">
        <v>7</v>
      </c>
      <c r="AG419" s="360">
        <v>0</v>
      </c>
      <c r="AH419" s="360">
        <v>3</v>
      </c>
      <c r="AI419" s="361">
        <v>3</v>
      </c>
      <c r="AJ419" s="360">
        <v>0</v>
      </c>
      <c r="AK419" s="360">
        <v>0</v>
      </c>
      <c r="AL419" s="360">
        <v>5.4546854708744297</v>
      </c>
      <c r="AM419" s="360">
        <v>5.4546854708744297</v>
      </c>
      <c r="AN419" s="360">
        <v>0</v>
      </c>
      <c r="AO419" s="360">
        <v>0</v>
      </c>
      <c r="AP419" s="360">
        <v>2.7373623311637276</v>
      </c>
      <c r="AQ419" s="360">
        <v>2.7373623311637276</v>
      </c>
      <c r="AR419" s="360">
        <v>0</v>
      </c>
      <c r="AS419" s="360">
        <v>0.92984135081383867</v>
      </c>
      <c r="AT419" s="360">
        <v>0</v>
      </c>
      <c r="AU419" s="360">
        <v>4.9589322643614322</v>
      </c>
      <c r="AV419" s="360">
        <v>5.2009052840311121</v>
      </c>
      <c r="AW419" s="360">
        <v>5.4546854708744297</v>
      </c>
      <c r="AX419" s="360">
        <v>5.7208489601847186</v>
      </c>
      <c r="AY419" s="360">
        <v>6</v>
      </c>
      <c r="AZ419" s="360">
        <v>2.4977175106913725</v>
      </c>
      <c r="BA419" s="360">
        <v>2.6147959437888453</v>
      </c>
      <c r="BB419" s="360">
        <v>2.7373623311637276</v>
      </c>
      <c r="BC419" s="360">
        <v>2.8656739161131335</v>
      </c>
      <c r="BD419" s="360">
        <v>3</v>
      </c>
      <c r="BE419" s="360">
        <v>0.86460493768330426</v>
      </c>
      <c r="BF419" s="360">
        <v>0.89663003695825327</v>
      </c>
      <c r="BG419" s="360">
        <v>0.92984135081383867</v>
      </c>
      <c r="BH419" s="360">
        <v>0.96428281681975381</v>
      </c>
      <c r="BI419" s="360">
        <v>1</v>
      </c>
      <c r="BJ419" s="362">
        <v>6.080439632823456</v>
      </c>
      <c r="BK419" s="362">
        <v>6.1619576880683731</v>
      </c>
      <c r="BL419" s="362">
        <v>6.2445686237186884</v>
      </c>
      <c r="BM419" s="363">
        <v>6.2035133247921301</v>
      </c>
      <c r="BN419" s="363">
        <v>6.1627279464431997</v>
      </c>
      <c r="BO419" s="363">
        <v>6.143048361363725</v>
      </c>
      <c r="BP419" s="363">
        <v>6.1234316195692804</v>
      </c>
      <c r="BQ419" s="363">
        <v>6.103877520380915</v>
      </c>
      <c r="BR419" s="363">
        <v>6.0843858637605122</v>
      </c>
      <c r="BS419" s="363">
        <v>6.0649564503087419</v>
      </c>
      <c r="BT419" s="363">
        <v>6.109818738070933</v>
      </c>
      <c r="BU419" s="363">
        <v>6.1550128707325467</v>
      </c>
      <c r="BV419" s="363">
        <v>6.2005413029396301</v>
      </c>
      <c r="BW419" s="363">
        <v>6.246406507495168</v>
      </c>
      <c r="BX419" s="363">
        <v>6.2926109754933837</v>
      </c>
      <c r="BY419" s="435">
        <v>6.3179753380688402</v>
      </c>
      <c r="BZ419" s="435">
        <v>6.3433397006442975</v>
      </c>
      <c r="CA419" s="435">
        <v>6.368704063219754</v>
      </c>
      <c r="CB419" s="435">
        <v>6.3940684257952114</v>
      </c>
      <c r="CC419" s="363">
        <v>6.4194327883706679</v>
      </c>
      <c r="CD419" s="435">
        <v>6.440224068826609</v>
      </c>
      <c r="CE419" s="435">
        <v>6.4610153492825502</v>
      </c>
      <c r="CF419" s="435">
        <v>6.4818066297384904</v>
      </c>
      <c r="CG419" s="435">
        <v>6.5025979101944316</v>
      </c>
      <c r="CH419" s="363">
        <v>6.5233891906503727</v>
      </c>
      <c r="CI419" s="362">
        <v>3.040219816411728</v>
      </c>
      <c r="CJ419" s="362">
        <v>3.0809788440341865</v>
      </c>
      <c r="CK419" s="362">
        <v>3.1222843118593442</v>
      </c>
      <c r="CL419" s="363">
        <v>3.1017566623960651</v>
      </c>
      <c r="CM419" s="363">
        <v>3.0813639732215998</v>
      </c>
      <c r="CN419" s="363">
        <v>3.0715241806818625</v>
      </c>
      <c r="CO419" s="363">
        <v>3.0617158097846402</v>
      </c>
      <c r="CP419" s="363">
        <v>3.0519387601904575</v>
      </c>
      <c r="CQ419" s="363">
        <v>3.0421929318802561</v>
      </c>
      <c r="CR419" s="363">
        <v>3.0324782251543709</v>
      </c>
      <c r="CS419" s="363">
        <v>3.0549093690354665</v>
      </c>
      <c r="CT419" s="363">
        <v>3.0775064353662733</v>
      </c>
      <c r="CU419" s="363">
        <v>3.1002706514698151</v>
      </c>
      <c r="CV419" s="363">
        <v>3.123203253747584</v>
      </c>
      <c r="CW419" s="363">
        <v>3.1463054877466918</v>
      </c>
      <c r="CX419" s="435">
        <v>3.1589876690344201</v>
      </c>
      <c r="CY419" s="435">
        <v>3.1716698503221488</v>
      </c>
      <c r="CZ419" s="435">
        <v>3.184352031609877</v>
      </c>
      <c r="DA419" s="435">
        <v>3.1970342128976057</v>
      </c>
      <c r="DB419" s="363">
        <v>3.2097163941853339</v>
      </c>
      <c r="DC419" s="435">
        <v>3.2201120344133045</v>
      </c>
      <c r="DD419" s="435">
        <v>3.2305076746412751</v>
      </c>
      <c r="DE419" s="435">
        <v>3.2409033148692452</v>
      </c>
      <c r="DF419" s="435">
        <v>3.2512989550972158</v>
      </c>
      <c r="DG419" s="363">
        <v>3.2616945953251864</v>
      </c>
      <c r="DH419" s="362">
        <v>1.0134066054705759</v>
      </c>
      <c r="DI419" s="362">
        <v>1.0269929480113955</v>
      </c>
      <c r="DJ419" s="362">
        <v>1.040761437286448</v>
      </c>
      <c r="DK419" s="363">
        <v>1.0339188874653549</v>
      </c>
      <c r="DL419" s="363">
        <v>1.0271213244071997</v>
      </c>
      <c r="DM419" s="363">
        <v>1.0238413935606208</v>
      </c>
      <c r="DN419" s="363">
        <v>1.02057193659488</v>
      </c>
      <c r="DO419" s="363">
        <v>1.0173129200634858</v>
      </c>
      <c r="DP419" s="363">
        <v>1.014064310626752</v>
      </c>
      <c r="DQ419" s="363">
        <v>1.0108260750514568</v>
      </c>
      <c r="DR419" s="363">
        <v>1.018303123011822</v>
      </c>
      <c r="DS419" s="363">
        <v>1.0258354784554244</v>
      </c>
      <c r="DT419" s="363">
        <v>1.0334235504899383</v>
      </c>
      <c r="DU419" s="363">
        <v>1.0410677512491946</v>
      </c>
      <c r="DV419" s="363">
        <v>1.0487684959155639</v>
      </c>
      <c r="DW419" s="435">
        <v>1.05299588967814</v>
      </c>
      <c r="DX419" s="435">
        <v>1.057223283440716</v>
      </c>
      <c r="DY419" s="435">
        <v>1.0614506772032923</v>
      </c>
      <c r="DZ419" s="435">
        <v>1.0656780709658684</v>
      </c>
      <c r="EA419" s="363">
        <v>1.0699054647284445</v>
      </c>
      <c r="EB419" s="435">
        <v>1.0733706781377681</v>
      </c>
      <c r="EC419" s="435">
        <v>1.0768358915470915</v>
      </c>
      <c r="ED419" s="435">
        <v>1.0803011049564151</v>
      </c>
      <c r="EE419" s="435">
        <v>1.0837663183657384</v>
      </c>
      <c r="EF419" s="363">
        <v>1.087231531775062</v>
      </c>
      <c r="EG419" s="364">
        <v>0</v>
      </c>
      <c r="EH419" s="364">
        <v>0</v>
      </c>
      <c r="EI419" s="364">
        <v>0</v>
      </c>
      <c r="EJ419" s="365">
        <v>0</v>
      </c>
      <c r="EK419" s="365">
        <v>0</v>
      </c>
      <c r="EL419" s="365">
        <v>0</v>
      </c>
      <c r="EM419" s="365">
        <v>0</v>
      </c>
      <c r="EN419" s="365">
        <v>0</v>
      </c>
      <c r="EO419" s="365">
        <v>0</v>
      </c>
      <c r="EP419" s="365">
        <v>0</v>
      </c>
      <c r="EQ419" s="365">
        <v>0</v>
      </c>
      <c r="ER419" s="365">
        <v>0</v>
      </c>
      <c r="ES419" s="365">
        <v>0</v>
      </c>
      <c r="ET419" s="365">
        <v>0</v>
      </c>
      <c r="EU419" s="365">
        <v>0</v>
      </c>
      <c r="EV419" s="436">
        <v>0</v>
      </c>
      <c r="EW419" s="436">
        <v>0</v>
      </c>
      <c r="EX419" s="436">
        <v>0</v>
      </c>
      <c r="EY419" s="436">
        <v>0</v>
      </c>
      <c r="EZ419" s="365">
        <v>0</v>
      </c>
      <c r="FA419" s="436">
        <v>0</v>
      </c>
      <c r="FB419" s="436">
        <v>0</v>
      </c>
      <c r="FC419" s="436">
        <v>0</v>
      </c>
      <c r="FD419" s="436">
        <v>0</v>
      </c>
      <c r="FE419" s="365">
        <v>0</v>
      </c>
      <c r="FF419" s="364">
        <v>0</v>
      </c>
      <c r="FG419" s="364">
        <v>0</v>
      </c>
      <c r="FH419" s="364">
        <v>0</v>
      </c>
      <c r="FI419" s="365">
        <v>0</v>
      </c>
      <c r="FJ419" s="365">
        <v>0</v>
      </c>
      <c r="FK419" s="365">
        <v>0</v>
      </c>
      <c r="FL419" s="365">
        <v>0</v>
      </c>
      <c r="FM419" s="365">
        <v>0</v>
      </c>
      <c r="FN419" s="365">
        <v>0</v>
      </c>
      <c r="FO419" s="365">
        <v>0</v>
      </c>
      <c r="FP419" s="365">
        <v>0</v>
      </c>
      <c r="FQ419" s="365">
        <v>0</v>
      </c>
      <c r="FR419" s="365">
        <v>0</v>
      </c>
      <c r="FS419" s="365">
        <v>0</v>
      </c>
      <c r="FT419" s="365">
        <v>0</v>
      </c>
      <c r="FU419" s="436">
        <v>0</v>
      </c>
      <c r="FV419" s="436">
        <v>0</v>
      </c>
      <c r="FW419" s="436">
        <v>0</v>
      </c>
      <c r="FX419" s="436">
        <v>0</v>
      </c>
      <c r="FY419" s="365">
        <v>0</v>
      </c>
      <c r="FZ419" s="436">
        <v>0</v>
      </c>
      <c r="GA419" s="436">
        <v>0</v>
      </c>
      <c r="GB419" s="436">
        <v>0</v>
      </c>
      <c r="GC419" s="436">
        <v>0</v>
      </c>
      <c r="GD419" s="365">
        <v>0</v>
      </c>
    </row>
    <row r="420" spans="1:186" ht="15" x14ac:dyDescent="0.25">
      <c r="A420" s="357">
        <v>120</v>
      </c>
      <c r="B420" s="357">
        <v>111</v>
      </c>
      <c r="C420" s="357" t="s">
        <v>1330</v>
      </c>
      <c r="D420" s="2">
        <v>99712</v>
      </c>
      <c r="E420" s="268" t="s">
        <v>19</v>
      </c>
      <c r="F420" s="358" t="s">
        <v>915</v>
      </c>
      <c r="G420" s="49">
        <v>3</v>
      </c>
      <c r="H420" s="49">
        <v>3</v>
      </c>
      <c r="I420" s="49">
        <v>2</v>
      </c>
      <c r="J420" s="49">
        <v>1</v>
      </c>
      <c r="K420" s="49">
        <v>0</v>
      </c>
      <c r="L420" s="49">
        <v>10</v>
      </c>
      <c r="M420" s="49">
        <v>10</v>
      </c>
      <c r="N420" s="49">
        <v>2</v>
      </c>
      <c r="O420" s="49">
        <v>0</v>
      </c>
      <c r="P420" s="49">
        <v>0</v>
      </c>
      <c r="Q420" s="49">
        <v>12</v>
      </c>
      <c r="R420" s="49">
        <v>0</v>
      </c>
      <c r="S420" s="49">
        <v>2231.6</v>
      </c>
      <c r="T420" s="49">
        <v>2231.6</v>
      </c>
      <c r="U420" s="49">
        <v>6067</v>
      </c>
      <c r="V420" s="49">
        <v>0</v>
      </c>
      <c r="W420" s="49">
        <v>0</v>
      </c>
      <c r="X420" s="49">
        <v>2870.8333333333335</v>
      </c>
      <c r="Y420" s="434">
        <v>22316</v>
      </c>
      <c r="Z420" s="434">
        <v>12134</v>
      </c>
      <c r="AA420" s="49">
        <v>0</v>
      </c>
      <c r="AB420" s="49">
        <v>3</v>
      </c>
      <c r="AC420" s="49">
        <v>0</v>
      </c>
      <c r="AD420" s="285">
        <v>2</v>
      </c>
      <c r="AE420" s="285">
        <v>0</v>
      </c>
      <c r="AF420" s="359">
        <v>5</v>
      </c>
      <c r="AG420" s="360">
        <v>0</v>
      </c>
      <c r="AH420" s="360">
        <v>2</v>
      </c>
      <c r="AI420" s="361">
        <v>2</v>
      </c>
      <c r="AJ420" s="360">
        <v>0</v>
      </c>
      <c r="AK420" s="360">
        <v>0</v>
      </c>
      <c r="AL420" s="360">
        <v>2.7273427354372148</v>
      </c>
      <c r="AM420" s="360">
        <v>2.7273427354372148</v>
      </c>
      <c r="AN420" s="360">
        <v>0</v>
      </c>
      <c r="AO420" s="360">
        <v>0</v>
      </c>
      <c r="AP420" s="360">
        <v>1.8249082207758185</v>
      </c>
      <c r="AQ420" s="360">
        <v>1.8249082207758185</v>
      </c>
      <c r="AR420" s="360">
        <v>0</v>
      </c>
      <c r="AS420" s="360">
        <v>1.8596827016276773</v>
      </c>
      <c r="AT420" s="360">
        <v>0</v>
      </c>
      <c r="AU420" s="360">
        <v>2.4794661321807161</v>
      </c>
      <c r="AV420" s="360">
        <v>2.600452642015556</v>
      </c>
      <c r="AW420" s="360">
        <v>2.7273427354372148</v>
      </c>
      <c r="AX420" s="360">
        <v>2.8604244800923593</v>
      </c>
      <c r="AY420" s="360">
        <v>3</v>
      </c>
      <c r="AZ420" s="360">
        <v>1.6651450071275817</v>
      </c>
      <c r="BA420" s="360">
        <v>1.7431972958592303</v>
      </c>
      <c r="BB420" s="360">
        <v>1.8249082207758185</v>
      </c>
      <c r="BC420" s="360">
        <v>1.9104492774087558</v>
      </c>
      <c r="BD420" s="360">
        <v>2</v>
      </c>
      <c r="BE420" s="360">
        <v>1.7292098753666085</v>
      </c>
      <c r="BF420" s="360">
        <v>1.7932600739165065</v>
      </c>
      <c r="BG420" s="360">
        <v>1.8596827016276773</v>
      </c>
      <c r="BH420" s="360">
        <v>1.9285656336395076</v>
      </c>
      <c r="BI420" s="360">
        <v>2</v>
      </c>
      <c r="BJ420" s="362">
        <v>3.040219816411728</v>
      </c>
      <c r="BK420" s="362">
        <v>3.0809788440341865</v>
      </c>
      <c r="BL420" s="362">
        <v>3.1222843118593442</v>
      </c>
      <c r="BM420" s="363">
        <v>3.1017566623960651</v>
      </c>
      <c r="BN420" s="363">
        <v>3.0813639732215998</v>
      </c>
      <c r="BO420" s="363">
        <v>3.0715241806818625</v>
      </c>
      <c r="BP420" s="363">
        <v>3.0617158097846402</v>
      </c>
      <c r="BQ420" s="363">
        <v>3.0519387601904575</v>
      </c>
      <c r="BR420" s="363">
        <v>3.0421929318802561</v>
      </c>
      <c r="BS420" s="363">
        <v>3.0324782251543709</v>
      </c>
      <c r="BT420" s="363">
        <v>3.0549093690354665</v>
      </c>
      <c r="BU420" s="363">
        <v>3.0775064353662733</v>
      </c>
      <c r="BV420" s="363">
        <v>3.1002706514698151</v>
      </c>
      <c r="BW420" s="363">
        <v>3.123203253747584</v>
      </c>
      <c r="BX420" s="363">
        <v>3.1463054877466918</v>
      </c>
      <c r="BY420" s="435">
        <v>3.1589876690344201</v>
      </c>
      <c r="BZ420" s="435">
        <v>3.1716698503221488</v>
      </c>
      <c r="CA420" s="435">
        <v>3.184352031609877</v>
      </c>
      <c r="CB420" s="435">
        <v>3.1970342128976057</v>
      </c>
      <c r="CC420" s="363">
        <v>3.2097163941853339</v>
      </c>
      <c r="CD420" s="435">
        <v>3.2201120344133045</v>
      </c>
      <c r="CE420" s="435">
        <v>3.2305076746412751</v>
      </c>
      <c r="CF420" s="435">
        <v>3.2409033148692452</v>
      </c>
      <c r="CG420" s="435">
        <v>3.2512989550972158</v>
      </c>
      <c r="CH420" s="363">
        <v>3.2616945953251864</v>
      </c>
      <c r="CI420" s="362">
        <v>2.0268132109411519</v>
      </c>
      <c r="CJ420" s="362">
        <v>2.053985896022791</v>
      </c>
      <c r="CK420" s="362">
        <v>2.081522874572896</v>
      </c>
      <c r="CL420" s="363">
        <v>2.0678377749307097</v>
      </c>
      <c r="CM420" s="363">
        <v>2.0542426488143994</v>
      </c>
      <c r="CN420" s="363">
        <v>2.0476827871212415</v>
      </c>
      <c r="CO420" s="363">
        <v>2.04114387318976</v>
      </c>
      <c r="CP420" s="363">
        <v>2.0346258401269717</v>
      </c>
      <c r="CQ420" s="363">
        <v>2.0281286212535039</v>
      </c>
      <c r="CR420" s="363">
        <v>2.0216521501029137</v>
      </c>
      <c r="CS420" s="363">
        <v>2.036606246023644</v>
      </c>
      <c r="CT420" s="363">
        <v>2.0516709569108489</v>
      </c>
      <c r="CU420" s="363">
        <v>2.0668471009798766</v>
      </c>
      <c r="CV420" s="363">
        <v>2.0821355024983892</v>
      </c>
      <c r="CW420" s="363">
        <v>2.0975369918311277</v>
      </c>
      <c r="CX420" s="435">
        <v>2.1059917793562799</v>
      </c>
      <c r="CY420" s="435">
        <v>2.1144465668814321</v>
      </c>
      <c r="CZ420" s="435">
        <v>2.1229013544065847</v>
      </c>
      <c r="DA420" s="435">
        <v>2.1313561419317368</v>
      </c>
      <c r="DB420" s="363">
        <v>2.139810929456889</v>
      </c>
      <c r="DC420" s="435">
        <v>2.1467413562755362</v>
      </c>
      <c r="DD420" s="435">
        <v>2.1536717830941829</v>
      </c>
      <c r="DE420" s="435">
        <v>2.1606022099128301</v>
      </c>
      <c r="DF420" s="435">
        <v>2.1675326367314769</v>
      </c>
      <c r="DG420" s="363">
        <v>2.1744630635501241</v>
      </c>
      <c r="DH420" s="362">
        <v>2.0268132109411519</v>
      </c>
      <c r="DI420" s="362">
        <v>2.053985896022791</v>
      </c>
      <c r="DJ420" s="362">
        <v>2.081522874572896</v>
      </c>
      <c r="DK420" s="363">
        <v>2.0678377749307097</v>
      </c>
      <c r="DL420" s="363">
        <v>2.0542426488143994</v>
      </c>
      <c r="DM420" s="363">
        <v>2.0476827871212415</v>
      </c>
      <c r="DN420" s="363">
        <v>2.04114387318976</v>
      </c>
      <c r="DO420" s="363">
        <v>2.0346258401269717</v>
      </c>
      <c r="DP420" s="363">
        <v>2.0281286212535039</v>
      </c>
      <c r="DQ420" s="363">
        <v>2.0216521501029137</v>
      </c>
      <c r="DR420" s="363">
        <v>2.036606246023644</v>
      </c>
      <c r="DS420" s="363">
        <v>2.0516709569108489</v>
      </c>
      <c r="DT420" s="363">
        <v>2.0668471009798766</v>
      </c>
      <c r="DU420" s="363">
        <v>2.0821355024983892</v>
      </c>
      <c r="DV420" s="363">
        <v>2.0975369918311277</v>
      </c>
      <c r="DW420" s="435">
        <v>2.1059917793562799</v>
      </c>
      <c r="DX420" s="435">
        <v>2.1144465668814321</v>
      </c>
      <c r="DY420" s="435">
        <v>2.1229013544065847</v>
      </c>
      <c r="DZ420" s="435">
        <v>2.1313561419317368</v>
      </c>
      <c r="EA420" s="363">
        <v>2.139810929456889</v>
      </c>
      <c r="EB420" s="435">
        <v>2.1467413562755362</v>
      </c>
      <c r="EC420" s="435">
        <v>2.1536717830941829</v>
      </c>
      <c r="ED420" s="435">
        <v>2.1606022099128301</v>
      </c>
      <c r="EE420" s="435">
        <v>2.1675326367314769</v>
      </c>
      <c r="EF420" s="363">
        <v>2.1744630635501241</v>
      </c>
      <c r="EG420" s="364">
        <v>0</v>
      </c>
      <c r="EH420" s="364">
        <v>0</v>
      </c>
      <c r="EI420" s="364">
        <v>0</v>
      </c>
      <c r="EJ420" s="365">
        <v>0</v>
      </c>
      <c r="EK420" s="365">
        <v>0</v>
      </c>
      <c r="EL420" s="365">
        <v>0</v>
      </c>
      <c r="EM420" s="365">
        <v>0</v>
      </c>
      <c r="EN420" s="365">
        <v>0</v>
      </c>
      <c r="EO420" s="365">
        <v>0</v>
      </c>
      <c r="EP420" s="365">
        <v>0</v>
      </c>
      <c r="EQ420" s="365">
        <v>0</v>
      </c>
      <c r="ER420" s="365">
        <v>0</v>
      </c>
      <c r="ES420" s="365">
        <v>0</v>
      </c>
      <c r="ET420" s="365">
        <v>0</v>
      </c>
      <c r="EU420" s="365">
        <v>0</v>
      </c>
      <c r="EV420" s="436">
        <v>0</v>
      </c>
      <c r="EW420" s="436">
        <v>0</v>
      </c>
      <c r="EX420" s="436">
        <v>0</v>
      </c>
      <c r="EY420" s="436">
        <v>0</v>
      </c>
      <c r="EZ420" s="365">
        <v>0</v>
      </c>
      <c r="FA420" s="436">
        <v>0</v>
      </c>
      <c r="FB420" s="436">
        <v>0</v>
      </c>
      <c r="FC420" s="436">
        <v>0</v>
      </c>
      <c r="FD420" s="436">
        <v>0</v>
      </c>
      <c r="FE420" s="365">
        <v>0</v>
      </c>
      <c r="FF420" s="364">
        <v>0</v>
      </c>
      <c r="FG420" s="364">
        <v>0</v>
      </c>
      <c r="FH420" s="364">
        <v>0</v>
      </c>
      <c r="FI420" s="365">
        <v>0</v>
      </c>
      <c r="FJ420" s="365">
        <v>0</v>
      </c>
      <c r="FK420" s="365">
        <v>0</v>
      </c>
      <c r="FL420" s="365">
        <v>0</v>
      </c>
      <c r="FM420" s="365">
        <v>0</v>
      </c>
      <c r="FN420" s="365">
        <v>0</v>
      </c>
      <c r="FO420" s="365">
        <v>0</v>
      </c>
      <c r="FP420" s="365">
        <v>0</v>
      </c>
      <c r="FQ420" s="365">
        <v>0</v>
      </c>
      <c r="FR420" s="365">
        <v>0</v>
      </c>
      <c r="FS420" s="365">
        <v>0</v>
      </c>
      <c r="FT420" s="365">
        <v>0</v>
      </c>
      <c r="FU420" s="436">
        <v>0</v>
      </c>
      <c r="FV420" s="436">
        <v>0</v>
      </c>
      <c r="FW420" s="436">
        <v>0</v>
      </c>
      <c r="FX420" s="436">
        <v>0</v>
      </c>
      <c r="FY420" s="365">
        <v>0</v>
      </c>
      <c r="FZ420" s="436">
        <v>0</v>
      </c>
      <c r="GA420" s="436">
        <v>0</v>
      </c>
      <c r="GB420" s="436">
        <v>0</v>
      </c>
      <c r="GC420" s="436">
        <v>0</v>
      </c>
      <c r="GD420" s="365">
        <v>0</v>
      </c>
    </row>
    <row r="421" spans="1:186" ht="15" x14ac:dyDescent="0.25">
      <c r="A421" s="357">
        <v>89</v>
      </c>
      <c r="B421" s="357">
        <v>112</v>
      </c>
      <c r="C421" s="357" t="s">
        <v>1331</v>
      </c>
      <c r="D421" s="2">
        <v>99712</v>
      </c>
      <c r="E421" s="268" t="s">
        <v>19</v>
      </c>
      <c r="F421" s="358" t="s">
        <v>915</v>
      </c>
      <c r="G421" s="49">
        <v>10</v>
      </c>
      <c r="H421" s="49">
        <v>36</v>
      </c>
      <c r="I421" s="49">
        <v>8</v>
      </c>
      <c r="J421" s="49">
        <v>28</v>
      </c>
      <c r="K421" s="49">
        <v>0</v>
      </c>
      <c r="L421" s="49">
        <v>0</v>
      </c>
      <c r="M421" s="49">
        <v>0</v>
      </c>
      <c r="N421" s="49">
        <v>0</v>
      </c>
      <c r="O421" s="49">
        <v>0</v>
      </c>
      <c r="P421" s="49">
        <v>0</v>
      </c>
      <c r="Q421" s="49">
        <v>0</v>
      </c>
      <c r="R421" s="49">
        <v>0</v>
      </c>
      <c r="S421" s="49">
        <v>834.49503068156923</v>
      </c>
      <c r="T421" s="49">
        <v>834.49503068156923</v>
      </c>
      <c r="U421" s="49">
        <v>1408.3846153846155</v>
      </c>
      <c r="V421" s="49">
        <v>0</v>
      </c>
      <c r="W421" s="49">
        <v>0</v>
      </c>
      <c r="X421" s="49">
        <v>1365.173957061457</v>
      </c>
      <c r="Y421" s="434">
        <v>0</v>
      </c>
      <c r="Z421" s="434">
        <v>0</v>
      </c>
      <c r="AA421" s="49">
        <v>0.82484407484407485</v>
      </c>
      <c r="AB421" s="49">
        <v>35.128378378378379</v>
      </c>
      <c r="AC421" s="49">
        <v>4.677754677754678E-2</v>
      </c>
      <c r="AD421" s="285">
        <v>0</v>
      </c>
      <c r="AE421" s="285">
        <v>0</v>
      </c>
      <c r="AF421" s="359">
        <v>36</v>
      </c>
      <c r="AG421" s="360">
        <v>0.18329868329868329</v>
      </c>
      <c r="AH421" s="360">
        <v>7.8063063063063067</v>
      </c>
      <c r="AI421" s="361">
        <v>7.9896049896049899</v>
      </c>
      <c r="AJ421" s="360">
        <v>1.0395010395010396E-2</v>
      </c>
      <c r="AK421" s="360">
        <v>0.74987749846480589</v>
      </c>
      <c r="AL421" s="360">
        <v>31.935709192653331</v>
      </c>
      <c r="AM421" s="360">
        <v>32.685586691118139</v>
      </c>
      <c r="AN421" s="360">
        <v>4.2526134128438899E-2</v>
      </c>
      <c r="AO421" s="360">
        <v>0.16725163700457518</v>
      </c>
      <c r="AP421" s="360">
        <v>7.1228962761362471</v>
      </c>
      <c r="AQ421" s="360">
        <v>7.2901479131408227</v>
      </c>
      <c r="AR421" s="360">
        <v>9.4849699624522804E-3</v>
      </c>
      <c r="AS421" s="360">
        <v>0</v>
      </c>
      <c r="AT421" s="360">
        <v>0</v>
      </c>
      <c r="AU421" s="360">
        <v>29.71493247184145</v>
      </c>
      <c r="AV421" s="360">
        <v>31.164884105818448</v>
      </c>
      <c r="AW421" s="360">
        <v>32.685586691118132</v>
      </c>
      <c r="AX421" s="360">
        <v>34.280492547801259</v>
      </c>
      <c r="AY421" s="360">
        <v>35.953222453222452</v>
      </c>
      <c r="AZ421" s="360">
        <v>6.6519254286811815</v>
      </c>
      <c r="BA421" s="360">
        <v>6.9637289064314158</v>
      </c>
      <c r="BB421" s="360">
        <v>7.2901479131408218</v>
      </c>
      <c r="BC421" s="360">
        <v>7.6318675395861213</v>
      </c>
      <c r="BD421" s="360">
        <v>7.9896049896049899</v>
      </c>
      <c r="BE421" s="360">
        <v>0</v>
      </c>
      <c r="BF421" s="360">
        <v>0</v>
      </c>
      <c r="BG421" s="360">
        <v>0</v>
      </c>
      <c r="BH421" s="360">
        <v>0</v>
      </c>
      <c r="BI421" s="360">
        <v>0</v>
      </c>
      <c r="BJ421" s="362">
        <v>36.137397473606484</v>
      </c>
      <c r="BK421" s="362">
        <v>36.322515954293074</v>
      </c>
      <c r="BL421" s="362">
        <v>36.508582728279322</v>
      </c>
      <c r="BM421" s="363">
        <v>36.268554814805633</v>
      </c>
      <c r="BN421" s="363">
        <v>36.030104979551936</v>
      </c>
      <c r="BO421" s="363">
        <v>35.915049192158833</v>
      </c>
      <c r="BP421" s="363">
        <v>35.800360815136038</v>
      </c>
      <c r="BQ421" s="363">
        <v>35.686038675223308</v>
      </c>
      <c r="BR421" s="363">
        <v>35.572081602907012</v>
      </c>
      <c r="BS421" s="363">
        <v>35.458488432408146</v>
      </c>
      <c r="BT421" s="363">
        <v>35.720773730695171</v>
      </c>
      <c r="BU421" s="363">
        <v>35.984999144896285</v>
      </c>
      <c r="BV421" s="363">
        <v>36.251179025986509</v>
      </c>
      <c r="BW421" s="363">
        <v>36.519327831094543</v>
      </c>
      <c r="BX421" s="363">
        <v>36.789460124287992</v>
      </c>
      <c r="BY421" s="435">
        <v>36.937751701374495</v>
      </c>
      <c r="BZ421" s="435">
        <v>37.086043278460998</v>
      </c>
      <c r="CA421" s="435">
        <v>37.234334855547502</v>
      </c>
      <c r="CB421" s="435">
        <v>37.382626432634005</v>
      </c>
      <c r="CC421" s="363">
        <v>37.530918009720509</v>
      </c>
      <c r="CD421" s="435">
        <v>37.652473272908658</v>
      </c>
      <c r="CE421" s="435">
        <v>37.774028536096807</v>
      </c>
      <c r="CF421" s="435">
        <v>37.89558379928495</v>
      </c>
      <c r="CG421" s="435">
        <v>38.017139062473099</v>
      </c>
      <c r="CH421" s="363">
        <v>38.138694325661248</v>
      </c>
      <c r="CI421" s="362">
        <v>8.0305327719125525</v>
      </c>
      <c r="CJ421" s="362">
        <v>8.0716702120651274</v>
      </c>
      <c r="CK421" s="362">
        <v>8.1130183840620731</v>
      </c>
      <c r="CL421" s="363">
        <v>8.0596788477345864</v>
      </c>
      <c r="CM421" s="363">
        <v>8.0066899954559876</v>
      </c>
      <c r="CN421" s="363">
        <v>7.9811220427019638</v>
      </c>
      <c r="CO421" s="363">
        <v>7.9556357366968991</v>
      </c>
      <c r="CP421" s="363">
        <v>7.9302308167162918</v>
      </c>
      <c r="CQ421" s="363">
        <v>7.9049070228682261</v>
      </c>
      <c r="CR421" s="363">
        <v>7.8796640960907016</v>
      </c>
      <c r="CS421" s="363">
        <v>7.9379497179322618</v>
      </c>
      <c r="CT421" s="363">
        <v>7.9966664766436208</v>
      </c>
      <c r="CU421" s="363">
        <v>8.0558175613303362</v>
      </c>
      <c r="CV421" s="363">
        <v>8.1154061846876786</v>
      </c>
      <c r="CW421" s="363">
        <v>8.175435583175112</v>
      </c>
      <c r="CX421" s="435">
        <v>8.2083892669721124</v>
      </c>
      <c r="CY421" s="435">
        <v>8.2413429507691127</v>
      </c>
      <c r="CZ421" s="435">
        <v>8.2742966345661149</v>
      </c>
      <c r="DA421" s="435">
        <v>8.3072503183631152</v>
      </c>
      <c r="DB421" s="363">
        <v>8.3402040021601156</v>
      </c>
      <c r="DC421" s="435">
        <v>8.3672162828685934</v>
      </c>
      <c r="DD421" s="435">
        <v>8.3942285635770695</v>
      </c>
      <c r="DE421" s="435">
        <v>8.4212408442855473</v>
      </c>
      <c r="DF421" s="435">
        <v>8.4482531249940234</v>
      </c>
      <c r="DG421" s="363">
        <v>8.4752654057025012</v>
      </c>
      <c r="DH421" s="362">
        <v>0</v>
      </c>
      <c r="DI421" s="362">
        <v>0</v>
      </c>
      <c r="DJ421" s="362">
        <v>0</v>
      </c>
      <c r="DK421" s="363">
        <v>0</v>
      </c>
      <c r="DL421" s="363">
        <v>0</v>
      </c>
      <c r="DM421" s="363">
        <v>0</v>
      </c>
      <c r="DN421" s="363">
        <v>0</v>
      </c>
      <c r="DO421" s="363">
        <v>0</v>
      </c>
      <c r="DP421" s="363">
        <v>0</v>
      </c>
      <c r="DQ421" s="363">
        <v>0</v>
      </c>
      <c r="DR421" s="363">
        <v>0</v>
      </c>
      <c r="DS421" s="363">
        <v>0</v>
      </c>
      <c r="DT421" s="363">
        <v>0</v>
      </c>
      <c r="DU421" s="363">
        <v>0</v>
      </c>
      <c r="DV421" s="363">
        <v>0</v>
      </c>
      <c r="DW421" s="435">
        <v>0</v>
      </c>
      <c r="DX421" s="435">
        <v>0</v>
      </c>
      <c r="DY421" s="435">
        <v>0</v>
      </c>
      <c r="DZ421" s="435">
        <v>0</v>
      </c>
      <c r="EA421" s="363">
        <v>0</v>
      </c>
      <c r="EB421" s="435">
        <v>0</v>
      </c>
      <c r="EC421" s="435">
        <v>0</v>
      </c>
      <c r="ED421" s="435">
        <v>0</v>
      </c>
      <c r="EE421" s="435">
        <v>0</v>
      </c>
      <c r="EF421" s="363">
        <v>0</v>
      </c>
      <c r="EG421" s="364">
        <v>4.7017170795740942E-2</v>
      </c>
      <c r="EH421" s="364">
        <v>4.725802231888248E-2</v>
      </c>
      <c r="EI421" s="364">
        <v>4.7500107635023846E-2</v>
      </c>
      <c r="EJ421" s="365">
        <v>4.7187815267766893E-2</v>
      </c>
      <c r="EK421" s="365">
        <v>4.6877576085807886E-2</v>
      </c>
      <c r="EL421" s="365">
        <v>4.6727880812072388E-2</v>
      </c>
      <c r="EM421" s="365">
        <v>4.6578663563799173E-2</v>
      </c>
      <c r="EN421" s="365">
        <v>4.6429922814498197E-2</v>
      </c>
      <c r="EO421" s="365">
        <v>4.628165704255402E-2</v>
      </c>
      <c r="EP421" s="365">
        <v>4.6133864731210193E-2</v>
      </c>
      <c r="EQ421" s="365">
        <v>4.6475115444568275E-2</v>
      </c>
      <c r="ER421" s="365">
        <v>4.6818890378475531E-2</v>
      </c>
      <c r="ES421" s="365">
        <v>4.7165208204510166E-2</v>
      </c>
      <c r="ET421" s="365">
        <v>4.7514087732363451E-2</v>
      </c>
      <c r="EU421" s="365">
        <v>4.7865547910861304E-2</v>
      </c>
      <c r="EV421" s="436">
        <v>4.8058485169625943E-2</v>
      </c>
      <c r="EW421" s="436">
        <v>4.8251422428390589E-2</v>
      </c>
      <c r="EX421" s="436">
        <v>4.8444359687155228E-2</v>
      </c>
      <c r="EY421" s="436">
        <v>4.8637296945919874E-2</v>
      </c>
      <c r="EZ421" s="365">
        <v>4.8830234204684513E-2</v>
      </c>
      <c r="FA421" s="436">
        <v>4.8988385731080747E-2</v>
      </c>
      <c r="FB421" s="436">
        <v>4.9146537257476988E-2</v>
      </c>
      <c r="FC421" s="436">
        <v>4.9304688783873223E-2</v>
      </c>
      <c r="FD421" s="436">
        <v>4.9462840310269464E-2</v>
      </c>
      <c r="FE421" s="365">
        <v>4.9620991836665698E-2</v>
      </c>
      <c r="FF421" s="364">
        <v>0</v>
      </c>
      <c r="FG421" s="364">
        <v>0</v>
      </c>
      <c r="FH421" s="364">
        <v>0</v>
      </c>
      <c r="FI421" s="365">
        <v>0</v>
      </c>
      <c r="FJ421" s="365">
        <v>0</v>
      </c>
      <c r="FK421" s="365">
        <v>0</v>
      </c>
      <c r="FL421" s="365">
        <v>0</v>
      </c>
      <c r="FM421" s="365">
        <v>0</v>
      </c>
      <c r="FN421" s="365">
        <v>0</v>
      </c>
      <c r="FO421" s="365">
        <v>0</v>
      </c>
      <c r="FP421" s="365">
        <v>0</v>
      </c>
      <c r="FQ421" s="365">
        <v>0</v>
      </c>
      <c r="FR421" s="365">
        <v>0</v>
      </c>
      <c r="FS421" s="365">
        <v>0</v>
      </c>
      <c r="FT421" s="365">
        <v>0</v>
      </c>
      <c r="FU421" s="436">
        <v>0</v>
      </c>
      <c r="FV421" s="436">
        <v>0</v>
      </c>
      <c r="FW421" s="436">
        <v>0</v>
      </c>
      <c r="FX421" s="436">
        <v>0</v>
      </c>
      <c r="FY421" s="365">
        <v>0</v>
      </c>
      <c r="FZ421" s="436">
        <v>0</v>
      </c>
      <c r="GA421" s="436">
        <v>0</v>
      </c>
      <c r="GB421" s="436">
        <v>0</v>
      </c>
      <c r="GC421" s="436">
        <v>0</v>
      </c>
      <c r="GD421" s="365">
        <v>0</v>
      </c>
    </row>
    <row r="422" spans="1:186" ht="15" x14ac:dyDescent="0.25">
      <c r="A422" s="357">
        <v>110</v>
      </c>
      <c r="B422" s="357">
        <v>112</v>
      </c>
      <c r="C422" s="357" t="s">
        <v>1332</v>
      </c>
      <c r="D422" s="2">
        <v>99712</v>
      </c>
      <c r="E422" s="268" t="s">
        <v>19</v>
      </c>
      <c r="F422" s="358" t="s">
        <v>915</v>
      </c>
      <c r="G422" s="49">
        <v>25</v>
      </c>
      <c r="H422" s="49">
        <v>15</v>
      </c>
      <c r="I422" s="49">
        <v>11</v>
      </c>
      <c r="J422" s="49">
        <v>4</v>
      </c>
      <c r="K422" s="49">
        <v>0</v>
      </c>
      <c r="L422" s="49">
        <v>0</v>
      </c>
      <c r="M422" s="49">
        <v>0</v>
      </c>
      <c r="N422" s="49">
        <v>0</v>
      </c>
      <c r="O422" s="49">
        <v>0</v>
      </c>
      <c r="P422" s="49">
        <v>0</v>
      </c>
      <c r="Q422" s="49">
        <v>0</v>
      </c>
      <c r="R422" s="49">
        <v>0</v>
      </c>
      <c r="S422" s="49">
        <v>834.49503068156923</v>
      </c>
      <c r="T422" s="49">
        <v>834.49503068156923</v>
      </c>
      <c r="U422" s="49">
        <v>1408.3846153846155</v>
      </c>
      <c r="V422" s="49">
        <v>0</v>
      </c>
      <c r="W422" s="49">
        <v>0</v>
      </c>
      <c r="X422" s="49">
        <v>1365.173957061457</v>
      </c>
      <c r="Y422" s="434">
        <v>0</v>
      </c>
      <c r="Z422" s="434">
        <v>0</v>
      </c>
      <c r="AA422" s="49">
        <v>0.34368503118503119</v>
      </c>
      <c r="AB422" s="49">
        <v>14.636824324324325</v>
      </c>
      <c r="AC422" s="49">
        <v>1.9490644490644492E-2</v>
      </c>
      <c r="AD422" s="285">
        <v>0</v>
      </c>
      <c r="AE422" s="285">
        <v>0</v>
      </c>
      <c r="AF422" s="359">
        <v>15</v>
      </c>
      <c r="AG422" s="360">
        <v>0.25203568953568956</v>
      </c>
      <c r="AH422" s="360">
        <v>10.733671171171173</v>
      </c>
      <c r="AI422" s="361">
        <v>10.985706860706863</v>
      </c>
      <c r="AJ422" s="360">
        <v>1.4293139293139294E-2</v>
      </c>
      <c r="AK422" s="360">
        <v>0.31244895769366915</v>
      </c>
      <c r="AL422" s="360">
        <v>13.306545496938888</v>
      </c>
      <c r="AM422" s="360">
        <v>13.618994454632558</v>
      </c>
      <c r="AN422" s="360">
        <v>1.7719222553516208E-2</v>
      </c>
      <c r="AO422" s="360">
        <v>0.22997100088129091</v>
      </c>
      <c r="AP422" s="360">
        <v>9.7939823796873409</v>
      </c>
      <c r="AQ422" s="360">
        <v>10.023953380568631</v>
      </c>
      <c r="AR422" s="360">
        <v>1.3041833698371884E-2</v>
      </c>
      <c r="AS422" s="360">
        <v>0</v>
      </c>
      <c r="AT422" s="360">
        <v>0</v>
      </c>
      <c r="AU422" s="360">
        <v>12.381221863267271</v>
      </c>
      <c r="AV422" s="360">
        <v>12.985368377424352</v>
      </c>
      <c r="AW422" s="360">
        <v>13.618994454632556</v>
      </c>
      <c r="AX422" s="360">
        <v>14.283538561583857</v>
      </c>
      <c r="AY422" s="360">
        <v>14.980509355509355</v>
      </c>
      <c r="AZ422" s="360">
        <v>9.1463974644366264</v>
      </c>
      <c r="BA422" s="360">
        <v>9.5751272463431985</v>
      </c>
      <c r="BB422" s="360">
        <v>10.023953380568631</v>
      </c>
      <c r="BC422" s="360">
        <v>10.493817866930918</v>
      </c>
      <c r="BD422" s="360">
        <v>10.985706860706863</v>
      </c>
      <c r="BE422" s="360">
        <v>0</v>
      </c>
      <c r="BF422" s="360">
        <v>0</v>
      </c>
      <c r="BG422" s="360">
        <v>0</v>
      </c>
      <c r="BH422" s="360">
        <v>0</v>
      </c>
      <c r="BI422" s="360">
        <v>0</v>
      </c>
      <c r="BJ422" s="362">
        <v>15.181347134186941</v>
      </c>
      <c r="BK422" s="362">
        <v>15.384877465726843</v>
      </c>
      <c r="BL422" s="362">
        <v>15.591136448122997</v>
      </c>
      <c r="BM422" s="363">
        <v>15.488631566512574</v>
      </c>
      <c r="BN422" s="363">
        <v>15.386800609525215</v>
      </c>
      <c r="BO422" s="363">
        <v>15.337665574792615</v>
      </c>
      <c r="BP422" s="363">
        <v>15.2886874441299</v>
      </c>
      <c r="BQ422" s="363">
        <v>15.23986571649159</v>
      </c>
      <c r="BR422" s="363">
        <v>15.191199892432204</v>
      </c>
      <c r="BS422" s="363">
        <v>15.14268947410115</v>
      </c>
      <c r="BT422" s="363">
        <v>15.254699461022994</v>
      </c>
      <c r="BU422" s="363">
        <v>15.3675379822149</v>
      </c>
      <c r="BV422" s="363">
        <v>15.481211166318214</v>
      </c>
      <c r="BW422" s="363">
        <v>15.595725187307647</v>
      </c>
      <c r="BX422" s="363">
        <v>15.71108626482658</v>
      </c>
      <c r="BY422" s="435">
        <v>15.774414776636274</v>
      </c>
      <c r="BZ422" s="435">
        <v>15.837743288445967</v>
      </c>
      <c r="CA422" s="435">
        <v>15.901071800255661</v>
      </c>
      <c r="CB422" s="435">
        <v>15.964400312065354</v>
      </c>
      <c r="CC422" s="363">
        <v>16.027728823875048</v>
      </c>
      <c r="CD422" s="435">
        <v>16.079639485772255</v>
      </c>
      <c r="CE422" s="435">
        <v>16.131550147669461</v>
      </c>
      <c r="CF422" s="435">
        <v>16.183460809566672</v>
      </c>
      <c r="CG422" s="435">
        <v>16.235371471463878</v>
      </c>
      <c r="CH422" s="363">
        <v>16.287282133361085</v>
      </c>
      <c r="CI422" s="362">
        <v>11.132987898403758</v>
      </c>
      <c r="CJ422" s="362">
        <v>11.282243474866354</v>
      </c>
      <c r="CK422" s="362">
        <v>11.433500061956867</v>
      </c>
      <c r="CL422" s="363">
        <v>11.358329815442557</v>
      </c>
      <c r="CM422" s="363">
        <v>11.283653780318494</v>
      </c>
      <c r="CN422" s="363">
        <v>11.247621421514586</v>
      </c>
      <c r="CO422" s="363">
        <v>11.211704125695261</v>
      </c>
      <c r="CP422" s="363">
        <v>11.175901525427168</v>
      </c>
      <c r="CQ422" s="363">
        <v>11.140213254450284</v>
      </c>
      <c r="CR422" s="363">
        <v>11.104638947674179</v>
      </c>
      <c r="CS422" s="363">
        <v>11.186779604750198</v>
      </c>
      <c r="CT422" s="363">
        <v>11.269527853624263</v>
      </c>
      <c r="CU422" s="363">
        <v>11.35288818863336</v>
      </c>
      <c r="CV422" s="363">
        <v>11.436865137358943</v>
      </c>
      <c r="CW422" s="363">
        <v>11.521463260872828</v>
      </c>
      <c r="CX422" s="435">
        <v>11.56790416953327</v>
      </c>
      <c r="CY422" s="435">
        <v>11.614345078193711</v>
      </c>
      <c r="CZ422" s="435">
        <v>11.660785986854155</v>
      </c>
      <c r="DA422" s="435">
        <v>11.707226895514596</v>
      </c>
      <c r="DB422" s="363">
        <v>11.753667804175038</v>
      </c>
      <c r="DC422" s="435">
        <v>11.791735622899656</v>
      </c>
      <c r="DD422" s="435">
        <v>11.829803441624275</v>
      </c>
      <c r="DE422" s="435">
        <v>11.867871260348894</v>
      </c>
      <c r="DF422" s="435">
        <v>11.905939079073512</v>
      </c>
      <c r="DG422" s="363">
        <v>11.944006897798131</v>
      </c>
      <c r="DH422" s="362">
        <v>0</v>
      </c>
      <c r="DI422" s="362">
        <v>0</v>
      </c>
      <c r="DJ422" s="362">
        <v>0</v>
      </c>
      <c r="DK422" s="363">
        <v>0</v>
      </c>
      <c r="DL422" s="363">
        <v>0</v>
      </c>
      <c r="DM422" s="363">
        <v>0</v>
      </c>
      <c r="DN422" s="363">
        <v>0</v>
      </c>
      <c r="DO422" s="363">
        <v>0</v>
      </c>
      <c r="DP422" s="363">
        <v>0</v>
      </c>
      <c r="DQ422" s="363">
        <v>0</v>
      </c>
      <c r="DR422" s="363">
        <v>0</v>
      </c>
      <c r="DS422" s="363">
        <v>0</v>
      </c>
      <c r="DT422" s="363">
        <v>0</v>
      </c>
      <c r="DU422" s="363">
        <v>0</v>
      </c>
      <c r="DV422" s="363">
        <v>0</v>
      </c>
      <c r="DW422" s="435">
        <v>0</v>
      </c>
      <c r="DX422" s="435">
        <v>0</v>
      </c>
      <c r="DY422" s="435">
        <v>0</v>
      </c>
      <c r="DZ422" s="435">
        <v>0</v>
      </c>
      <c r="EA422" s="363">
        <v>0</v>
      </c>
      <c r="EB422" s="435">
        <v>0</v>
      </c>
      <c r="EC422" s="435">
        <v>0</v>
      </c>
      <c r="ED422" s="435">
        <v>0</v>
      </c>
      <c r="EE422" s="435">
        <v>0</v>
      </c>
      <c r="EF422" s="363">
        <v>0</v>
      </c>
      <c r="EG422" s="364">
        <v>1.9751947871697817E-2</v>
      </c>
      <c r="EH422" s="364">
        <v>2.0016754444089051E-2</v>
      </c>
      <c r="EI422" s="364">
        <v>2.0285111173722351E-2</v>
      </c>
      <c r="EJ422" s="365">
        <v>2.0151745467749903E-2</v>
      </c>
      <c r="EK422" s="365">
        <v>2.0019256582780663E-2</v>
      </c>
      <c r="EL422" s="365">
        <v>1.9955328616696091E-2</v>
      </c>
      <c r="EM422" s="365">
        <v>1.9891604793299378E-2</v>
      </c>
      <c r="EN422" s="365">
        <v>1.9828084460696841E-2</v>
      </c>
      <c r="EO422" s="365">
        <v>1.976476696907651E-2</v>
      </c>
      <c r="EP422" s="365">
        <v>1.9701651670701474E-2</v>
      </c>
      <c r="EQ422" s="365">
        <v>1.9847384154336449E-2</v>
      </c>
      <c r="ER422" s="365">
        <v>1.9994194616464876E-2</v>
      </c>
      <c r="ES422" s="365">
        <v>2.0142091030858986E-2</v>
      </c>
      <c r="ET422" s="365">
        <v>2.0291081430272764E-2</v>
      </c>
      <c r="EU422" s="365">
        <v>2.0441173906878198E-2</v>
      </c>
      <c r="EV422" s="436">
        <v>2.0523568535826538E-2</v>
      </c>
      <c r="EW422" s="436">
        <v>2.0605963164774876E-2</v>
      </c>
      <c r="EX422" s="436">
        <v>2.0688357793723217E-2</v>
      </c>
      <c r="EY422" s="436">
        <v>2.0770752422671554E-2</v>
      </c>
      <c r="EZ422" s="365">
        <v>2.0853147051619895E-2</v>
      </c>
      <c r="FA422" s="436">
        <v>2.0920686294265235E-2</v>
      </c>
      <c r="FB422" s="436">
        <v>2.0988225536910571E-2</v>
      </c>
      <c r="FC422" s="436">
        <v>2.1055764779555911E-2</v>
      </c>
      <c r="FD422" s="436">
        <v>2.1123304022201247E-2</v>
      </c>
      <c r="FE422" s="365">
        <v>2.1190843264846587E-2</v>
      </c>
      <c r="FF422" s="364">
        <v>0</v>
      </c>
      <c r="FG422" s="364">
        <v>0</v>
      </c>
      <c r="FH422" s="364">
        <v>0</v>
      </c>
      <c r="FI422" s="365">
        <v>0</v>
      </c>
      <c r="FJ422" s="365">
        <v>0</v>
      </c>
      <c r="FK422" s="365">
        <v>0</v>
      </c>
      <c r="FL422" s="365">
        <v>0</v>
      </c>
      <c r="FM422" s="365">
        <v>0</v>
      </c>
      <c r="FN422" s="365">
        <v>0</v>
      </c>
      <c r="FO422" s="365">
        <v>0</v>
      </c>
      <c r="FP422" s="365">
        <v>0</v>
      </c>
      <c r="FQ422" s="365">
        <v>0</v>
      </c>
      <c r="FR422" s="365">
        <v>0</v>
      </c>
      <c r="FS422" s="365">
        <v>0</v>
      </c>
      <c r="FT422" s="365">
        <v>0</v>
      </c>
      <c r="FU422" s="436">
        <v>0</v>
      </c>
      <c r="FV422" s="436">
        <v>0</v>
      </c>
      <c r="FW422" s="436">
        <v>0</v>
      </c>
      <c r="FX422" s="436">
        <v>0</v>
      </c>
      <c r="FY422" s="365">
        <v>0</v>
      </c>
      <c r="FZ422" s="436">
        <v>0</v>
      </c>
      <c r="GA422" s="436">
        <v>0</v>
      </c>
      <c r="GB422" s="436">
        <v>0</v>
      </c>
      <c r="GC422" s="436">
        <v>0</v>
      </c>
      <c r="GD422" s="365">
        <v>0</v>
      </c>
    </row>
    <row r="423" spans="1:186" ht="15" x14ac:dyDescent="0.25">
      <c r="A423" s="357">
        <v>120</v>
      </c>
      <c r="B423" s="357">
        <v>112</v>
      </c>
      <c r="C423" s="357" t="s">
        <v>1333</v>
      </c>
      <c r="D423" s="2">
        <v>99712</v>
      </c>
      <c r="E423" s="268" t="s">
        <v>19</v>
      </c>
      <c r="F423" s="358" t="s">
        <v>915</v>
      </c>
      <c r="G423" s="49">
        <v>9</v>
      </c>
      <c r="H423" s="49">
        <v>7</v>
      </c>
      <c r="I423" s="49">
        <v>5</v>
      </c>
      <c r="J423" s="49">
        <v>2</v>
      </c>
      <c r="K423" s="49">
        <v>0</v>
      </c>
      <c r="L423" s="49">
        <v>0</v>
      </c>
      <c r="M423" s="49">
        <v>0</v>
      </c>
      <c r="N423" s="49">
        <v>2</v>
      </c>
      <c r="O423" s="49">
        <v>0</v>
      </c>
      <c r="P423" s="49">
        <v>0</v>
      </c>
      <c r="Q423" s="49">
        <v>2</v>
      </c>
      <c r="R423" s="49">
        <v>0</v>
      </c>
      <c r="S423" s="49">
        <v>0</v>
      </c>
      <c r="T423" s="49">
        <v>0</v>
      </c>
      <c r="U423" s="49">
        <v>3223</v>
      </c>
      <c r="V423" s="49">
        <v>0</v>
      </c>
      <c r="W423" s="49">
        <v>0</v>
      </c>
      <c r="X423" s="49">
        <v>3223</v>
      </c>
      <c r="Y423" s="434">
        <v>0</v>
      </c>
      <c r="Z423" s="434">
        <v>6446</v>
      </c>
      <c r="AA423" s="49">
        <v>0.1603863478863479</v>
      </c>
      <c r="AB423" s="49">
        <v>6.8305180180180178</v>
      </c>
      <c r="AC423" s="49">
        <v>9.0956340956340961E-3</v>
      </c>
      <c r="AD423" s="285">
        <v>2</v>
      </c>
      <c r="AE423" s="285">
        <v>0</v>
      </c>
      <c r="AF423" s="359">
        <v>9</v>
      </c>
      <c r="AG423" s="360">
        <v>0.11456167706167707</v>
      </c>
      <c r="AH423" s="360">
        <v>4.8789414414414409</v>
      </c>
      <c r="AI423" s="361">
        <v>4.993503118503118</v>
      </c>
      <c r="AJ423" s="360">
        <v>6.4968814968814972E-3</v>
      </c>
      <c r="AK423" s="360">
        <v>0.14580951359037894</v>
      </c>
      <c r="AL423" s="360">
        <v>6.2097212319048145</v>
      </c>
      <c r="AM423" s="360">
        <v>6.3555307454951935</v>
      </c>
      <c r="AN423" s="360">
        <v>8.2689705249742312E-3</v>
      </c>
      <c r="AO423" s="360">
        <v>0.1045322731278595</v>
      </c>
      <c r="AP423" s="360">
        <v>4.4518101725851533</v>
      </c>
      <c r="AQ423" s="360">
        <v>4.5563424457130131</v>
      </c>
      <c r="AR423" s="360">
        <v>5.9281062265326744E-3</v>
      </c>
      <c r="AS423" s="360">
        <v>1.8596827016276773</v>
      </c>
      <c r="AT423" s="360">
        <v>0</v>
      </c>
      <c r="AU423" s="360">
        <v>5.7779035361913937</v>
      </c>
      <c r="AV423" s="360">
        <v>6.0598385761313649</v>
      </c>
      <c r="AW423" s="360">
        <v>6.3555307454951935</v>
      </c>
      <c r="AX423" s="360">
        <v>6.6656513287391341</v>
      </c>
      <c r="AY423" s="360">
        <v>6.9909043659043659</v>
      </c>
      <c r="AZ423" s="360">
        <v>4.1574533929257376</v>
      </c>
      <c r="BA423" s="360">
        <v>4.3523305665196341</v>
      </c>
      <c r="BB423" s="360">
        <v>4.5563424457130131</v>
      </c>
      <c r="BC423" s="360">
        <v>4.7699172122413254</v>
      </c>
      <c r="BD423" s="360">
        <v>4.993503118503118</v>
      </c>
      <c r="BE423" s="360">
        <v>1.7292098753666085</v>
      </c>
      <c r="BF423" s="360">
        <v>1.7932600739165065</v>
      </c>
      <c r="BG423" s="360">
        <v>1.8596827016276773</v>
      </c>
      <c r="BH423" s="360">
        <v>1.9285656336395076</v>
      </c>
      <c r="BI423" s="360">
        <v>2</v>
      </c>
      <c r="BJ423" s="362">
        <v>7.0846286626205721</v>
      </c>
      <c r="BK423" s="362">
        <v>7.1796094840058604</v>
      </c>
      <c r="BL423" s="362">
        <v>7.275863675790732</v>
      </c>
      <c r="BM423" s="363">
        <v>7.228028064372535</v>
      </c>
      <c r="BN423" s="363">
        <v>7.1805069511117674</v>
      </c>
      <c r="BO423" s="363">
        <v>7.1575772682365528</v>
      </c>
      <c r="BP423" s="363">
        <v>7.1347208072606199</v>
      </c>
      <c r="BQ423" s="363">
        <v>7.1119373343627421</v>
      </c>
      <c r="BR423" s="363">
        <v>7.0892266164683617</v>
      </c>
      <c r="BS423" s="363">
        <v>7.0665884212472037</v>
      </c>
      <c r="BT423" s="363">
        <v>7.118859748477397</v>
      </c>
      <c r="BU423" s="363">
        <v>7.1715177250336204</v>
      </c>
      <c r="BV423" s="363">
        <v>7.2245652109485006</v>
      </c>
      <c r="BW423" s="363">
        <v>7.2780050874102349</v>
      </c>
      <c r="BX423" s="363">
        <v>7.3318402569190706</v>
      </c>
      <c r="BY423" s="435">
        <v>7.3613935624302611</v>
      </c>
      <c r="BZ423" s="435">
        <v>7.3909468679414516</v>
      </c>
      <c r="CA423" s="435">
        <v>7.4205001734526421</v>
      </c>
      <c r="CB423" s="435">
        <v>7.4500534789638326</v>
      </c>
      <c r="CC423" s="363">
        <v>7.4796067844750231</v>
      </c>
      <c r="CD423" s="435">
        <v>7.5038317600270528</v>
      </c>
      <c r="CE423" s="435">
        <v>7.5280567355790824</v>
      </c>
      <c r="CF423" s="435">
        <v>7.5522817111311129</v>
      </c>
      <c r="CG423" s="435">
        <v>7.5765066866831425</v>
      </c>
      <c r="CH423" s="363">
        <v>7.6007316622351722</v>
      </c>
      <c r="CI423" s="362">
        <v>5.0604490447289798</v>
      </c>
      <c r="CJ423" s="362">
        <v>5.1282924885756138</v>
      </c>
      <c r="CK423" s="362">
        <v>5.1970454827076651</v>
      </c>
      <c r="CL423" s="363">
        <v>5.1628771888375242</v>
      </c>
      <c r="CM423" s="363">
        <v>5.1289335365084048</v>
      </c>
      <c r="CN423" s="363">
        <v>5.1125551915975374</v>
      </c>
      <c r="CO423" s="363">
        <v>5.0962291480432995</v>
      </c>
      <c r="CP423" s="363">
        <v>5.0799552388305296</v>
      </c>
      <c r="CQ423" s="363">
        <v>5.0637332974774001</v>
      </c>
      <c r="CR423" s="363">
        <v>5.0475631580337161</v>
      </c>
      <c r="CS423" s="363">
        <v>5.0848998203409979</v>
      </c>
      <c r="CT423" s="363">
        <v>5.1225126607383</v>
      </c>
      <c r="CU423" s="363">
        <v>5.1604037221060706</v>
      </c>
      <c r="CV423" s="363">
        <v>5.1985750624358813</v>
      </c>
      <c r="CW423" s="363">
        <v>5.2370287549421928</v>
      </c>
      <c r="CX423" s="435">
        <v>5.2581382588787573</v>
      </c>
      <c r="CY423" s="435">
        <v>5.2792477628153218</v>
      </c>
      <c r="CZ423" s="435">
        <v>5.3003572667518863</v>
      </c>
      <c r="DA423" s="435">
        <v>5.3214667706884509</v>
      </c>
      <c r="DB423" s="363">
        <v>5.3425762746250154</v>
      </c>
      <c r="DC423" s="435">
        <v>5.359879828590751</v>
      </c>
      <c r="DD423" s="435">
        <v>5.3771833825564865</v>
      </c>
      <c r="DE423" s="435">
        <v>5.394486936522223</v>
      </c>
      <c r="DF423" s="435">
        <v>5.4117904904879586</v>
      </c>
      <c r="DG423" s="363">
        <v>5.4290940444536941</v>
      </c>
      <c r="DH423" s="362">
        <v>2.0268132109411519</v>
      </c>
      <c r="DI423" s="362">
        <v>2.053985896022791</v>
      </c>
      <c r="DJ423" s="362">
        <v>2.081522874572896</v>
      </c>
      <c r="DK423" s="363">
        <v>2.0678377749307097</v>
      </c>
      <c r="DL423" s="363">
        <v>2.0542426488143994</v>
      </c>
      <c r="DM423" s="363">
        <v>2.0476827871212415</v>
      </c>
      <c r="DN423" s="363">
        <v>2.04114387318976</v>
      </c>
      <c r="DO423" s="363">
        <v>2.0346258401269717</v>
      </c>
      <c r="DP423" s="363">
        <v>2.0281286212535039</v>
      </c>
      <c r="DQ423" s="363">
        <v>2.0216521501029137</v>
      </c>
      <c r="DR423" s="363">
        <v>2.036606246023644</v>
      </c>
      <c r="DS423" s="363">
        <v>2.0516709569108489</v>
      </c>
      <c r="DT423" s="363">
        <v>2.0668471009798766</v>
      </c>
      <c r="DU423" s="363">
        <v>2.0821355024983892</v>
      </c>
      <c r="DV423" s="363">
        <v>2.0975369918311277</v>
      </c>
      <c r="DW423" s="435">
        <v>2.1059917793562799</v>
      </c>
      <c r="DX423" s="435">
        <v>2.1144465668814321</v>
      </c>
      <c r="DY423" s="435">
        <v>2.1229013544065847</v>
      </c>
      <c r="DZ423" s="435">
        <v>2.1313561419317368</v>
      </c>
      <c r="EA423" s="363">
        <v>2.139810929456889</v>
      </c>
      <c r="EB423" s="435">
        <v>2.1467413562755362</v>
      </c>
      <c r="EC423" s="435">
        <v>2.1536717830941829</v>
      </c>
      <c r="ED423" s="435">
        <v>2.1606022099128301</v>
      </c>
      <c r="EE423" s="435">
        <v>2.1675326367314769</v>
      </c>
      <c r="EF423" s="363">
        <v>2.1744630635501241</v>
      </c>
      <c r="EG423" s="364">
        <v>9.2175756734589817E-3</v>
      </c>
      <c r="EH423" s="364">
        <v>9.3411520739082234E-3</v>
      </c>
      <c r="EI423" s="364">
        <v>9.4663852144037629E-3</v>
      </c>
      <c r="EJ423" s="365">
        <v>9.4041478849499534E-3</v>
      </c>
      <c r="EK423" s="365">
        <v>9.3423197386309758E-3</v>
      </c>
      <c r="EL423" s="365">
        <v>9.3124866877915078E-3</v>
      </c>
      <c r="EM423" s="365">
        <v>9.2827489035397087E-3</v>
      </c>
      <c r="EN423" s="365">
        <v>9.2531060816585242E-3</v>
      </c>
      <c r="EO423" s="365">
        <v>9.2235579189023694E-3</v>
      </c>
      <c r="EP423" s="365">
        <v>9.1941041129940202E-3</v>
      </c>
      <c r="EQ423" s="365">
        <v>9.2621126053570087E-3</v>
      </c>
      <c r="ER423" s="365">
        <v>9.3306241543502748E-3</v>
      </c>
      <c r="ES423" s="365">
        <v>9.3996424810675258E-3</v>
      </c>
      <c r="ET423" s="365">
        <v>9.4691713341272903E-3</v>
      </c>
      <c r="EU423" s="365">
        <v>9.5392144898764908E-3</v>
      </c>
      <c r="EV423" s="436">
        <v>9.5776653167190494E-3</v>
      </c>
      <c r="EW423" s="436">
        <v>9.616116143561608E-3</v>
      </c>
      <c r="EX423" s="436">
        <v>9.6545669704041666E-3</v>
      </c>
      <c r="EY423" s="436">
        <v>9.6930177972467252E-3</v>
      </c>
      <c r="EZ423" s="365">
        <v>9.7314686240892838E-3</v>
      </c>
      <c r="FA423" s="436">
        <v>9.7629869373237754E-3</v>
      </c>
      <c r="FB423" s="436">
        <v>9.7945052505582653E-3</v>
      </c>
      <c r="FC423" s="436">
        <v>9.826023563792757E-3</v>
      </c>
      <c r="FD423" s="436">
        <v>9.8575418770272469E-3</v>
      </c>
      <c r="FE423" s="365">
        <v>9.8890601902617385E-3</v>
      </c>
      <c r="FF423" s="364">
        <v>0</v>
      </c>
      <c r="FG423" s="364">
        <v>0</v>
      </c>
      <c r="FH423" s="364">
        <v>0</v>
      </c>
      <c r="FI423" s="365">
        <v>0</v>
      </c>
      <c r="FJ423" s="365">
        <v>0</v>
      </c>
      <c r="FK423" s="365">
        <v>0</v>
      </c>
      <c r="FL423" s="365">
        <v>0</v>
      </c>
      <c r="FM423" s="365">
        <v>0</v>
      </c>
      <c r="FN423" s="365">
        <v>0</v>
      </c>
      <c r="FO423" s="365">
        <v>0</v>
      </c>
      <c r="FP423" s="365">
        <v>0</v>
      </c>
      <c r="FQ423" s="365">
        <v>0</v>
      </c>
      <c r="FR423" s="365">
        <v>0</v>
      </c>
      <c r="FS423" s="365">
        <v>0</v>
      </c>
      <c r="FT423" s="365">
        <v>0</v>
      </c>
      <c r="FU423" s="436">
        <v>0</v>
      </c>
      <c r="FV423" s="436">
        <v>0</v>
      </c>
      <c r="FW423" s="436">
        <v>0</v>
      </c>
      <c r="FX423" s="436">
        <v>0</v>
      </c>
      <c r="FY423" s="365">
        <v>0</v>
      </c>
      <c r="FZ423" s="436">
        <v>0</v>
      </c>
      <c r="GA423" s="436">
        <v>0</v>
      </c>
      <c r="GB423" s="436">
        <v>0</v>
      </c>
      <c r="GC423" s="436">
        <v>0</v>
      </c>
      <c r="GD423" s="365">
        <v>0</v>
      </c>
    </row>
    <row r="424" spans="1:186" ht="15" x14ac:dyDescent="0.25">
      <c r="A424" s="357">
        <v>111</v>
      </c>
      <c r="B424" s="357">
        <v>113</v>
      </c>
      <c r="C424" s="357" t="s">
        <v>1334</v>
      </c>
      <c r="D424" s="2">
        <v>99712</v>
      </c>
      <c r="E424" s="268" t="s">
        <v>19</v>
      </c>
      <c r="F424" s="358" t="s">
        <v>915</v>
      </c>
      <c r="G424" s="49">
        <v>3</v>
      </c>
      <c r="H424" s="49">
        <v>1</v>
      </c>
      <c r="I424" s="49">
        <v>1</v>
      </c>
      <c r="J424" s="49">
        <v>0</v>
      </c>
      <c r="K424" s="49">
        <v>0</v>
      </c>
      <c r="L424" s="49">
        <v>10</v>
      </c>
      <c r="M424" s="49">
        <v>10</v>
      </c>
      <c r="N424" s="49">
        <v>0</v>
      </c>
      <c r="O424" s="49">
        <v>0</v>
      </c>
      <c r="P424" s="49">
        <v>0</v>
      </c>
      <c r="Q424" s="49">
        <v>10</v>
      </c>
      <c r="R424" s="49">
        <v>0</v>
      </c>
      <c r="S424" s="49">
        <v>544.6</v>
      </c>
      <c r="T424" s="49">
        <v>544.6</v>
      </c>
      <c r="U424" s="49">
        <v>0</v>
      </c>
      <c r="V424" s="49">
        <v>0</v>
      </c>
      <c r="W424" s="49">
        <v>0</v>
      </c>
      <c r="X424" s="49">
        <v>544.6</v>
      </c>
      <c r="Y424" s="434">
        <v>5446</v>
      </c>
      <c r="Z424" s="434">
        <v>0</v>
      </c>
      <c r="AA424" s="49">
        <v>0</v>
      </c>
      <c r="AB424" s="49">
        <v>1</v>
      </c>
      <c r="AC424" s="49">
        <v>0</v>
      </c>
      <c r="AD424" s="285">
        <v>0</v>
      </c>
      <c r="AE424" s="285">
        <v>0</v>
      </c>
      <c r="AF424" s="359">
        <v>1</v>
      </c>
      <c r="AG424" s="360">
        <v>0</v>
      </c>
      <c r="AH424" s="360">
        <v>1</v>
      </c>
      <c r="AI424" s="361">
        <v>1</v>
      </c>
      <c r="AJ424" s="360">
        <v>0</v>
      </c>
      <c r="AK424" s="360">
        <v>0</v>
      </c>
      <c r="AL424" s="360">
        <v>0.90911424514573824</v>
      </c>
      <c r="AM424" s="360">
        <v>0.90911424514573824</v>
      </c>
      <c r="AN424" s="360">
        <v>0</v>
      </c>
      <c r="AO424" s="360">
        <v>0</v>
      </c>
      <c r="AP424" s="360">
        <v>0.91245411038790925</v>
      </c>
      <c r="AQ424" s="360">
        <v>0.91245411038790925</v>
      </c>
      <c r="AR424" s="360">
        <v>0</v>
      </c>
      <c r="AS424" s="360">
        <v>0</v>
      </c>
      <c r="AT424" s="360">
        <v>0</v>
      </c>
      <c r="AU424" s="360">
        <v>0.82648871072690544</v>
      </c>
      <c r="AV424" s="360">
        <v>0.86681754733851879</v>
      </c>
      <c r="AW424" s="360">
        <v>0.90911424514573824</v>
      </c>
      <c r="AX424" s="360">
        <v>0.95347482669745309</v>
      </c>
      <c r="AY424" s="360">
        <v>1</v>
      </c>
      <c r="AZ424" s="360">
        <v>0.83257250356379087</v>
      </c>
      <c r="BA424" s="360">
        <v>0.87159864792961517</v>
      </c>
      <c r="BB424" s="360">
        <v>0.91245411038790925</v>
      </c>
      <c r="BC424" s="360">
        <v>0.9552246387043779</v>
      </c>
      <c r="BD424" s="360">
        <v>1</v>
      </c>
      <c r="BE424" s="360">
        <v>0</v>
      </c>
      <c r="BF424" s="360">
        <v>0</v>
      </c>
      <c r="BG424" s="360">
        <v>0</v>
      </c>
      <c r="BH424" s="360">
        <v>0</v>
      </c>
      <c r="BI424" s="360">
        <v>0</v>
      </c>
      <c r="BJ424" s="362">
        <v>1.0134066054705759</v>
      </c>
      <c r="BK424" s="362">
        <v>1.0269929480113955</v>
      </c>
      <c r="BL424" s="362">
        <v>1.040761437286448</v>
      </c>
      <c r="BM424" s="363">
        <v>1.0339188874653549</v>
      </c>
      <c r="BN424" s="363">
        <v>1.0271213244071997</v>
      </c>
      <c r="BO424" s="363">
        <v>1.0238413935606208</v>
      </c>
      <c r="BP424" s="363">
        <v>1.02057193659488</v>
      </c>
      <c r="BQ424" s="363">
        <v>1.0173129200634858</v>
      </c>
      <c r="BR424" s="363">
        <v>1.014064310626752</v>
      </c>
      <c r="BS424" s="363">
        <v>1.0108260750514568</v>
      </c>
      <c r="BT424" s="363">
        <v>1.018303123011822</v>
      </c>
      <c r="BU424" s="363">
        <v>1.0258354784554244</v>
      </c>
      <c r="BV424" s="363">
        <v>1.0334235504899383</v>
      </c>
      <c r="BW424" s="363">
        <v>1.0410677512491946</v>
      </c>
      <c r="BX424" s="363">
        <v>1.0487684959155639</v>
      </c>
      <c r="BY424" s="435">
        <v>1.05299588967814</v>
      </c>
      <c r="BZ424" s="435">
        <v>1.057223283440716</v>
      </c>
      <c r="CA424" s="435">
        <v>1.0614506772032923</v>
      </c>
      <c r="CB424" s="435">
        <v>1.0656780709658684</v>
      </c>
      <c r="CC424" s="363">
        <v>1.0699054647284445</v>
      </c>
      <c r="CD424" s="435">
        <v>1.0733706781377681</v>
      </c>
      <c r="CE424" s="435">
        <v>1.0768358915470915</v>
      </c>
      <c r="CF424" s="435">
        <v>1.0803011049564151</v>
      </c>
      <c r="CG424" s="435">
        <v>1.0837663183657384</v>
      </c>
      <c r="CH424" s="363">
        <v>1.087231531775062</v>
      </c>
      <c r="CI424" s="362">
        <v>1.0134066054705759</v>
      </c>
      <c r="CJ424" s="362">
        <v>1.0269929480113955</v>
      </c>
      <c r="CK424" s="362">
        <v>1.040761437286448</v>
      </c>
      <c r="CL424" s="363">
        <v>1.0339188874653549</v>
      </c>
      <c r="CM424" s="363">
        <v>1.0271213244071997</v>
      </c>
      <c r="CN424" s="363">
        <v>1.0238413935606208</v>
      </c>
      <c r="CO424" s="363">
        <v>1.02057193659488</v>
      </c>
      <c r="CP424" s="363">
        <v>1.0173129200634858</v>
      </c>
      <c r="CQ424" s="363">
        <v>1.014064310626752</v>
      </c>
      <c r="CR424" s="363">
        <v>1.0108260750514568</v>
      </c>
      <c r="CS424" s="363">
        <v>1.018303123011822</v>
      </c>
      <c r="CT424" s="363">
        <v>1.0258354784554244</v>
      </c>
      <c r="CU424" s="363">
        <v>1.0334235504899383</v>
      </c>
      <c r="CV424" s="363">
        <v>1.0410677512491946</v>
      </c>
      <c r="CW424" s="363">
        <v>1.0487684959155639</v>
      </c>
      <c r="CX424" s="435">
        <v>1.05299588967814</v>
      </c>
      <c r="CY424" s="435">
        <v>1.057223283440716</v>
      </c>
      <c r="CZ424" s="435">
        <v>1.0614506772032923</v>
      </c>
      <c r="DA424" s="435">
        <v>1.0656780709658684</v>
      </c>
      <c r="DB424" s="363">
        <v>1.0699054647284445</v>
      </c>
      <c r="DC424" s="435">
        <v>1.0733706781377681</v>
      </c>
      <c r="DD424" s="435">
        <v>1.0768358915470915</v>
      </c>
      <c r="DE424" s="435">
        <v>1.0803011049564151</v>
      </c>
      <c r="DF424" s="435">
        <v>1.0837663183657384</v>
      </c>
      <c r="DG424" s="363">
        <v>1.087231531775062</v>
      </c>
      <c r="DH424" s="362">
        <v>0</v>
      </c>
      <c r="DI424" s="362">
        <v>0</v>
      </c>
      <c r="DJ424" s="362">
        <v>0</v>
      </c>
      <c r="DK424" s="363">
        <v>0</v>
      </c>
      <c r="DL424" s="363">
        <v>0</v>
      </c>
      <c r="DM424" s="363">
        <v>0</v>
      </c>
      <c r="DN424" s="363">
        <v>0</v>
      </c>
      <c r="DO424" s="363">
        <v>0</v>
      </c>
      <c r="DP424" s="363">
        <v>0</v>
      </c>
      <c r="DQ424" s="363">
        <v>0</v>
      </c>
      <c r="DR424" s="363">
        <v>0</v>
      </c>
      <c r="DS424" s="363">
        <v>0</v>
      </c>
      <c r="DT424" s="363">
        <v>0</v>
      </c>
      <c r="DU424" s="363">
        <v>0</v>
      </c>
      <c r="DV424" s="363">
        <v>0</v>
      </c>
      <c r="DW424" s="435">
        <v>0</v>
      </c>
      <c r="DX424" s="435">
        <v>0</v>
      </c>
      <c r="DY424" s="435">
        <v>0</v>
      </c>
      <c r="DZ424" s="435">
        <v>0</v>
      </c>
      <c r="EA424" s="363">
        <v>0</v>
      </c>
      <c r="EB424" s="435">
        <v>0</v>
      </c>
      <c r="EC424" s="435">
        <v>0</v>
      </c>
      <c r="ED424" s="435">
        <v>0</v>
      </c>
      <c r="EE424" s="435">
        <v>0</v>
      </c>
      <c r="EF424" s="363">
        <v>0</v>
      </c>
      <c r="EG424" s="364">
        <v>0</v>
      </c>
      <c r="EH424" s="364">
        <v>0</v>
      </c>
      <c r="EI424" s="364">
        <v>0</v>
      </c>
      <c r="EJ424" s="365">
        <v>0</v>
      </c>
      <c r="EK424" s="365">
        <v>0</v>
      </c>
      <c r="EL424" s="365">
        <v>0</v>
      </c>
      <c r="EM424" s="365">
        <v>0</v>
      </c>
      <c r="EN424" s="365">
        <v>0</v>
      </c>
      <c r="EO424" s="365">
        <v>0</v>
      </c>
      <c r="EP424" s="365">
        <v>0</v>
      </c>
      <c r="EQ424" s="365">
        <v>0</v>
      </c>
      <c r="ER424" s="365">
        <v>0</v>
      </c>
      <c r="ES424" s="365">
        <v>0</v>
      </c>
      <c r="ET424" s="365">
        <v>0</v>
      </c>
      <c r="EU424" s="365">
        <v>0</v>
      </c>
      <c r="EV424" s="436">
        <v>0</v>
      </c>
      <c r="EW424" s="436">
        <v>0</v>
      </c>
      <c r="EX424" s="436">
        <v>0</v>
      </c>
      <c r="EY424" s="436">
        <v>0</v>
      </c>
      <c r="EZ424" s="365">
        <v>0</v>
      </c>
      <c r="FA424" s="436">
        <v>0</v>
      </c>
      <c r="FB424" s="436">
        <v>0</v>
      </c>
      <c r="FC424" s="436">
        <v>0</v>
      </c>
      <c r="FD424" s="436">
        <v>0</v>
      </c>
      <c r="FE424" s="365">
        <v>0</v>
      </c>
      <c r="FF424" s="364">
        <v>0</v>
      </c>
      <c r="FG424" s="364">
        <v>0</v>
      </c>
      <c r="FH424" s="364">
        <v>0</v>
      </c>
      <c r="FI424" s="365">
        <v>0</v>
      </c>
      <c r="FJ424" s="365">
        <v>0</v>
      </c>
      <c r="FK424" s="365">
        <v>0</v>
      </c>
      <c r="FL424" s="365">
        <v>0</v>
      </c>
      <c r="FM424" s="365">
        <v>0</v>
      </c>
      <c r="FN424" s="365">
        <v>0</v>
      </c>
      <c r="FO424" s="365">
        <v>0</v>
      </c>
      <c r="FP424" s="365">
        <v>0</v>
      </c>
      <c r="FQ424" s="365">
        <v>0</v>
      </c>
      <c r="FR424" s="365">
        <v>0</v>
      </c>
      <c r="FS424" s="365">
        <v>0</v>
      </c>
      <c r="FT424" s="365">
        <v>0</v>
      </c>
      <c r="FU424" s="436">
        <v>0</v>
      </c>
      <c r="FV424" s="436">
        <v>0</v>
      </c>
      <c r="FW424" s="436">
        <v>0</v>
      </c>
      <c r="FX424" s="436">
        <v>0</v>
      </c>
      <c r="FY424" s="365">
        <v>0</v>
      </c>
      <c r="FZ424" s="436">
        <v>0</v>
      </c>
      <c r="GA424" s="436">
        <v>0</v>
      </c>
      <c r="GB424" s="436">
        <v>0</v>
      </c>
      <c r="GC424" s="436">
        <v>0</v>
      </c>
      <c r="GD424" s="365">
        <v>0</v>
      </c>
    </row>
    <row r="425" spans="1:186" ht="15" x14ac:dyDescent="0.25">
      <c r="A425" s="357">
        <v>112</v>
      </c>
      <c r="B425" s="357">
        <v>113</v>
      </c>
      <c r="C425" s="357" t="s">
        <v>1335</v>
      </c>
      <c r="D425" s="2">
        <v>99712</v>
      </c>
      <c r="E425" s="268" t="s">
        <v>19</v>
      </c>
      <c r="F425" s="358" t="s">
        <v>915</v>
      </c>
      <c r="G425" s="49">
        <v>34</v>
      </c>
      <c r="H425" s="49">
        <v>34</v>
      </c>
      <c r="I425" s="49">
        <v>20</v>
      </c>
      <c r="J425" s="49">
        <v>14</v>
      </c>
      <c r="K425" s="49">
        <v>0</v>
      </c>
      <c r="L425" s="49">
        <v>7</v>
      </c>
      <c r="M425" s="49">
        <v>7</v>
      </c>
      <c r="N425" s="49">
        <v>0</v>
      </c>
      <c r="O425" s="49">
        <v>0</v>
      </c>
      <c r="P425" s="49">
        <v>0</v>
      </c>
      <c r="Q425" s="49">
        <v>7</v>
      </c>
      <c r="R425" s="49">
        <v>0</v>
      </c>
      <c r="S425" s="49">
        <v>617.14285714285711</v>
      </c>
      <c r="T425" s="49">
        <v>617.14285714285711</v>
      </c>
      <c r="U425" s="49">
        <v>0</v>
      </c>
      <c r="V425" s="49">
        <v>0</v>
      </c>
      <c r="W425" s="49">
        <v>0</v>
      </c>
      <c r="X425" s="49">
        <v>617.14285714285711</v>
      </c>
      <c r="Y425" s="434">
        <v>4320</v>
      </c>
      <c r="Z425" s="434">
        <v>0</v>
      </c>
      <c r="AA425" s="49">
        <v>0</v>
      </c>
      <c r="AB425" s="49">
        <v>34</v>
      </c>
      <c r="AC425" s="49">
        <v>0</v>
      </c>
      <c r="AD425" s="285">
        <v>0</v>
      </c>
      <c r="AE425" s="285">
        <v>0</v>
      </c>
      <c r="AF425" s="359">
        <v>34</v>
      </c>
      <c r="AG425" s="360">
        <v>0</v>
      </c>
      <c r="AH425" s="360">
        <v>20</v>
      </c>
      <c r="AI425" s="361">
        <v>20</v>
      </c>
      <c r="AJ425" s="360">
        <v>0</v>
      </c>
      <c r="AK425" s="360">
        <v>0</v>
      </c>
      <c r="AL425" s="360">
        <v>30.909884334955098</v>
      </c>
      <c r="AM425" s="360">
        <v>30.909884334955098</v>
      </c>
      <c r="AN425" s="360">
        <v>0</v>
      </c>
      <c r="AO425" s="360">
        <v>0</v>
      </c>
      <c r="AP425" s="360">
        <v>18.249082207758185</v>
      </c>
      <c r="AQ425" s="360">
        <v>18.249082207758185</v>
      </c>
      <c r="AR425" s="360">
        <v>0</v>
      </c>
      <c r="AS425" s="360">
        <v>0</v>
      </c>
      <c r="AT425" s="360">
        <v>0</v>
      </c>
      <c r="AU425" s="360">
        <v>28.100616164714783</v>
      </c>
      <c r="AV425" s="360">
        <v>29.471796609509639</v>
      </c>
      <c r="AW425" s="360">
        <v>30.909884334955098</v>
      </c>
      <c r="AX425" s="360">
        <v>32.41814410771341</v>
      </c>
      <c r="AY425" s="360">
        <v>34</v>
      </c>
      <c r="AZ425" s="360">
        <v>16.651450071275818</v>
      </c>
      <c r="BA425" s="360">
        <v>17.431972958592304</v>
      </c>
      <c r="BB425" s="360">
        <v>18.249082207758185</v>
      </c>
      <c r="BC425" s="360">
        <v>19.104492774087557</v>
      </c>
      <c r="BD425" s="360">
        <v>20</v>
      </c>
      <c r="BE425" s="360">
        <v>0</v>
      </c>
      <c r="BF425" s="360">
        <v>0</v>
      </c>
      <c r="BG425" s="360">
        <v>0</v>
      </c>
      <c r="BH425" s="360">
        <v>0</v>
      </c>
      <c r="BI425" s="360">
        <v>0</v>
      </c>
      <c r="BJ425" s="362">
        <v>34.455824585999579</v>
      </c>
      <c r="BK425" s="362">
        <v>34.917760232387451</v>
      </c>
      <c r="BL425" s="362">
        <v>35.385888867739233</v>
      </c>
      <c r="BM425" s="363">
        <v>35.153242173822072</v>
      </c>
      <c r="BN425" s="363">
        <v>34.922125029844793</v>
      </c>
      <c r="BO425" s="363">
        <v>34.810607381061104</v>
      </c>
      <c r="BP425" s="363">
        <v>34.69944584422592</v>
      </c>
      <c r="BQ425" s="363">
        <v>34.588639282158518</v>
      </c>
      <c r="BR425" s="363">
        <v>34.47818656130957</v>
      </c>
      <c r="BS425" s="363">
        <v>34.368086551749535</v>
      </c>
      <c r="BT425" s="363">
        <v>34.62230618240195</v>
      </c>
      <c r="BU425" s="363">
        <v>34.878406267484429</v>
      </c>
      <c r="BV425" s="363">
        <v>35.136400716657903</v>
      </c>
      <c r="BW425" s="363">
        <v>35.396303542472616</v>
      </c>
      <c r="BX425" s="363">
        <v>35.658128861129171</v>
      </c>
      <c r="BY425" s="435">
        <v>35.801860249056759</v>
      </c>
      <c r="BZ425" s="435">
        <v>35.945591636984346</v>
      </c>
      <c r="CA425" s="435">
        <v>36.089323024911941</v>
      </c>
      <c r="CB425" s="435">
        <v>36.233054412839529</v>
      </c>
      <c r="CC425" s="363">
        <v>36.376785800767117</v>
      </c>
      <c r="CD425" s="435">
        <v>36.494603056684113</v>
      </c>
      <c r="CE425" s="435">
        <v>36.612420312601117</v>
      </c>
      <c r="CF425" s="435">
        <v>36.730237568518113</v>
      </c>
      <c r="CG425" s="435">
        <v>36.848054824435117</v>
      </c>
      <c r="CH425" s="363">
        <v>36.965872080352113</v>
      </c>
      <c r="CI425" s="362">
        <v>20.268132109411518</v>
      </c>
      <c r="CJ425" s="362">
        <v>20.53985896022791</v>
      </c>
      <c r="CK425" s="362">
        <v>20.815228745728959</v>
      </c>
      <c r="CL425" s="363">
        <v>20.678377749307099</v>
      </c>
      <c r="CM425" s="363">
        <v>20.542426488143995</v>
      </c>
      <c r="CN425" s="363">
        <v>20.476827871212414</v>
      </c>
      <c r="CO425" s="363">
        <v>20.411438731897597</v>
      </c>
      <c r="CP425" s="363">
        <v>20.346258401269715</v>
      </c>
      <c r="CQ425" s="363">
        <v>20.28128621253504</v>
      </c>
      <c r="CR425" s="363">
        <v>20.216521501029135</v>
      </c>
      <c r="CS425" s="363">
        <v>20.366062460236442</v>
      </c>
      <c r="CT425" s="363">
        <v>20.516709569108489</v>
      </c>
      <c r="CU425" s="363">
        <v>20.668471009798765</v>
      </c>
      <c r="CV425" s="363">
        <v>20.821355024983891</v>
      </c>
      <c r="CW425" s="363">
        <v>20.975369918311277</v>
      </c>
      <c r="CX425" s="435">
        <v>21.0599177935628</v>
      </c>
      <c r="CY425" s="435">
        <v>21.144465668814323</v>
      </c>
      <c r="CZ425" s="435">
        <v>21.229013544065843</v>
      </c>
      <c r="DA425" s="435">
        <v>21.313561419317367</v>
      </c>
      <c r="DB425" s="363">
        <v>21.39810929456889</v>
      </c>
      <c r="DC425" s="435">
        <v>21.467413562755361</v>
      </c>
      <c r="DD425" s="435">
        <v>21.536717830941832</v>
      </c>
      <c r="DE425" s="435">
        <v>21.6060220991283</v>
      </c>
      <c r="DF425" s="435">
        <v>21.675326367314771</v>
      </c>
      <c r="DG425" s="363">
        <v>21.744630635501242</v>
      </c>
      <c r="DH425" s="362">
        <v>0</v>
      </c>
      <c r="DI425" s="362">
        <v>0</v>
      </c>
      <c r="DJ425" s="362">
        <v>0</v>
      </c>
      <c r="DK425" s="363">
        <v>0</v>
      </c>
      <c r="DL425" s="363">
        <v>0</v>
      </c>
      <c r="DM425" s="363">
        <v>0</v>
      </c>
      <c r="DN425" s="363">
        <v>0</v>
      </c>
      <c r="DO425" s="363">
        <v>0</v>
      </c>
      <c r="DP425" s="363">
        <v>0</v>
      </c>
      <c r="DQ425" s="363">
        <v>0</v>
      </c>
      <c r="DR425" s="363">
        <v>0</v>
      </c>
      <c r="DS425" s="363">
        <v>0</v>
      </c>
      <c r="DT425" s="363">
        <v>0</v>
      </c>
      <c r="DU425" s="363">
        <v>0</v>
      </c>
      <c r="DV425" s="363">
        <v>0</v>
      </c>
      <c r="DW425" s="435">
        <v>0</v>
      </c>
      <c r="DX425" s="435">
        <v>0</v>
      </c>
      <c r="DY425" s="435">
        <v>0</v>
      </c>
      <c r="DZ425" s="435">
        <v>0</v>
      </c>
      <c r="EA425" s="363">
        <v>0</v>
      </c>
      <c r="EB425" s="435">
        <v>0</v>
      </c>
      <c r="EC425" s="435">
        <v>0</v>
      </c>
      <c r="ED425" s="435">
        <v>0</v>
      </c>
      <c r="EE425" s="435">
        <v>0</v>
      </c>
      <c r="EF425" s="363">
        <v>0</v>
      </c>
      <c r="EG425" s="364">
        <v>0</v>
      </c>
      <c r="EH425" s="364">
        <v>0</v>
      </c>
      <c r="EI425" s="364">
        <v>0</v>
      </c>
      <c r="EJ425" s="365">
        <v>0</v>
      </c>
      <c r="EK425" s="365">
        <v>0</v>
      </c>
      <c r="EL425" s="365">
        <v>0</v>
      </c>
      <c r="EM425" s="365">
        <v>0</v>
      </c>
      <c r="EN425" s="365">
        <v>0</v>
      </c>
      <c r="EO425" s="365">
        <v>0</v>
      </c>
      <c r="EP425" s="365">
        <v>0</v>
      </c>
      <c r="EQ425" s="365">
        <v>0</v>
      </c>
      <c r="ER425" s="365">
        <v>0</v>
      </c>
      <c r="ES425" s="365">
        <v>0</v>
      </c>
      <c r="ET425" s="365">
        <v>0</v>
      </c>
      <c r="EU425" s="365">
        <v>0</v>
      </c>
      <c r="EV425" s="436">
        <v>0</v>
      </c>
      <c r="EW425" s="436">
        <v>0</v>
      </c>
      <c r="EX425" s="436">
        <v>0</v>
      </c>
      <c r="EY425" s="436">
        <v>0</v>
      </c>
      <c r="EZ425" s="365">
        <v>0</v>
      </c>
      <c r="FA425" s="436">
        <v>0</v>
      </c>
      <c r="FB425" s="436">
        <v>0</v>
      </c>
      <c r="FC425" s="436">
        <v>0</v>
      </c>
      <c r="FD425" s="436">
        <v>0</v>
      </c>
      <c r="FE425" s="365">
        <v>0</v>
      </c>
      <c r="FF425" s="364">
        <v>0</v>
      </c>
      <c r="FG425" s="364">
        <v>0</v>
      </c>
      <c r="FH425" s="364">
        <v>0</v>
      </c>
      <c r="FI425" s="365">
        <v>0</v>
      </c>
      <c r="FJ425" s="365">
        <v>0</v>
      </c>
      <c r="FK425" s="365">
        <v>0</v>
      </c>
      <c r="FL425" s="365">
        <v>0</v>
      </c>
      <c r="FM425" s="365">
        <v>0</v>
      </c>
      <c r="FN425" s="365">
        <v>0</v>
      </c>
      <c r="FO425" s="365">
        <v>0</v>
      </c>
      <c r="FP425" s="365">
        <v>0</v>
      </c>
      <c r="FQ425" s="365">
        <v>0</v>
      </c>
      <c r="FR425" s="365">
        <v>0</v>
      </c>
      <c r="FS425" s="365">
        <v>0</v>
      </c>
      <c r="FT425" s="365">
        <v>0</v>
      </c>
      <c r="FU425" s="436">
        <v>0</v>
      </c>
      <c r="FV425" s="436">
        <v>0</v>
      </c>
      <c r="FW425" s="436">
        <v>0</v>
      </c>
      <c r="FX425" s="436">
        <v>0</v>
      </c>
      <c r="FY425" s="365">
        <v>0</v>
      </c>
      <c r="FZ425" s="436">
        <v>0</v>
      </c>
      <c r="GA425" s="436">
        <v>0</v>
      </c>
      <c r="GB425" s="436">
        <v>0</v>
      </c>
      <c r="GC425" s="436">
        <v>0</v>
      </c>
      <c r="GD425" s="365">
        <v>0</v>
      </c>
    </row>
    <row r="426" spans="1:186" ht="15" x14ac:dyDescent="0.25">
      <c r="A426" s="357">
        <v>163</v>
      </c>
      <c r="B426" s="357">
        <v>113</v>
      </c>
      <c r="C426" s="357" t="s">
        <v>1336</v>
      </c>
      <c r="D426" s="2">
        <v>99712</v>
      </c>
      <c r="E426" s="268" t="s">
        <v>19</v>
      </c>
      <c r="F426" s="358" t="s">
        <v>915</v>
      </c>
      <c r="G426" s="49">
        <v>0</v>
      </c>
      <c r="H426" s="49">
        <v>2</v>
      </c>
      <c r="I426" s="49">
        <v>0</v>
      </c>
      <c r="J426" s="49">
        <v>2</v>
      </c>
      <c r="K426" s="49">
        <v>0</v>
      </c>
      <c r="L426" s="49">
        <v>13</v>
      </c>
      <c r="M426" s="49">
        <v>13</v>
      </c>
      <c r="N426" s="49">
        <v>0</v>
      </c>
      <c r="O426" s="49">
        <v>0</v>
      </c>
      <c r="P426" s="49">
        <v>0</v>
      </c>
      <c r="Q426" s="49">
        <v>13</v>
      </c>
      <c r="R426" s="49">
        <v>0</v>
      </c>
      <c r="S426" s="49">
        <v>511.23076923076923</v>
      </c>
      <c r="T426" s="49">
        <v>511.23076923076923</v>
      </c>
      <c r="U426" s="49">
        <v>0</v>
      </c>
      <c r="V426" s="49">
        <v>0</v>
      </c>
      <c r="W426" s="49">
        <v>0</v>
      </c>
      <c r="X426" s="49">
        <v>511.23076923076923</v>
      </c>
      <c r="Y426" s="434">
        <v>6646</v>
      </c>
      <c r="Z426" s="434">
        <v>0</v>
      </c>
      <c r="AA426" s="49">
        <v>0</v>
      </c>
      <c r="AB426" s="49">
        <v>2</v>
      </c>
      <c r="AC426" s="49">
        <v>0</v>
      </c>
      <c r="AD426" s="285">
        <v>0</v>
      </c>
      <c r="AE426" s="285">
        <v>0</v>
      </c>
      <c r="AF426" s="359">
        <v>2</v>
      </c>
      <c r="AG426" s="360">
        <v>0</v>
      </c>
      <c r="AH426" s="360">
        <v>0</v>
      </c>
      <c r="AI426" s="361">
        <v>0</v>
      </c>
      <c r="AJ426" s="360">
        <v>0</v>
      </c>
      <c r="AK426" s="360">
        <v>0</v>
      </c>
      <c r="AL426" s="360">
        <v>1.8182284902914765</v>
      </c>
      <c r="AM426" s="360">
        <v>1.8182284902914765</v>
      </c>
      <c r="AN426" s="360">
        <v>0</v>
      </c>
      <c r="AO426" s="360">
        <v>0</v>
      </c>
      <c r="AP426" s="360">
        <v>0</v>
      </c>
      <c r="AQ426" s="360">
        <v>0</v>
      </c>
      <c r="AR426" s="360">
        <v>0</v>
      </c>
      <c r="AS426" s="360">
        <v>0</v>
      </c>
      <c r="AT426" s="360">
        <v>0</v>
      </c>
      <c r="AU426" s="360">
        <v>1.6529774214538109</v>
      </c>
      <c r="AV426" s="360">
        <v>1.7336350946770376</v>
      </c>
      <c r="AW426" s="360">
        <v>1.8182284902914765</v>
      </c>
      <c r="AX426" s="360">
        <v>1.9069496533949062</v>
      </c>
      <c r="AY426" s="360">
        <v>2</v>
      </c>
      <c r="AZ426" s="360">
        <v>0</v>
      </c>
      <c r="BA426" s="360">
        <v>0</v>
      </c>
      <c r="BB426" s="360">
        <v>0</v>
      </c>
      <c r="BC426" s="360">
        <v>0</v>
      </c>
      <c r="BD426" s="360">
        <v>0</v>
      </c>
      <c r="BE426" s="360">
        <v>0</v>
      </c>
      <c r="BF426" s="360">
        <v>0</v>
      </c>
      <c r="BG426" s="360">
        <v>0</v>
      </c>
      <c r="BH426" s="360">
        <v>0</v>
      </c>
      <c r="BI426" s="360">
        <v>0</v>
      </c>
      <c r="BJ426" s="362">
        <v>2.0268132109411519</v>
      </c>
      <c r="BK426" s="362">
        <v>2.053985896022791</v>
      </c>
      <c r="BL426" s="362">
        <v>2.081522874572896</v>
      </c>
      <c r="BM426" s="363">
        <v>2.0678377749307097</v>
      </c>
      <c r="BN426" s="363">
        <v>2.0542426488143994</v>
      </c>
      <c r="BO426" s="363">
        <v>2.0476827871212415</v>
      </c>
      <c r="BP426" s="363">
        <v>2.04114387318976</v>
      </c>
      <c r="BQ426" s="363">
        <v>2.0346258401269717</v>
      </c>
      <c r="BR426" s="363">
        <v>2.0281286212535039</v>
      </c>
      <c r="BS426" s="363">
        <v>2.0216521501029137</v>
      </c>
      <c r="BT426" s="363">
        <v>2.036606246023644</v>
      </c>
      <c r="BU426" s="363">
        <v>2.0516709569108489</v>
      </c>
      <c r="BV426" s="363">
        <v>2.0668471009798766</v>
      </c>
      <c r="BW426" s="363">
        <v>2.0821355024983892</v>
      </c>
      <c r="BX426" s="363">
        <v>2.0975369918311277</v>
      </c>
      <c r="BY426" s="435">
        <v>2.1059917793562799</v>
      </c>
      <c r="BZ426" s="435">
        <v>2.1144465668814321</v>
      </c>
      <c r="CA426" s="435">
        <v>2.1229013544065847</v>
      </c>
      <c r="CB426" s="435">
        <v>2.1313561419317368</v>
      </c>
      <c r="CC426" s="363">
        <v>2.139810929456889</v>
      </c>
      <c r="CD426" s="435">
        <v>2.1467413562755362</v>
      </c>
      <c r="CE426" s="435">
        <v>2.1536717830941829</v>
      </c>
      <c r="CF426" s="435">
        <v>2.1606022099128301</v>
      </c>
      <c r="CG426" s="435">
        <v>2.1675326367314769</v>
      </c>
      <c r="CH426" s="363">
        <v>2.1744630635501241</v>
      </c>
      <c r="CI426" s="362">
        <v>0</v>
      </c>
      <c r="CJ426" s="362">
        <v>0</v>
      </c>
      <c r="CK426" s="362">
        <v>0</v>
      </c>
      <c r="CL426" s="363">
        <v>0</v>
      </c>
      <c r="CM426" s="363">
        <v>0</v>
      </c>
      <c r="CN426" s="363">
        <v>0</v>
      </c>
      <c r="CO426" s="363">
        <v>0</v>
      </c>
      <c r="CP426" s="363">
        <v>0</v>
      </c>
      <c r="CQ426" s="363">
        <v>0</v>
      </c>
      <c r="CR426" s="363">
        <v>0</v>
      </c>
      <c r="CS426" s="363">
        <v>0</v>
      </c>
      <c r="CT426" s="363">
        <v>0</v>
      </c>
      <c r="CU426" s="363">
        <v>0</v>
      </c>
      <c r="CV426" s="363">
        <v>0</v>
      </c>
      <c r="CW426" s="363">
        <v>0</v>
      </c>
      <c r="CX426" s="435">
        <v>0</v>
      </c>
      <c r="CY426" s="435">
        <v>0</v>
      </c>
      <c r="CZ426" s="435">
        <v>0</v>
      </c>
      <c r="DA426" s="435">
        <v>0</v>
      </c>
      <c r="DB426" s="363">
        <v>0</v>
      </c>
      <c r="DC426" s="435">
        <v>0</v>
      </c>
      <c r="DD426" s="435">
        <v>0</v>
      </c>
      <c r="DE426" s="435">
        <v>0</v>
      </c>
      <c r="DF426" s="435">
        <v>0</v>
      </c>
      <c r="DG426" s="363">
        <v>0</v>
      </c>
      <c r="DH426" s="362">
        <v>0</v>
      </c>
      <c r="DI426" s="362">
        <v>0</v>
      </c>
      <c r="DJ426" s="362">
        <v>0</v>
      </c>
      <c r="DK426" s="363">
        <v>0</v>
      </c>
      <c r="DL426" s="363">
        <v>0</v>
      </c>
      <c r="DM426" s="363">
        <v>0</v>
      </c>
      <c r="DN426" s="363">
        <v>0</v>
      </c>
      <c r="DO426" s="363">
        <v>0</v>
      </c>
      <c r="DP426" s="363">
        <v>0</v>
      </c>
      <c r="DQ426" s="363">
        <v>0</v>
      </c>
      <c r="DR426" s="363">
        <v>0</v>
      </c>
      <c r="DS426" s="363">
        <v>0</v>
      </c>
      <c r="DT426" s="363">
        <v>0</v>
      </c>
      <c r="DU426" s="363">
        <v>0</v>
      </c>
      <c r="DV426" s="363">
        <v>0</v>
      </c>
      <c r="DW426" s="435">
        <v>0</v>
      </c>
      <c r="DX426" s="435">
        <v>0</v>
      </c>
      <c r="DY426" s="435">
        <v>0</v>
      </c>
      <c r="DZ426" s="435">
        <v>0</v>
      </c>
      <c r="EA426" s="363">
        <v>0</v>
      </c>
      <c r="EB426" s="435">
        <v>0</v>
      </c>
      <c r="EC426" s="435">
        <v>0</v>
      </c>
      <c r="ED426" s="435">
        <v>0</v>
      </c>
      <c r="EE426" s="435">
        <v>0</v>
      </c>
      <c r="EF426" s="363">
        <v>0</v>
      </c>
      <c r="EG426" s="364">
        <v>0</v>
      </c>
      <c r="EH426" s="364">
        <v>0</v>
      </c>
      <c r="EI426" s="364">
        <v>0</v>
      </c>
      <c r="EJ426" s="365">
        <v>0</v>
      </c>
      <c r="EK426" s="365">
        <v>0</v>
      </c>
      <c r="EL426" s="365">
        <v>0</v>
      </c>
      <c r="EM426" s="365">
        <v>0</v>
      </c>
      <c r="EN426" s="365">
        <v>0</v>
      </c>
      <c r="EO426" s="365">
        <v>0</v>
      </c>
      <c r="EP426" s="365">
        <v>0</v>
      </c>
      <c r="EQ426" s="365">
        <v>0</v>
      </c>
      <c r="ER426" s="365">
        <v>0</v>
      </c>
      <c r="ES426" s="365">
        <v>0</v>
      </c>
      <c r="ET426" s="365">
        <v>0</v>
      </c>
      <c r="EU426" s="365">
        <v>0</v>
      </c>
      <c r="EV426" s="436">
        <v>0</v>
      </c>
      <c r="EW426" s="436">
        <v>0</v>
      </c>
      <c r="EX426" s="436">
        <v>0</v>
      </c>
      <c r="EY426" s="436">
        <v>0</v>
      </c>
      <c r="EZ426" s="365">
        <v>0</v>
      </c>
      <c r="FA426" s="436">
        <v>0</v>
      </c>
      <c r="FB426" s="436">
        <v>0</v>
      </c>
      <c r="FC426" s="436">
        <v>0</v>
      </c>
      <c r="FD426" s="436">
        <v>0</v>
      </c>
      <c r="FE426" s="365">
        <v>0</v>
      </c>
      <c r="FF426" s="364">
        <v>0</v>
      </c>
      <c r="FG426" s="364">
        <v>0</v>
      </c>
      <c r="FH426" s="364">
        <v>0</v>
      </c>
      <c r="FI426" s="365">
        <v>0</v>
      </c>
      <c r="FJ426" s="365">
        <v>0</v>
      </c>
      <c r="FK426" s="365">
        <v>0</v>
      </c>
      <c r="FL426" s="365">
        <v>0</v>
      </c>
      <c r="FM426" s="365">
        <v>0</v>
      </c>
      <c r="FN426" s="365">
        <v>0</v>
      </c>
      <c r="FO426" s="365">
        <v>0</v>
      </c>
      <c r="FP426" s="365">
        <v>0</v>
      </c>
      <c r="FQ426" s="365">
        <v>0</v>
      </c>
      <c r="FR426" s="365">
        <v>0</v>
      </c>
      <c r="FS426" s="365">
        <v>0</v>
      </c>
      <c r="FT426" s="365">
        <v>0</v>
      </c>
      <c r="FU426" s="436">
        <v>0</v>
      </c>
      <c r="FV426" s="436">
        <v>0</v>
      </c>
      <c r="FW426" s="436">
        <v>0</v>
      </c>
      <c r="FX426" s="436">
        <v>0</v>
      </c>
      <c r="FY426" s="365">
        <v>0</v>
      </c>
      <c r="FZ426" s="436">
        <v>0</v>
      </c>
      <c r="GA426" s="436">
        <v>0</v>
      </c>
      <c r="GB426" s="436">
        <v>0</v>
      </c>
      <c r="GC426" s="436">
        <v>0</v>
      </c>
      <c r="GD426" s="365">
        <v>0</v>
      </c>
    </row>
    <row r="427" spans="1:186" ht="15" x14ac:dyDescent="0.25">
      <c r="A427" s="357">
        <v>167</v>
      </c>
      <c r="B427" s="357">
        <v>113</v>
      </c>
      <c r="C427" s="357" t="s">
        <v>1337</v>
      </c>
      <c r="D427" s="2">
        <v>99712</v>
      </c>
      <c r="E427" s="268" t="s">
        <v>19</v>
      </c>
      <c r="F427" s="358" t="s">
        <v>915</v>
      </c>
      <c r="G427" s="49">
        <v>1</v>
      </c>
      <c r="H427" s="49">
        <v>1</v>
      </c>
      <c r="I427" s="49">
        <v>1</v>
      </c>
      <c r="J427" s="49">
        <v>0</v>
      </c>
      <c r="K427" s="49">
        <v>0</v>
      </c>
      <c r="L427" s="49">
        <v>2</v>
      </c>
      <c r="M427" s="49">
        <v>2</v>
      </c>
      <c r="N427" s="49">
        <v>1</v>
      </c>
      <c r="O427" s="49">
        <v>0</v>
      </c>
      <c r="P427" s="49">
        <v>0</v>
      </c>
      <c r="Q427" s="49">
        <v>3</v>
      </c>
      <c r="R427" s="49">
        <v>0</v>
      </c>
      <c r="S427" s="49">
        <v>614</v>
      </c>
      <c r="T427" s="49">
        <v>614</v>
      </c>
      <c r="U427" s="49">
        <v>96141</v>
      </c>
      <c r="V427" s="49">
        <v>0</v>
      </c>
      <c r="W427" s="49">
        <v>0</v>
      </c>
      <c r="X427" s="49">
        <v>32456.333333333332</v>
      </c>
      <c r="Y427" s="434">
        <v>1228</v>
      </c>
      <c r="Z427" s="434">
        <v>96141</v>
      </c>
      <c r="AA427" s="49">
        <v>0</v>
      </c>
      <c r="AB427" s="49">
        <v>1</v>
      </c>
      <c r="AC427" s="49">
        <v>0</v>
      </c>
      <c r="AD427" s="285">
        <v>1</v>
      </c>
      <c r="AE427" s="285">
        <v>0</v>
      </c>
      <c r="AF427" s="359">
        <v>2</v>
      </c>
      <c r="AG427" s="360">
        <v>0</v>
      </c>
      <c r="AH427" s="360">
        <v>1</v>
      </c>
      <c r="AI427" s="361">
        <v>1</v>
      </c>
      <c r="AJ427" s="360">
        <v>0</v>
      </c>
      <c r="AK427" s="360">
        <v>0</v>
      </c>
      <c r="AL427" s="360">
        <v>0.90911424514573824</v>
      </c>
      <c r="AM427" s="360">
        <v>0.90911424514573824</v>
      </c>
      <c r="AN427" s="360">
        <v>0</v>
      </c>
      <c r="AO427" s="360">
        <v>0</v>
      </c>
      <c r="AP427" s="360">
        <v>0.91245411038790925</v>
      </c>
      <c r="AQ427" s="360">
        <v>0.91245411038790925</v>
      </c>
      <c r="AR427" s="360">
        <v>0</v>
      </c>
      <c r="AS427" s="360">
        <v>0.92984135081383867</v>
      </c>
      <c r="AT427" s="360">
        <v>0</v>
      </c>
      <c r="AU427" s="360">
        <v>0.82648871072690544</v>
      </c>
      <c r="AV427" s="360">
        <v>0.86681754733851879</v>
      </c>
      <c r="AW427" s="360">
        <v>0.90911424514573824</v>
      </c>
      <c r="AX427" s="360">
        <v>0.95347482669745309</v>
      </c>
      <c r="AY427" s="360">
        <v>1</v>
      </c>
      <c r="AZ427" s="360">
        <v>0.83257250356379087</v>
      </c>
      <c r="BA427" s="360">
        <v>0.87159864792961517</v>
      </c>
      <c r="BB427" s="360">
        <v>0.91245411038790925</v>
      </c>
      <c r="BC427" s="360">
        <v>0.9552246387043779</v>
      </c>
      <c r="BD427" s="360">
        <v>1</v>
      </c>
      <c r="BE427" s="360">
        <v>0.86460493768330426</v>
      </c>
      <c r="BF427" s="360">
        <v>0.89663003695825327</v>
      </c>
      <c r="BG427" s="360">
        <v>0.92984135081383867</v>
      </c>
      <c r="BH427" s="360">
        <v>0.96428281681975381</v>
      </c>
      <c r="BI427" s="360">
        <v>1</v>
      </c>
      <c r="BJ427" s="362">
        <v>1.012657774283872</v>
      </c>
      <c r="BK427" s="362">
        <v>1.0254757678175654</v>
      </c>
      <c r="BL427" s="362">
        <v>1.0384560086201806</v>
      </c>
      <c r="BM427" s="363">
        <v>1.0316286159810726</v>
      </c>
      <c r="BN427" s="363">
        <v>1.024846110453081</v>
      </c>
      <c r="BO427" s="363">
        <v>1.0215734451010967</v>
      </c>
      <c r="BP427" s="363">
        <v>1.0183112304288748</v>
      </c>
      <c r="BQ427" s="363">
        <v>1.0150594330640121</v>
      </c>
      <c r="BR427" s="363">
        <v>1.0118180197406743</v>
      </c>
      <c r="BS427" s="363">
        <v>1.0085869572992561</v>
      </c>
      <c r="BT427" s="363">
        <v>1.0160474425776373</v>
      </c>
      <c r="BU427" s="363">
        <v>1.02356311282563</v>
      </c>
      <c r="BV427" s="363">
        <v>1.0311343762446787</v>
      </c>
      <c r="BW427" s="363">
        <v>1.0387616440556824</v>
      </c>
      <c r="BX427" s="363">
        <v>1.0464453305213253</v>
      </c>
      <c r="BY427" s="435">
        <v>1.050663360029602</v>
      </c>
      <c r="BZ427" s="435">
        <v>1.0548813895378786</v>
      </c>
      <c r="CA427" s="435">
        <v>1.0590994190461553</v>
      </c>
      <c r="CB427" s="435">
        <v>1.0633174485544319</v>
      </c>
      <c r="CC427" s="363">
        <v>1.0675354780627087</v>
      </c>
      <c r="CD427" s="435">
        <v>1.0709930155512664</v>
      </c>
      <c r="CE427" s="435">
        <v>1.0744505530398243</v>
      </c>
      <c r="CF427" s="435">
        <v>1.077908090528382</v>
      </c>
      <c r="CG427" s="435">
        <v>1.0813656280169399</v>
      </c>
      <c r="CH427" s="363">
        <v>1.0848231655054976</v>
      </c>
      <c r="CI427" s="362">
        <v>1.012657774283872</v>
      </c>
      <c r="CJ427" s="362">
        <v>1.0254757678175654</v>
      </c>
      <c r="CK427" s="362">
        <v>1.0384560086201806</v>
      </c>
      <c r="CL427" s="363">
        <v>1.0316286159810726</v>
      </c>
      <c r="CM427" s="363">
        <v>1.024846110453081</v>
      </c>
      <c r="CN427" s="363">
        <v>1.0215734451010967</v>
      </c>
      <c r="CO427" s="363">
        <v>1.0183112304288748</v>
      </c>
      <c r="CP427" s="363">
        <v>1.0150594330640121</v>
      </c>
      <c r="CQ427" s="363">
        <v>1.0118180197406743</v>
      </c>
      <c r="CR427" s="363">
        <v>1.0085869572992561</v>
      </c>
      <c r="CS427" s="363">
        <v>1.0160474425776373</v>
      </c>
      <c r="CT427" s="363">
        <v>1.02356311282563</v>
      </c>
      <c r="CU427" s="363">
        <v>1.0311343762446787</v>
      </c>
      <c r="CV427" s="363">
        <v>1.0387616440556824</v>
      </c>
      <c r="CW427" s="363">
        <v>1.0464453305213253</v>
      </c>
      <c r="CX427" s="435">
        <v>1.050663360029602</v>
      </c>
      <c r="CY427" s="435">
        <v>1.0548813895378786</v>
      </c>
      <c r="CZ427" s="435">
        <v>1.0590994190461553</v>
      </c>
      <c r="DA427" s="435">
        <v>1.0633174485544319</v>
      </c>
      <c r="DB427" s="363">
        <v>1.0675354780627087</v>
      </c>
      <c r="DC427" s="435">
        <v>1.0709930155512664</v>
      </c>
      <c r="DD427" s="435">
        <v>1.0744505530398243</v>
      </c>
      <c r="DE427" s="435">
        <v>1.077908090528382</v>
      </c>
      <c r="DF427" s="435">
        <v>1.0813656280169399</v>
      </c>
      <c r="DG427" s="363">
        <v>1.0848231655054976</v>
      </c>
      <c r="DH427" s="362">
        <v>1.012657774283872</v>
      </c>
      <c r="DI427" s="362">
        <v>1.0254757678175654</v>
      </c>
      <c r="DJ427" s="362">
        <v>1.0384560086201806</v>
      </c>
      <c r="DK427" s="363">
        <v>1.0316286159810726</v>
      </c>
      <c r="DL427" s="363">
        <v>1.024846110453081</v>
      </c>
      <c r="DM427" s="363">
        <v>1.0215734451010967</v>
      </c>
      <c r="DN427" s="363">
        <v>1.0183112304288748</v>
      </c>
      <c r="DO427" s="363">
        <v>1.0150594330640121</v>
      </c>
      <c r="DP427" s="363">
        <v>1.0118180197406743</v>
      </c>
      <c r="DQ427" s="363">
        <v>1.0085869572992561</v>
      </c>
      <c r="DR427" s="363">
        <v>1.0160474425776373</v>
      </c>
      <c r="DS427" s="363">
        <v>1.02356311282563</v>
      </c>
      <c r="DT427" s="363">
        <v>1.0311343762446787</v>
      </c>
      <c r="DU427" s="363">
        <v>1.0387616440556824</v>
      </c>
      <c r="DV427" s="363">
        <v>1.0464453305213253</v>
      </c>
      <c r="DW427" s="435">
        <v>1.050663360029602</v>
      </c>
      <c r="DX427" s="435">
        <v>1.0548813895378786</v>
      </c>
      <c r="DY427" s="435">
        <v>1.0590994190461553</v>
      </c>
      <c r="DZ427" s="435">
        <v>1.0633174485544319</v>
      </c>
      <c r="EA427" s="363">
        <v>1.0675354780627087</v>
      </c>
      <c r="EB427" s="435">
        <v>1.0709930155512664</v>
      </c>
      <c r="EC427" s="435">
        <v>1.0744505530398243</v>
      </c>
      <c r="ED427" s="435">
        <v>1.077908090528382</v>
      </c>
      <c r="EE427" s="435">
        <v>1.0813656280169399</v>
      </c>
      <c r="EF427" s="363">
        <v>1.0848231655054976</v>
      </c>
      <c r="EG427" s="364">
        <v>0</v>
      </c>
      <c r="EH427" s="364">
        <v>0</v>
      </c>
      <c r="EI427" s="364">
        <v>0</v>
      </c>
      <c r="EJ427" s="365">
        <v>0</v>
      </c>
      <c r="EK427" s="365">
        <v>0</v>
      </c>
      <c r="EL427" s="365">
        <v>0</v>
      </c>
      <c r="EM427" s="365">
        <v>0</v>
      </c>
      <c r="EN427" s="365">
        <v>0</v>
      </c>
      <c r="EO427" s="365">
        <v>0</v>
      </c>
      <c r="EP427" s="365">
        <v>0</v>
      </c>
      <c r="EQ427" s="365">
        <v>0</v>
      </c>
      <c r="ER427" s="365">
        <v>0</v>
      </c>
      <c r="ES427" s="365">
        <v>0</v>
      </c>
      <c r="ET427" s="365">
        <v>0</v>
      </c>
      <c r="EU427" s="365">
        <v>0</v>
      </c>
      <c r="EV427" s="436">
        <v>0</v>
      </c>
      <c r="EW427" s="436">
        <v>0</v>
      </c>
      <c r="EX427" s="436">
        <v>0</v>
      </c>
      <c r="EY427" s="436">
        <v>0</v>
      </c>
      <c r="EZ427" s="365">
        <v>0</v>
      </c>
      <c r="FA427" s="436">
        <v>0</v>
      </c>
      <c r="FB427" s="436">
        <v>0</v>
      </c>
      <c r="FC427" s="436">
        <v>0</v>
      </c>
      <c r="FD427" s="436">
        <v>0</v>
      </c>
      <c r="FE427" s="365">
        <v>0</v>
      </c>
      <c r="FF427" s="364">
        <v>0</v>
      </c>
      <c r="FG427" s="364">
        <v>0</v>
      </c>
      <c r="FH427" s="364">
        <v>0</v>
      </c>
      <c r="FI427" s="365">
        <v>0</v>
      </c>
      <c r="FJ427" s="365">
        <v>0</v>
      </c>
      <c r="FK427" s="365">
        <v>0</v>
      </c>
      <c r="FL427" s="365">
        <v>0</v>
      </c>
      <c r="FM427" s="365">
        <v>0</v>
      </c>
      <c r="FN427" s="365">
        <v>0</v>
      </c>
      <c r="FO427" s="365">
        <v>0</v>
      </c>
      <c r="FP427" s="365">
        <v>0</v>
      </c>
      <c r="FQ427" s="365">
        <v>0</v>
      </c>
      <c r="FR427" s="365">
        <v>0</v>
      </c>
      <c r="FS427" s="365">
        <v>0</v>
      </c>
      <c r="FT427" s="365">
        <v>0</v>
      </c>
      <c r="FU427" s="436">
        <v>0</v>
      </c>
      <c r="FV427" s="436">
        <v>0</v>
      </c>
      <c r="FW427" s="436">
        <v>0</v>
      </c>
      <c r="FX427" s="436">
        <v>0</v>
      </c>
      <c r="FY427" s="365">
        <v>0</v>
      </c>
      <c r="FZ427" s="436">
        <v>0</v>
      </c>
      <c r="GA427" s="436">
        <v>0</v>
      </c>
      <c r="GB427" s="436">
        <v>0</v>
      </c>
      <c r="GC427" s="436">
        <v>0</v>
      </c>
      <c r="GD427" s="365">
        <v>0</v>
      </c>
    </row>
    <row r="428" spans="1:186" ht="15" x14ac:dyDescent="0.25">
      <c r="A428" s="357">
        <v>172</v>
      </c>
      <c r="B428" s="357">
        <v>113</v>
      </c>
      <c r="C428" s="357" t="s">
        <v>1338</v>
      </c>
      <c r="D428" s="2">
        <v>99712</v>
      </c>
      <c r="E428" s="268" t="s">
        <v>19</v>
      </c>
      <c r="F428" s="358" t="s">
        <v>915</v>
      </c>
      <c r="G428" s="49">
        <v>3</v>
      </c>
      <c r="H428" s="49">
        <v>13</v>
      </c>
      <c r="I428" s="49">
        <v>3</v>
      </c>
      <c r="J428" s="49">
        <v>10</v>
      </c>
      <c r="K428" s="49">
        <v>0</v>
      </c>
      <c r="L428" s="49">
        <v>0</v>
      </c>
      <c r="M428" s="49">
        <v>0</v>
      </c>
      <c r="N428" s="49">
        <v>0</v>
      </c>
      <c r="O428" s="49">
        <v>0</v>
      </c>
      <c r="P428" s="49">
        <v>0</v>
      </c>
      <c r="Q428" s="49">
        <v>0</v>
      </c>
      <c r="R428" s="49">
        <v>0</v>
      </c>
      <c r="S428" s="49">
        <v>834.49503068156923</v>
      </c>
      <c r="T428" s="49">
        <v>834.49503068156923</v>
      </c>
      <c r="U428" s="49">
        <v>1408.3846153846155</v>
      </c>
      <c r="V428" s="49">
        <v>0</v>
      </c>
      <c r="W428" s="49">
        <v>0</v>
      </c>
      <c r="X428" s="49">
        <v>1365.173957061457</v>
      </c>
      <c r="Y428" s="434">
        <v>0</v>
      </c>
      <c r="Z428" s="434">
        <v>0</v>
      </c>
      <c r="AA428" s="49">
        <v>0.29786036036036034</v>
      </c>
      <c r="AB428" s="49">
        <v>12.685247747747749</v>
      </c>
      <c r="AC428" s="49">
        <v>1.6891891891891893E-2</v>
      </c>
      <c r="AD428" s="285">
        <v>0</v>
      </c>
      <c r="AE428" s="285">
        <v>0</v>
      </c>
      <c r="AF428" s="359">
        <v>13</v>
      </c>
      <c r="AG428" s="360">
        <v>6.8737006237006237E-2</v>
      </c>
      <c r="AH428" s="360">
        <v>2.9273648648648649</v>
      </c>
      <c r="AI428" s="361">
        <v>2.996101871101871</v>
      </c>
      <c r="AJ428" s="360">
        <v>3.8981288981288983E-3</v>
      </c>
      <c r="AK428" s="360">
        <v>0.27078909666784656</v>
      </c>
      <c r="AL428" s="360">
        <v>11.53233943068037</v>
      </c>
      <c r="AM428" s="360">
        <v>11.803128527348216</v>
      </c>
      <c r="AN428" s="360">
        <v>1.5356659546380713E-2</v>
      </c>
      <c r="AO428" s="360">
        <v>6.27193638767157E-2</v>
      </c>
      <c r="AP428" s="360">
        <v>2.6710861035510924</v>
      </c>
      <c r="AQ428" s="360">
        <v>2.7338054674278083</v>
      </c>
      <c r="AR428" s="360">
        <v>3.5568637359196047E-3</v>
      </c>
      <c r="AS428" s="360">
        <v>0</v>
      </c>
      <c r="AT428" s="360">
        <v>0</v>
      </c>
      <c r="AU428" s="360">
        <v>10.730392281498304</v>
      </c>
      <c r="AV428" s="360">
        <v>11.253985927101107</v>
      </c>
      <c r="AW428" s="360">
        <v>11.803128527348218</v>
      </c>
      <c r="AX428" s="360">
        <v>12.379066753372678</v>
      </c>
      <c r="AY428" s="360">
        <v>12.983108108108109</v>
      </c>
      <c r="AZ428" s="360">
        <v>2.4944720357554431</v>
      </c>
      <c r="BA428" s="360">
        <v>2.6113983399117808</v>
      </c>
      <c r="BB428" s="360">
        <v>2.7338054674278078</v>
      </c>
      <c r="BC428" s="360">
        <v>2.8619503273447955</v>
      </c>
      <c r="BD428" s="360">
        <v>2.996101871101871</v>
      </c>
      <c r="BE428" s="360">
        <v>0</v>
      </c>
      <c r="BF428" s="360">
        <v>0</v>
      </c>
      <c r="BG428" s="360">
        <v>0</v>
      </c>
      <c r="BH428" s="360">
        <v>0</v>
      </c>
      <c r="BI428" s="360">
        <v>0</v>
      </c>
      <c r="BJ428" s="362">
        <v>13.147445360043649</v>
      </c>
      <c r="BK428" s="362">
        <v>13.313862755820622</v>
      </c>
      <c r="BL428" s="362">
        <v>13.482386625430252</v>
      </c>
      <c r="BM428" s="363">
        <v>13.39374584870021</v>
      </c>
      <c r="BN428" s="363">
        <v>13.305687846186455</v>
      </c>
      <c r="BO428" s="363">
        <v>13.263198478119984</v>
      </c>
      <c r="BP428" s="363">
        <v>13.220844792358671</v>
      </c>
      <c r="BQ428" s="363">
        <v>13.178626355624997</v>
      </c>
      <c r="BR428" s="363">
        <v>13.13654273602504</v>
      </c>
      <c r="BS428" s="363">
        <v>13.094593503044058</v>
      </c>
      <c r="BT428" s="363">
        <v>13.191453789952233</v>
      </c>
      <c r="BU428" s="363">
        <v>13.289030549286812</v>
      </c>
      <c r="BV428" s="363">
        <v>13.387329080771288</v>
      </c>
      <c r="BW428" s="363">
        <v>13.48635472333104</v>
      </c>
      <c r="BX428" s="363">
        <v>13.586112855383289</v>
      </c>
      <c r="BY428" s="435">
        <v>13.640875988492436</v>
      </c>
      <c r="BZ428" s="435">
        <v>13.695639121601582</v>
      </c>
      <c r="CA428" s="435">
        <v>13.750402254710727</v>
      </c>
      <c r="CB428" s="435">
        <v>13.805165387819873</v>
      </c>
      <c r="CC428" s="363">
        <v>13.859928520929019</v>
      </c>
      <c r="CD428" s="435">
        <v>13.904818103930802</v>
      </c>
      <c r="CE428" s="435">
        <v>13.949707686932584</v>
      </c>
      <c r="CF428" s="435">
        <v>13.994597269934367</v>
      </c>
      <c r="CG428" s="435">
        <v>14.039486852936149</v>
      </c>
      <c r="CH428" s="363">
        <v>14.084376435937932</v>
      </c>
      <c r="CI428" s="362">
        <v>3.034025852317765</v>
      </c>
      <c r="CJ428" s="362">
        <v>3.0724298667278358</v>
      </c>
      <c r="CK428" s="362">
        <v>3.1113199904839037</v>
      </c>
      <c r="CL428" s="363">
        <v>3.0908644266231251</v>
      </c>
      <c r="CM428" s="363">
        <v>3.0705433491199505</v>
      </c>
      <c r="CN428" s="363">
        <v>3.0607381103353801</v>
      </c>
      <c r="CO428" s="363">
        <v>3.0509641828520002</v>
      </c>
      <c r="CP428" s="363">
        <v>3.0412214666826909</v>
      </c>
      <c r="CQ428" s="363">
        <v>3.0315098621596244</v>
      </c>
      <c r="CR428" s="363">
        <v>3.0218292699332436</v>
      </c>
      <c r="CS428" s="363">
        <v>3.0441816438351301</v>
      </c>
      <c r="CT428" s="363">
        <v>3.066699357527725</v>
      </c>
      <c r="CU428" s="363">
        <v>3.0893836340241427</v>
      </c>
      <c r="CV428" s="363">
        <v>3.1122357053840854</v>
      </c>
      <c r="CW428" s="363">
        <v>3.1352568127807587</v>
      </c>
      <c r="CX428" s="435">
        <v>3.1478944588828695</v>
      </c>
      <c r="CY428" s="435">
        <v>3.1605321049849802</v>
      </c>
      <c r="CZ428" s="435">
        <v>3.1731697510870904</v>
      </c>
      <c r="DA428" s="435">
        <v>3.1858073971892011</v>
      </c>
      <c r="DB428" s="363">
        <v>3.1984450432913119</v>
      </c>
      <c r="DC428" s="435">
        <v>3.2088041778301846</v>
      </c>
      <c r="DD428" s="435">
        <v>3.2191633123690577</v>
      </c>
      <c r="DE428" s="435">
        <v>3.2295224469079304</v>
      </c>
      <c r="DF428" s="435">
        <v>3.2398815814468036</v>
      </c>
      <c r="DG428" s="363">
        <v>3.2502407159856763</v>
      </c>
      <c r="DH428" s="362">
        <v>0</v>
      </c>
      <c r="DI428" s="362">
        <v>0</v>
      </c>
      <c r="DJ428" s="362">
        <v>0</v>
      </c>
      <c r="DK428" s="363">
        <v>0</v>
      </c>
      <c r="DL428" s="363">
        <v>0</v>
      </c>
      <c r="DM428" s="363">
        <v>0</v>
      </c>
      <c r="DN428" s="363">
        <v>0</v>
      </c>
      <c r="DO428" s="363">
        <v>0</v>
      </c>
      <c r="DP428" s="363">
        <v>0</v>
      </c>
      <c r="DQ428" s="363">
        <v>0</v>
      </c>
      <c r="DR428" s="363">
        <v>0</v>
      </c>
      <c r="DS428" s="363">
        <v>0</v>
      </c>
      <c r="DT428" s="363">
        <v>0</v>
      </c>
      <c r="DU428" s="363">
        <v>0</v>
      </c>
      <c r="DV428" s="363">
        <v>0</v>
      </c>
      <c r="DW428" s="435">
        <v>0</v>
      </c>
      <c r="DX428" s="435">
        <v>0</v>
      </c>
      <c r="DY428" s="435">
        <v>0</v>
      </c>
      <c r="DZ428" s="435">
        <v>0</v>
      </c>
      <c r="EA428" s="363">
        <v>0</v>
      </c>
      <c r="EB428" s="435">
        <v>0</v>
      </c>
      <c r="EC428" s="435">
        <v>0</v>
      </c>
      <c r="ED428" s="435">
        <v>0</v>
      </c>
      <c r="EE428" s="435">
        <v>0</v>
      </c>
      <c r="EF428" s="363">
        <v>0</v>
      </c>
      <c r="EG428" s="364">
        <v>1.7105705646687029E-2</v>
      </c>
      <c r="EH428" s="364">
        <v>1.7322225807729148E-2</v>
      </c>
      <c r="EI428" s="364">
        <v>1.7541486632097647E-2</v>
      </c>
      <c r="EJ428" s="365">
        <v>1.7426159053734337E-2</v>
      </c>
      <c r="EK428" s="365">
        <v>1.7311589703599344E-2</v>
      </c>
      <c r="EL428" s="365">
        <v>1.7256308194275285E-2</v>
      </c>
      <c r="EM428" s="365">
        <v>1.7201203216703969E-2</v>
      </c>
      <c r="EN428" s="365">
        <v>1.714627420716237E-2</v>
      </c>
      <c r="EO428" s="365">
        <v>1.7091520603727609E-2</v>
      </c>
      <c r="EP428" s="365">
        <v>1.7036941846271216E-2</v>
      </c>
      <c r="EQ428" s="365">
        <v>1.7162963557054687E-2</v>
      </c>
      <c r="ER428" s="365">
        <v>1.7289917446378884E-2</v>
      </c>
      <c r="ES428" s="365">
        <v>1.7417810409538496E-2</v>
      </c>
      <c r="ET428" s="365">
        <v>1.7546649392832472E-2</v>
      </c>
      <c r="EU428" s="365">
        <v>1.7676441393941308E-2</v>
      </c>
      <c r="EV428" s="436">
        <v>1.7747691892391927E-2</v>
      </c>
      <c r="EW428" s="436">
        <v>1.7818942390842547E-2</v>
      </c>
      <c r="EX428" s="436">
        <v>1.7890192889293166E-2</v>
      </c>
      <c r="EY428" s="436">
        <v>1.7961443387743786E-2</v>
      </c>
      <c r="EZ428" s="365">
        <v>1.8032693886194405E-2</v>
      </c>
      <c r="FA428" s="436">
        <v>1.8091098235663287E-2</v>
      </c>
      <c r="FB428" s="436">
        <v>1.814950258513217E-2</v>
      </c>
      <c r="FC428" s="436">
        <v>1.8207906934601049E-2</v>
      </c>
      <c r="FD428" s="436">
        <v>1.8266311284069931E-2</v>
      </c>
      <c r="FE428" s="365">
        <v>1.8324715633538814E-2</v>
      </c>
      <c r="FF428" s="364">
        <v>0</v>
      </c>
      <c r="FG428" s="364">
        <v>0</v>
      </c>
      <c r="FH428" s="364">
        <v>0</v>
      </c>
      <c r="FI428" s="365">
        <v>0</v>
      </c>
      <c r="FJ428" s="365">
        <v>0</v>
      </c>
      <c r="FK428" s="365">
        <v>0</v>
      </c>
      <c r="FL428" s="365">
        <v>0</v>
      </c>
      <c r="FM428" s="365">
        <v>0</v>
      </c>
      <c r="FN428" s="365">
        <v>0</v>
      </c>
      <c r="FO428" s="365">
        <v>0</v>
      </c>
      <c r="FP428" s="365">
        <v>0</v>
      </c>
      <c r="FQ428" s="365">
        <v>0</v>
      </c>
      <c r="FR428" s="365">
        <v>0</v>
      </c>
      <c r="FS428" s="365">
        <v>0</v>
      </c>
      <c r="FT428" s="365">
        <v>0</v>
      </c>
      <c r="FU428" s="436">
        <v>0</v>
      </c>
      <c r="FV428" s="436">
        <v>0</v>
      </c>
      <c r="FW428" s="436">
        <v>0</v>
      </c>
      <c r="FX428" s="436">
        <v>0</v>
      </c>
      <c r="FY428" s="365">
        <v>0</v>
      </c>
      <c r="FZ428" s="436">
        <v>0</v>
      </c>
      <c r="GA428" s="436">
        <v>0</v>
      </c>
      <c r="GB428" s="436">
        <v>0</v>
      </c>
      <c r="GC428" s="436">
        <v>0</v>
      </c>
      <c r="GD428" s="365">
        <v>0</v>
      </c>
    </row>
    <row r="429" spans="1:186" ht="15" x14ac:dyDescent="0.25">
      <c r="A429" s="357">
        <v>106</v>
      </c>
      <c r="B429" s="357">
        <v>114</v>
      </c>
      <c r="C429" s="357" t="s">
        <v>1339</v>
      </c>
      <c r="D429" s="2">
        <v>99712</v>
      </c>
      <c r="E429" s="268" t="s">
        <v>19</v>
      </c>
      <c r="F429" s="358" t="s">
        <v>915</v>
      </c>
      <c r="G429" s="49">
        <v>31</v>
      </c>
      <c r="H429" s="49">
        <v>21</v>
      </c>
      <c r="I429" s="49">
        <v>16</v>
      </c>
      <c r="J429" s="49">
        <v>5</v>
      </c>
      <c r="K429" s="49">
        <v>0</v>
      </c>
      <c r="L429" s="49">
        <v>0</v>
      </c>
      <c r="M429" s="49">
        <v>0</v>
      </c>
      <c r="N429" s="49">
        <v>0</v>
      </c>
      <c r="O429" s="49">
        <v>0</v>
      </c>
      <c r="P429" s="49">
        <v>0</v>
      </c>
      <c r="Q429" s="49">
        <v>0</v>
      </c>
      <c r="R429" s="49">
        <v>0</v>
      </c>
      <c r="S429" s="49">
        <v>834.49503068156923</v>
      </c>
      <c r="T429" s="49">
        <v>834.49503068156923</v>
      </c>
      <c r="U429" s="49">
        <v>1408.3846153846155</v>
      </c>
      <c r="V429" s="49">
        <v>0</v>
      </c>
      <c r="W429" s="49">
        <v>0</v>
      </c>
      <c r="X429" s="49">
        <v>1365.173957061457</v>
      </c>
      <c r="Y429" s="434">
        <v>0</v>
      </c>
      <c r="Z429" s="434">
        <v>0</v>
      </c>
      <c r="AA429" s="49">
        <v>0.48115904365904366</v>
      </c>
      <c r="AB429" s="49">
        <v>20.491554054054053</v>
      </c>
      <c r="AC429" s="49">
        <v>2.7286902286902288E-2</v>
      </c>
      <c r="AD429" s="285">
        <v>0</v>
      </c>
      <c r="AE429" s="285">
        <v>0</v>
      </c>
      <c r="AF429" s="359">
        <v>21</v>
      </c>
      <c r="AG429" s="360">
        <v>0.36659736659736658</v>
      </c>
      <c r="AH429" s="360">
        <v>15.612612612612612</v>
      </c>
      <c r="AI429" s="361">
        <v>15.979209979209978</v>
      </c>
      <c r="AJ429" s="360">
        <v>2.0790020790020791E-2</v>
      </c>
      <c r="AK429" s="360">
        <v>0.4374285407711368</v>
      </c>
      <c r="AL429" s="360">
        <v>18.629163695714443</v>
      </c>
      <c r="AM429" s="360">
        <v>19.06659223648558</v>
      </c>
      <c r="AN429" s="360">
        <v>2.480691157492269E-2</v>
      </c>
      <c r="AO429" s="360">
        <v>0.33450327400915036</v>
      </c>
      <c r="AP429" s="360">
        <v>14.245792552272492</v>
      </c>
      <c r="AQ429" s="360">
        <v>14.580295826281644</v>
      </c>
      <c r="AR429" s="360">
        <v>1.8969939924904561E-2</v>
      </c>
      <c r="AS429" s="360">
        <v>0</v>
      </c>
      <c r="AT429" s="360">
        <v>0</v>
      </c>
      <c r="AU429" s="360">
        <v>17.333710608574179</v>
      </c>
      <c r="AV429" s="360">
        <v>18.179515728394094</v>
      </c>
      <c r="AW429" s="360">
        <v>19.06659223648558</v>
      </c>
      <c r="AX429" s="360">
        <v>19.996953986217399</v>
      </c>
      <c r="AY429" s="360">
        <v>20.972713097713097</v>
      </c>
      <c r="AZ429" s="360">
        <v>13.303850857362361</v>
      </c>
      <c r="BA429" s="360">
        <v>13.92745781286283</v>
      </c>
      <c r="BB429" s="360">
        <v>14.580295826281642</v>
      </c>
      <c r="BC429" s="360">
        <v>15.263735079172241</v>
      </c>
      <c r="BD429" s="360">
        <v>15.979209979209978</v>
      </c>
      <c r="BE429" s="360">
        <v>0</v>
      </c>
      <c r="BF429" s="360">
        <v>0</v>
      </c>
      <c r="BG429" s="360">
        <v>0</v>
      </c>
      <c r="BH429" s="360">
        <v>0</v>
      </c>
      <c r="BI429" s="360">
        <v>0</v>
      </c>
      <c r="BJ429" s="362">
        <v>21.253885987861718</v>
      </c>
      <c r="BK429" s="362">
        <v>21.538828452017579</v>
      </c>
      <c r="BL429" s="362">
        <v>21.827591027372197</v>
      </c>
      <c r="BM429" s="363">
        <v>21.684084193117606</v>
      </c>
      <c r="BN429" s="363">
        <v>21.541520853335303</v>
      </c>
      <c r="BO429" s="363">
        <v>21.47273180470966</v>
      </c>
      <c r="BP429" s="363">
        <v>21.404162421781862</v>
      </c>
      <c r="BQ429" s="363">
        <v>21.335812003088225</v>
      </c>
      <c r="BR429" s="363">
        <v>21.267679849405084</v>
      </c>
      <c r="BS429" s="363">
        <v>21.199765263741611</v>
      </c>
      <c r="BT429" s="363">
        <v>21.356579245432194</v>
      </c>
      <c r="BU429" s="363">
        <v>21.514553175100861</v>
      </c>
      <c r="BV429" s="363">
        <v>21.673695632845501</v>
      </c>
      <c r="BW429" s="363">
        <v>21.834015262230704</v>
      </c>
      <c r="BX429" s="363">
        <v>21.995520770757214</v>
      </c>
      <c r="BY429" s="435">
        <v>22.084180687290786</v>
      </c>
      <c r="BZ429" s="435">
        <v>22.172840603824355</v>
      </c>
      <c r="CA429" s="435">
        <v>22.261500520357927</v>
      </c>
      <c r="CB429" s="435">
        <v>22.350160436891496</v>
      </c>
      <c r="CC429" s="363">
        <v>22.438820353425069</v>
      </c>
      <c r="CD429" s="435">
        <v>22.51149528008116</v>
      </c>
      <c r="CE429" s="435">
        <v>22.584170206737248</v>
      </c>
      <c r="CF429" s="435">
        <v>22.65684513339334</v>
      </c>
      <c r="CG429" s="435">
        <v>22.729520060049428</v>
      </c>
      <c r="CH429" s="363">
        <v>22.802194986705519</v>
      </c>
      <c r="CI429" s="362">
        <v>16.193436943132735</v>
      </c>
      <c r="CJ429" s="362">
        <v>16.410535963441966</v>
      </c>
      <c r="CK429" s="362">
        <v>16.630545544664528</v>
      </c>
      <c r="CL429" s="363">
        <v>16.521207004280079</v>
      </c>
      <c r="CM429" s="363">
        <v>16.412587316826894</v>
      </c>
      <c r="CN429" s="363">
        <v>16.36017661311212</v>
      </c>
      <c r="CO429" s="363">
        <v>16.307933273738559</v>
      </c>
      <c r="CP429" s="363">
        <v>16.255856764257693</v>
      </c>
      <c r="CQ429" s="363">
        <v>16.203946551927682</v>
      </c>
      <c r="CR429" s="363">
        <v>16.152202105707893</v>
      </c>
      <c r="CS429" s="363">
        <v>16.271679425091193</v>
      </c>
      <c r="CT429" s="363">
        <v>16.392040514362559</v>
      </c>
      <c r="CU429" s="363">
        <v>16.513291910739426</v>
      </c>
      <c r="CV429" s="363">
        <v>16.635440199794822</v>
      </c>
      <c r="CW429" s="363">
        <v>16.758492015815015</v>
      </c>
      <c r="CX429" s="435">
        <v>16.826042428412023</v>
      </c>
      <c r="CY429" s="435">
        <v>16.893592841009031</v>
      </c>
      <c r="CZ429" s="435">
        <v>16.961143253606036</v>
      </c>
      <c r="DA429" s="435">
        <v>17.028693666203043</v>
      </c>
      <c r="DB429" s="363">
        <v>17.096244078800051</v>
      </c>
      <c r="DC429" s="435">
        <v>17.151615451490404</v>
      </c>
      <c r="DD429" s="435">
        <v>17.20698682418076</v>
      </c>
      <c r="DE429" s="435">
        <v>17.262358196871112</v>
      </c>
      <c r="DF429" s="435">
        <v>17.317729569561468</v>
      </c>
      <c r="DG429" s="363">
        <v>17.373100942251821</v>
      </c>
      <c r="DH429" s="362">
        <v>0</v>
      </c>
      <c r="DI429" s="362">
        <v>0</v>
      </c>
      <c r="DJ429" s="362">
        <v>0</v>
      </c>
      <c r="DK429" s="363">
        <v>0</v>
      </c>
      <c r="DL429" s="363">
        <v>0</v>
      </c>
      <c r="DM429" s="363">
        <v>0</v>
      </c>
      <c r="DN429" s="363">
        <v>0</v>
      </c>
      <c r="DO429" s="363">
        <v>0</v>
      </c>
      <c r="DP429" s="363">
        <v>0</v>
      </c>
      <c r="DQ429" s="363">
        <v>0</v>
      </c>
      <c r="DR429" s="363">
        <v>0</v>
      </c>
      <c r="DS429" s="363">
        <v>0</v>
      </c>
      <c r="DT429" s="363">
        <v>0</v>
      </c>
      <c r="DU429" s="363">
        <v>0</v>
      </c>
      <c r="DV429" s="363">
        <v>0</v>
      </c>
      <c r="DW429" s="435">
        <v>0</v>
      </c>
      <c r="DX429" s="435">
        <v>0</v>
      </c>
      <c r="DY429" s="435">
        <v>0</v>
      </c>
      <c r="DZ429" s="435">
        <v>0</v>
      </c>
      <c r="EA429" s="363">
        <v>0</v>
      </c>
      <c r="EB429" s="435">
        <v>0</v>
      </c>
      <c r="EC429" s="435">
        <v>0</v>
      </c>
      <c r="ED429" s="435">
        <v>0</v>
      </c>
      <c r="EE429" s="435">
        <v>0</v>
      </c>
      <c r="EF429" s="363">
        <v>0</v>
      </c>
      <c r="EG429" s="364">
        <v>2.7652727020376945E-2</v>
      </c>
      <c r="EH429" s="364">
        <v>2.8023456221724672E-2</v>
      </c>
      <c r="EI429" s="364">
        <v>2.8399155643211289E-2</v>
      </c>
      <c r="EJ429" s="365">
        <v>2.8212443654849862E-2</v>
      </c>
      <c r="EK429" s="365">
        <v>2.8026959215892926E-2</v>
      </c>
      <c r="EL429" s="365">
        <v>2.7937460063374525E-2</v>
      </c>
      <c r="EM429" s="365">
        <v>2.7848246710619126E-2</v>
      </c>
      <c r="EN429" s="365">
        <v>2.7759318244975573E-2</v>
      </c>
      <c r="EO429" s="365">
        <v>2.767067375670711E-2</v>
      </c>
      <c r="EP429" s="365">
        <v>2.7582312338982062E-2</v>
      </c>
      <c r="EQ429" s="365">
        <v>2.7786337816071028E-2</v>
      </c>
      <c r="ER429" s="365">
        <v>2.7991872463050821E-2</v>
      </c>
      <c r="ES429" s="365">
        <v>2.8198927443202577E-2</v>
      </c>
      <c r="ET429" s="365">
        <v>2.8407514002381871E-2</v>
      </c>
      <c r="EU429" s="365">
        <v>2.8617643469629472E-2</v>
      </c>
      <c r="EV429" s="436">
        <v>2.8732995950157148E-2</v>
      </c>
      <c r="EW429" s="436">
        <v>2.8848348430684824E-2</v>
      </c>
      <c r="EX429" s="436">
        <v>2.8963700911212496E-2</v>
      </c>
      <c r="EY429" s="436">
        <v>2.9079053391740172E-2</v>
      </c>
      <c r="EZ429" s="365">
        <v>2.9194405872267848E-2</v>
      </c>
      <c r="FA429" s="436">
        <v>2.9288960811971323E-2</v>
      </c>
      <c r="FB429" s="436">
        <v>2.9383515751674794E-2</v>
      </c>
      <c r="FC429" s="436">
        <v>2.9478070691378269E-2</v>
      </c>
      <c r="FD429" s="436">
        <v>2.9572625631081741E-2</v>
      </c>
      <c r="FE429" s="365">
        <v>2.9667180570785216E-2</v>
      </c>
      <c r="FF429" s="364">
        <v>0</v>
      </c>
      <c r="FG429" s="364">
        <v>0</v>
      </c>
      <c r="FH429" s="364">
        <v>0</v>
      </c>
      <c r="FI429" s="365">
        <v>0</v>
      </c>
      <c r="FJ429" s="365">
        <v>0</v>
      </c>
      <c r="FK429" s="365">
        <v>0</v>
      </c>
      <c r="FL429" s="365">
        <v>0</v>
      </c>
      <c r="FM429" s="365">
        <v>0</v>
      </c>
      <c r="FN429" s="365">
        <v>0</v>
      </c>
      <c r="FO429" s="365">
        <v>0</v>
      </c>
      <c r="FP429" s="365">
        <v>0</v>
      </c>
      <c r="FQ429" s="365">
        <v>0</v>
      </c>
      <c r="FR429" s="365">
        <v>0</v>
      </c>
      <c r="FS429" s="365">
        <v>0</v>
      </c>
      <c r="FT429" s="365">
        <v>0</v>
      </c>
      <c r="FU429" s="436">
        <v>0</v>
      </c>
      <c r="FV429" s="436">
        <v>0</v>
      </c>
      <c r="FW429" s="436">
        <v>0</v>
      </c>
      <c r="FX429" s="436">
        <v>0</v>
      </c>
      <c r="FY429" s="365">
        <v>0</v>
      </c>
      <c r="FZ429" s="436">
        <v>0</v>
      </c>
      <c r="GA429" s="436">
        <v>0</v>
      </c>
      <c r="GB429" s="436">
        <v>0</v>
      </c>
      <c r="GC429" s="436">
        <v>0</v>
      </c>
      <c r="GD429" s="365">
        <v>0</v>
      </c>
    </row>
    <row r="430" spans="1:186" ht="15" x14ac:dyDescent="0.25">
      <c r="A430" s="357">
        <v>165</v>
      </c>
      <c r="B430" s="357">
        <v>114</v>
      </c>
      <c r="C430" s="357" t="s">
        <v>1340</v>
      </c>
      <c r="D430" s="2">
        <v>99712</v>
      </c>
      <c r="E430" s="268" t="s">
        <v>19</v>
      </c>
      <c r="F430" s="358" t="s">
        <v>915</v>
      </c>
      <c r="G430" s="49">
        <v>0</v>
      </c>
      <c r="H430" s="49">
        <v>2</v>
      </c>
      <c r="I430" s="49">
        <v>0</v>
      </c>
      <c r="J430" s="49">
        <v>2</v>
      </c>
      <c r="K430" s="49">
        <v>0</v>
      </c>
      <c r="L430" s="49">
        <v>2</v>
      </c>
      <c r="M430" s="49">
        <v>2</v>
      </c>
      <c r="N430" s="49">
        <v>0</v>
      </c>
      <c r="O430" s="49">
        <v>0</v>
      </c>
      <c r="P430" s="49">
        <v>0</v>
      </c>
      <c r="Q430" s="49">
        <v>2</v>
      </c>
      <c r="R430" s="49">
        <v>0</v>
      </c>
      <c r="S430" s="49">
        <v>225</v>
      </c>
      <c r="T430" s="49">
        <v>225</v>
      </c>
      <c r="U430" s="49">
        <v>0</v>
      </c>
      <c r="V430" s="49">
        <v>0</v>
      </c>
      <c r="W430" s="49">
        <v>0</v>
      </c>
      <c r="X430" s="49">
        <v>225</v>
      </c>
      <c r="Y430" s="434">
        <v>450</v>
      </c>
      <c r="Z430" s="434">
        <v>0</v>
      </c>
      <c r="AA430" s="49">
        <v>0</v>
      </c>
      <c r="AB430" s="49">
        <v>2</v>
      </c>
      <c r="AC430" s="49">
        <v>0</v>
      </c>
      <c r="AD430" s="285">
        <v>0</v>
      </c>
      <c r="AE430" s="285">
        <v>0</v>
      </c>
      <c r="AF430" s="359">
        <v>2</v>
      </c>
      <c r="AG430" s="360">
        <v>0</v>
      </c>
      <c r="AH430" s="360">
        <v>0</v>
      </c>
      <c r="AI430" s="361">
        <v>0</v>
      </c>
      <c r="AJ430" s="360">
        <v>0</v>
      </c>
      <c r="AK430" s="360">
        <v>0</v>
      </c>
      <c r="AL430" s="360">
        <v>1.8182284902914765</v>
      </c>
      <c r="AM430" s="360">
        <v>1.8182284902914765</v>
      </c>
      <c r="AN430" s="360">
        <v>0</v>
      </c>
      <c r="AO430" s="360">
        <v>0</v>
      </c>
      <c r="AP430" s="360">
        <v>0</v>
      </c>
      <c r="AQ430" s="360">
        <v>0</v>
      </c>
      <c r="AR430" s="360">
        <v>0</v>
      </c>
      <c r="AS430" s="360">
        <v>0</v>
      </c>
      <c r="AT430" s="360">
        <v>0</v>
      </c>
      <c r="AU430" s="360">
        <v>1.6529774214538109</v>
      </c>
      <c r="AV430" s="360">
        <v>1.7336350946770376</v>
      </c>
      <c r="AW430" s="360">
        <v>1.8182284902914765</v>
      </c>
      <c r="AX430" s="360">
        <v>1.9069496533949062</v>
      </c>
      <c r="AY430" s="360">
        <v>2</v>
      </c>
      <c r="AZ430" s="360">
        <v>0</v>
      </c>
      <c r="BA430" s="360">
        <v>0</v>
      </c>
      <c r="BB430" s="360">
        <v>0</v>
      </c>
      <c r="BC430" s="360">
        <v>0</v>
      </c>
      <c r="BD430" s="360">
        <v>0</v>
      </c>
      <c r="BE430" s="360">
        <v>0</v>
      </c>
      <c r="BF430" s="360">
        <v>0</v>
      </c>
      <c r="BG430" s="360">
        <v>0</v>
      </c>
      <c r="BH430" s="360">
        <v>0</v>
      </c>
      <c r="BI430" s="360">
        <v>0</v>
      </c>
      <c r="BJ430" s="362">
        <v>2.0268132109411519</v>
      </c>
      <c r="BK430" s="362">
        <v>2.053985896022791</v>
      </c>
      <c r="BL430" s="362">
        <v>2.081522874572896</v>
      </c>
      <c r="BM430" s="363">
        <v>2.0678377749307097</v>
      </c>
      <c r="BN430" s="363">
        <v>2.0542426488143994</v>
      </c>
      <c r="BO430" s="363">
        <v>2.0476827871212415</v>
      </c>
      <c r="BP430" s="363">
        <v>2.04114387318976</v>
      </c>
      <c r="BQ430" s="363">
        <v>2.0346258401269717</v>
      </c>
      <c r="BR430" s="363">
        <v>2.0281286212535039</v>
      </c>
      <c r="BS430" s="363">
        <v>2.0216521501029137</v>
      </c>
      <c r="BT430" s="363">
        <v>2.036606246023644</v>
      </c>
      <c r="BU430" s="363">
        <v>2.0516709569108489</v>
      </c>
      <c r="BV430" s="363">
        <v>2.0668471009798766</v>
      </c>
      <c r="BW430" s="363">
        <v>2.0821355024983892</v>
      </c>
      <c r="BX430" s="363">
        <v>2.0975369918311277</v>
      </c>
      <c r="BY430" s="435">
        <v>2.1059917793562799</v>
      </c>
      <c r="BZ430" s="435">
        <v>2.1144465668814321</v>
      </c>
      <c r="CA430" s="435">
        <v>2.1229013544065847</v>
      </c>
      <c r="CB430" s="435">
        <v>2.1313561419317368</v>
      </c>
      <c r="CC430" s="363">
        <v>2.139810929456889</v>
      </c>
      <c r="CD430" s="435">
        <v>2.1467413562755362</v>
      </c>
      <c r="CE430" s="435">
        <v>2.1536717830941829</v>
      </c>
      <c r="CF430" s="435">
        <v>2.1606022099128301</v>
      </c>
      <c r="CG430" s="435">
        <v>2.1675326367314769</v>
      </c>
      <c r="CH430" s="363">
        <v>2.1744630635501241</v>
      </c>
      <c r="CI430" s="362">
        <v>0</v>
      </c>
      <c r="CJ430" s="362">
        <v>0</v>
      </c>
      <c r="CK430" s="362">
        <v>0</v>
      </c>
      <c r="CL430" s="363">
        <v>0</v>
      </c>
      <c r="CM430" s="363">
        <v>0</v>
      </c>
      <c r="CN430" s="363">
        <v>0</v>
      </c>
      <c r="CO430" s="363">
        <v>0</v>
      </c>
      <c r="CP430" s="363">
        <v>0</v>
      </c>
      <c r="CQ430" s="363">
        <v>0</v>
      </c>
      <c r="CR430" s="363">
        <v>0</v>
      </c>
      <c r="CS430" s="363">
        <v>0</v>
      </c>
      <c r="CT430" s="363">
        <v>0</v>
      </c>
      <c r="CU430" s="363">
        <v>0</v>
      </c>
      <c r="CV430" s="363">
        <v>0</v>
      </c>
      <c r="CW430" s="363">
        <v>0</v>
      </c>
      <c r="CX430" s="435">
        <v>0</v>
      </c>
      <c r="CY430" s="435">
        <v>0</v>
      </c>
      <c r="CZ430" s="435">
        <v>0</v>
      </c>
      <c r="DA430" s="435">
        <v>0</v>
      </c>
      <c r="DB430" s="363">
        <v>0</v>
      </c>
      <c r="DC430" s="435">
        <v>0</v>
      </c>
      <c r="DD430" s="435">
        <v>0</v>
      </c>
      <c r="DE430" s="435">
        <v>0</v>
      </c>
      <c r="DF430" s="435">
        <v>0</v>
      </c>
      <c r="DG430" s="363">
        <v>0</v>
      </c>
      <c r="DH430" s="362">
        <v>0</v>
      </c>
      <c r="DI430" s="362">
        <v>0</v>
      </c>
      <c r="DJ430" s="362">
        <v>0</v>
      </c>
      <c r="DK430" s="363">
        <v>0</v>
      </c>
      <c r="DL430" s="363">
        <v>0</v>
      </c>
      <c r="DM430" s="363">
        <v>0</v>
      </c>
      <c r="DN430" s="363">
        <v>0</v>
      </c>
      <c r="DO430" s="363">
        <v>0</v>
      </c>
      <c r="DP430" s="363">
        <v>0</v>
      </c>
      <c r="DQ430" s="363">
        <v>0</v>
      </c>
      <c r="DR430" s="363">
        <v>0</v>
      </c>
      <c r="DS430" s="363">
        <v>0</v>
      </c>
      <c r="DT430" s="363">
        <v>0</v>
      </c>
      <c r="DU430" s="363">
        <v>0</v>
      </c>
      <c r="DV430" s="363">
        <v>0</v>
      </c>
      <c r="DW430" s="435">
        <v>0</v>
      </c>
      <c r="DX430" s="435">
        <v>0</v>
      </c>
      <c r="DY430" s="435">
        <v>0</v>
      </c>
      <c r="DZ430" s="435">
        <v>0</v>
      </c>
      <c r="EA430" s="363">
        <v>0</v>
      </c>
      <c r="EB430" s="435">
        <v>0</v>
      </c>
      <c r="EC430" s="435">
        <v>0</v>
      </c>
      <c r="ED430" s="435">
        <v>0</v>
      </c>
      <c r="EE430" s="435">
        <v>0</v>
      </c>
      <c r="EF430" s="363">
        <v>0</v>
      </c>
      <c r="EG430" s="364">
        <v>0</v>
      </c>
      <c r="EH430" s="364">
        <v>0</v>
      </c>
      <c r="EI430" s="364">
        <v>0</v>
      </c>
      <c r="EJ430" s="365">
        <v>0</v>
      </c>
      <c r="EK430" s="365">
        <v>0</v>
      </c>
      <c r="EL430" s="365">
        <v>0</v>
      </c>
      <c r="EM430" s="365">
        <v>0</v>
      </c>
      <c r="EN430" s="365">
        <v>0</v>
      </c>
      <c r="EO430" s="365">
        <v>0</v>
      </c>
      <c r="EP430" s="365">
        <v>0</v>
      </c>
      <c r="EQ430" s="365">
        <v>0</v>
      </c>
      <c r="ER430" s="365">
        <v>0</v>
      </c>
      <c r="ES430" s="365">
        <v>0</v>
      </c>
      <c r="ET430" s="365">
        <v>0</v>
      </c>
      <c r="EU430" s="365">
        <v>0</v>
      </c>
      <c r="EV430" s="436">
        <v>0</v>
      </c>
      <c r="EW430" s="436">
        <v>0</v>
      </c>
      <c r="EX430" s="436">
        <v>0</v>
      </c>
      <c r="EY430" s="436">
        <v>0</v>
      </c>
      <c r="EZ430" s="365">
        <v>0</v>
      </c>
      <c r="FA430" s="436">
        <v>0</v>
      </c>
      <c r="FB430" s="436">
        <v>0</v>
      </c>
      <c r="FC430" s="436">
        <v>0</v>
      </c>
      <c r="FD430" s="436">
        <v>0</v>
      </c>
      <c r="FE430" s="365">
        <v>0</v>
      </c>
      <c r="FF430" s="364">
        <v>0</v>
      </c>
      <c r="FG430" s="364">
        <v>0</v>
      </c>
      <c r="FH430" s="364">
        <v>0</v>
      </c>
      <c r="FI430" s="365">
        <v>0</v>
      </c>
      <c r="FJ430" s="365">
        <v>0</v>
      </c>
      <c r="FK430" s="365">
        <v>0</v>
      </c>
      <c r="FL430" s="365">
        <v>0</v>
      </c>
      <c r="FM430" s="365">
        <v>0</v>
      </c>
      <c r="FN430" s="365">
        <v>0</v>
      </c>
      <c r="FO430" s="365">
        <v>0</v>
      </c>
      <c r="FP430" s="365">
        <v>0</v>
      </c>
      <c r="FQ430" s="365">
        <v>0</v>
      </c>
      <c r="FR430" s="365">
        <v>0</v>
      </c>
      <c r="FS430" s="365">
        <v>0</v>
      </c>
      <c r="FT430" s="365">
        <v>0</v>
      </c>
      <c r="FU430" s="436">
        <v>0</v>
      </c>
      <c r="FV430" s="436">
        <v>0</v>
      </c>
      <c r="FW430" s="436">
        <v>0</v>
      </c>
      <c r="FX430" s="436">
        <v>0</v>
      </c>
      <c r="FY430" s="365">
        <v>0</v>
      </c>
      <c r="FZ430" s="436">
        <v>0</v>
      </c>
      <c r="GA430" s="436">
        <v>0</v>
      </c>
      <c r="GB430" s="436">
        <v>0</v>
      </c>
      <c r="GC430" s="436">
        <v>0</v>
      </c>
      <c r="GD430" s="365">
        <v>0</v>
      </c>
    </row>
    <row r="431" spans="1:186" ht="15" x14ac:dyDescent="0.25">
      <c r="A431" s="357">
        <v>116</v>
      </c>
      <c r="B431" s="357">
        <v>115</v>
      </c>
      <c r="C431" s="357" t="s">
        <v>1341</v>
      </c>
      <c r="D431" s="2">
        <v>99712</v>
      </c>
      <c r="E431" s="268" t="s">
        <v>19</v>
      </c>
      <c r="F431" s="358" t="s">
        <v>915</v>
      </c>
      <c r="G431" s="49">
        <v>8</v>
      </c>
      <c r="H431" s="49">
        <v>7</v>
      </c>
      <c r="I431" s="49">
        <v>3</v>
      </c>
      <c r="J431" s="49">
        <v>4</v>
      </c>
      <c r="K431" s="49">
        <v>0</v>
      </c>
      <c r="L431" s="49">
        <v>0</v>
      </c>
      <c r="M431" s="49">
        <v>0</v>
      </c>
      <c r="N431" s="49">
        <v>0</v>
      </c>
      <c r="O431" s="49">
        <v>0</v>
      </c>
      <c r="P431" s="49">
        <v>0</v>
      </c>
      <c r="Q431" s="49">
        <v>0</v>
      </c>
      <c r="R431" s="49">
        <v>0</v>
      </c>
      <c r="S431" s="49">
        <v>834.49503068156923</v>
      </c>
      <c r="T431" s="49">
        <v>834.49503068156923</v>
      </c>
      <c r="U431" s="49">
        <v>1408.3846153846155</v>
      </c>
      <c r="V431" s="49">
        <v>0</v>
      </c>
      <c r="W431" s="49">
        <v>0</v>
      </c>
      <c r="X431" s="49">
        <v>1365.173957061457</v>
      </c>
      <c r="Y431" s="434">
        <v>0</v>
      </c>
      <c r="Z431" s="434">
        <v>0</v>
      </c>
      <c r="AA431" s="49">
        <v>0.1603863478863479</v>
      </c>
      <c r="AB431" s="49">
        <v>6.8305180180180178</v>
      </c>
      <c r="AC431" s="49">
        <v>9.0956340956340961E-3</v>
      </c>
      <c r="AD431" s="285">
        <v>0</v>
      </c>
      <c r="AE431" s="285">
        <v>0</v>
      </c>
      <c r="AF431" s="359">
        <v>7</v>
      </c>
      <c r="AG431" s="360">
        <v>6.8737006237006251E-2</v>
      </c>
      <c r="AH431" s="360">
        <v>2.9273648648648645</v>
      </c>
      <c r="AI431" s="361">
        <v>2.9961018711018705</v>
      </c>
      <c r="AJ431" s="360">
        <v>3.8981288981288983E-3</v>
      </c>
      <c r="AK431" s="360">
        <v>0.14580951359037894</v>
      </c>
      <c r="AL431" s="360">
        <v>6.2097212319048145</v>
      </c>
      <c r="AM431" s="360">
        <v>6.3555307454951935</v>
      </c>
      <c r="AN431" s="360">
        <v>8.2689705249742312E-3</v>
      </c>
      <c r="AO431" s="360">
        <v>6.2719363876715714E-2</v>
      </c>
      <c r="AP431" s="360">
        <v>2.671086103551092</v>
      </c>
      <c r="AQ431" s="360">
        <v>2.7338054674278078</v>
      </c>
      <c r="AR431" s="360">
        <v>3.5568637359196047E-3</v>
      </c>
      <c r="AS431" s="360">
        <v>0</v>
      </c>
      <c r="AT431" s="360">
        <v>0</v>
      </c>
      <c r="AU431" s="360">
        <v>5.7779035361913937</v>
      </c>
      <c r="AV431" s="360">
        <v>6.0598385761313649</v>
      </c>
      <c r="AW431" s="360">
        <v>6.3555307454951935</v>
      </c>
      <c r="AX431" s="360">
        <v>6.6656513287391341</v>
      </c>
      <c r="AY431" s="360">
        <v>6.9909043659043659</v>
      </c>
      <c r="AZ431" s="360">
        <v>2.4944720357554426</v>
      </c>
      <c r="BA431" s="360">
        <v>2.6113983399117804</v>
      </c>
      <c r="BB431" s="360">
        <v>2.7338054674278078</v>
      </c>
      <c r="BC431" s="360">
        <v>2.861950327344795</v>
      </c>
      <c r="BD431" s="360">
        <v>2.9961018711018705</v>
      </c>
      <c r="BE431" s="360">
        <v>0</v>
      </c>
      <c r="BF431" s="360">
        <v>0</v>
      </c>
      <c r="BG431" s="360">
        <v>0</v>
      </c>
      <c r="BH431" s="360">
        <v>0</v>
      </c>
      <c r="BI431" s="360">
        <v>0</v>
      </c>
      <c r="BJ431" s="362">
        <v>7.0846286626205721</v>
      </c>
      <c r="BK431" s="362">
        <v>7.1796094840058604</v>
      </c>
      <c r="BL431" s="362">
        <v>7.275863675790732</v>
      </c>
      <c r="BM431" s="363">
        <v>7.228028064372535</v>
      </c>
      <c r="BN431" s="363">
        <v>7.1805069511117674</v>
      </c>
      <c r="BO431" s="363">
        <v>7.1575772682365528</v>
      </c>
      <c r="BP431" s="363">
        <v>7.1347208072606199</v>
      </c>
      <c r="BQ431" s="363">
        <v>7.1119373343627421</v>
      </c>
      <c r="BR431" s="363">
        <v>7.0892266164683617</v>
      </c>
      <c r="BS431" s="363">
        <v>7.0665884212472037</v>
      </c>
      <c r="BT431" s="363">
        <v>7.118859748477397</v>
      </c>
      <c r="BU431" s="363">
        <v>7.1715177250336204</v>
      </c>
      <c r="BV431" s="363">
        <v>7.2245652109485006</v>
      </c>
      <c r="BW431" s="363">
        <v>7.2780050874102349</v>
      </c>
      <c r="BX431" s="363">
        <v>7.3318402569190706</v>
      </c>
      <c r="BY431" s="435">
        <v>7.3613935624302611</v>
      </c>
      <c r="BZ431" s="435">
        <v>7.3909468679414516</v>
      </c>
      <c r="CA431" s="435">
        <v>7.4205001734526421</v>
      </c>
      <c r="CB431" s="435">
        <v>7.4500534789638326</v>
      </c>
      <c r="CC431" s="363">
        <v>7.4796067844750231</v>
      </c>
      <c r="CD431" s="435">
        <v>7.5038317600270528</v>
      </c>
      <c r="CE431" s="435">
        <v>7.5280567355790824</v>
      </c>
      <c r="CF431" s="435">
        <v>7.5522817111311129</v>
      </c>
      <c r="CG431" s="435">
        <v>7.5765066866831425</v>
      </c>
      <c r="CH431" s="363">
        <v>7.6007316622351722</v>
      </c>
      <c r="CI431" s="362">
        <v>3.0362694268373875</v>
      </c>
      <c r="CJ431" s="362">
        <v>3.0769754931453681</v>
      </c>
      <c r="CK431" s="362">
        <v>3.1182272896245991</v>
      </c>
      <c r="CL431" s="363">
        <v>3.0977263133025144</v>
      </c>
      <c r="CM431" s="363">
        <v>3.077360121905043</v>
      </c>
      <c r="CN431" s="363">
        <v>3.0675331149585223</v>
      </c>
      <c r="CO431" s="363">
        <v>3.0577374888259796</v>
      </c>
      <c r="CP431" s="363">
        <v>3.0479731432983175</v>
      </c>
      <c r="CQ431" s="363">
        <v>3.0382399784864402</v>
      </c>
      <c r="CR431" s="363">
        <v>3.0285378948202299</v>
      </c>
      <c r="CS431" s="363">
        <v>3.0509398922045987</v>
      </c>
      <c r="CT431" s="363">
        <v>3.0735075964429797</v>
      </c>
      <c r="CU431" s="363">
        <v>3.0962422332636428</v>
      </c>
      <c r="CV431" s="363">
        <v>3.1191450374615286</v>
      </c>
      <c r="CW431" s="363">
        <v>3.1422172529653158</v>
      </c>
      <c r="CX431" s="435">
        <v>3.1548829553272544</v>
      </c>
      <c r="CY431" s="435">
        <v>3.1675486576891934</v>
      </c>
      <c r="CZ431" s="435">
        <v>3.1802143600511319</v>
      </c>
      <c r="DA431" s="435">
        <v>3.1928800624130709</v>
      </c>
      <c r="DB431" s="363">
        <v>3.2055457647750094</v>
      </c>
      <c r="DC431" s="435">
        <v>3.2159278971544509</v>
      </c>
      <c r="DD431" s="435">
        <v>3.2263100295338925</v>
      </c>
      <c r="DE431" s="435">
        <v>3.2366921619133335</v>
      </c>
      <c r="DF431" s="435">
        <v>3.2470742942927751</v>
      </c>
      <c r="DG431" s="363">
        <v>3.2574564266722166</v>
      </c>
      <c r="DH431" s="362">
        <v>0</v>
      </c>
      <c r="DI431" s="362">
        <v>0</v>
      </c>
      <c r="DJ431" s="362">
        <v>0</v>
      </c>
      <c r="DK431" s="363">
        <v>0</v>
      </c>
      <c r="DL431" s="363">
        <v>0</v>
      </c>
      <c r="DM431" s="363">
        <v>0</v>
      </c>
      <c r="DN431" s="363">
        <v>0</v>
      </c>
      <c r="DO431" s="363">
        <v>0</v>
      </c>
      <c r="DP431" s="363">
        <v>0</v>
      </c>
      <c r="DQ431" s="363">
        <v>0</v>
      </c>
      <c r="DR431" s="363">
        <v>0</v>
      </c>
      <c r="DS431" s="363">
        <v>0</v>
      </c>
      <c r="DT431" s="363">
        <v>0</v>
      </c>
      <c r="DU431" s="363">
        <v>0</v>
      </c>
      <c r="DV431" s="363">
        <v>0</v>
      </c>
      <c r="DW431" s="435">
        <v>0</v>
      </c>
      <c r="DX431" s="435">
        <v>0</v>
      </c>
      <c r="DY431" s="435">
        <v>0</v>
      </c>
      <c r="DZ431" s="435">
        <v>0</v>
      </c>
      <c r="EA431" s="363">
        <v>0</v>
      </c>
      <c r="EB431" s="435">
        <v>0</v>
      </c>
      <c r="EC431" s="435">
        <v>0</v>
      </c>
      <c r="ED431" s="435">
        <v>0</v>
      </c>
      <c r="EE431" s="435">
        <v>0</v>
      </c>
      <c r="EF431" s="363">
        <v>0</v>
      </c>
      <c r="EG431" s="364">
        <v>9.2175756734589817E-3</v>
      </c>
      <c r="EH431" s="364">
        <v>9.3411520739082234E-3</v>
      </c>
      <c r="EI431" s="364">
        <v>9.4663852144037629E-3</v>
      </c>
      <c r="EJ431" s="365">
        <v>9.4041478849499534E-3</v>
      </c>
      <c r="EK431" s="365">
        <v>9.3423197386309758E-3</v>
      </c>
      <c r="EL431" s="365">
        <v>9.3124866877915078E-3</v>
      </c>
      <c r="EM431" s="365">
        <v>9.2827489035397087E-3</v>
      </c>
      <c r="EN431" s="365">
        <v>9.2531060816585242E-3</v>
      </c>
      <c r="EO431" s="365">
        <v>9.2235579189023694E-3</v>
      </c>
      <c r="EP431" s="365">
        <v>9.1941041129940202E-3</v>
      </c>
      <c r="EQ431" s="365">
        <v>9.2621126053570087E-3</v>
      </c>
      <c r="ER431" s="365">
        <v>9.3306241543502748E-3</v>
      </c>
      <c r="ES431" s="365">
        <v>9.3996424810675258E-3</v>
      </c>
      <c r="ET431" s="365">
        <v>9.4691713341272903E-3</v>
      </c>
      <c r="EU431" s="365">
        <v>9.5392144898764908E-3</v>
      </c>
      <c r="EV431" s="436">
        <v>9.5776653167190494E-3</v>
      </c>
      <c r="EW431" s="436">
        <v>9.616116143561608E-3</v>
      </c>
      <c r="EX431" s="436">
        <v>9.6545669704041666E-3</v>
      </c>
      <c r="EY431" s="436">
        <v>9.6930177972467252E-3</v>
      </c>
      <c r="EZ431" s="365">
        <v>9.7314686240892838E-3</v>
      </c>
      <c r="FA431" s="436">
        <v>9.7629869373237754E-3</v>
      </c>
      <c r="FB431" s="436">
        <v>9.7945052505582653E-3</v>
      </c>
      <c r="FC431" s="436">
        <v>9.826023563792757E-3</v>
      </c>
      <c r="FD431" s="436">
        <v>9.8575418770272469E-3</v>
      </c>
      <c r="FE431" s="365">
        <v>9.8890601902617385E-3</v>
      </c>
      <c r="FF431" s="364">
        <v>0</v>
      </c>
      <c r="FG431" s="364">
        <v>0</v>
      </c>
      <c r="FH431" s="364">
        <v>0</v>
      </c>
      <c r="FI431" s="365">
        <v>0</v>
      </c>
      <c r="FJ431" s="365">
        <v>0</v>
      </c>
      <c r="FK431" s="365">
        <v>0</v>
      </c>
      <c r="FL431" s="365">
        <v>0</v>
      </c>
      <c r="FM431" s="365">
        <v>0</v>
      </c>
      <c r="FN431" s="365">
        <v>0</v>
      </c>
      <c r="FO431" s="365">
        <v>0</v>
      </c>
      <c r="FP431" s="365">
        <v>0</v>
      </c>
      <c r="FQ431" s="365">
        <v>0</v>
      </c>
      <c r="FR431" s="365">
        <v>0</v>
      </c>
      <c r="FS431" s="365">
        <v>0</v>
      </c>
      <c r="FT431" s="365">
        <v>0</v>
      </c>
      <c r="FU431" s="436">
        <v>0</v>
      </c>
      <c r="FV431" s="436">
        <v>0</v>
      </c>
      <c r="FW431" s="436">
        <v>0</v>
      </c>
      <c r="FX431" s="436">
        <v>0</v>
      </c>
      <c r="FY431" s="365">
        <v>0</v>
      </c>
      <c r="FZ431" s="436">
        <v>0</v>
      </c>
      <c r="GA431" s="436">
        <v>0</v>
      </c>
      <c r="GB431" s="436">
        <v>0</v>
      </c>
      <c r="GC431" s="436">
        <v>0</v>
      </c>
      <c r="GD431" s="365">
        <v>0</v>
      </c>
    </row>
    <row r="432" spans="1:186" ht="15" x14ac:dyDescent="0.25">
      <c r="A432" s="357">
        <v>119</v>
      </c>
      <c r="B432" s="357">
        <v>115</v>
      </c>
      <c r="C432" s="357" t="s">
        <v>1342</v>
      </c>
      <c r="D432" s="2">
        <v>99712</v>
      </c>
      <c r="E432" s="268" t="s">
        <v>19</v>
      </c>
      <c r="F432" s="358" t="s">
        <v>915</v>
      </c>
      <c r="G432" s="49">
        <v>3</v>
      </c>
      <c r="H432" s="49">
        <v>1</v>
      </c>
      <c r="I432" s="49">
        <v>1</v>
      </c>
      <c r="J432" s="49">
        <v>0</v>
      </c>
      <c r="K432" s="49">
        <v>0</v>
      </c>
      <c r="L432" s="49">
        <v>0</v>
      </c>
      <c r="M432" s="49">
        <v>0</v>
      </c>
      <c r="N432" s="49">
        <v>0</v>
      </c>
      <c r="O432" s="49">
        <v>0</v>
      </c>
      <c r="P432" s="49">
        <v>0</v>
      </c>
      <c r="Q432" s="49">
        <v>0</v>
      </c>
      <c r="R432" s="49">
        <v>0</v>
      </c>
      <c r="S432" s="49">
        <v>834.49503068156923</v>
      </c>
      <c r="T432" s="49">
        <v>834.49503068156923</v>
      </c>
      <c r="U432" s="49">
        <v>1408.3846153846155</v>
      </c>
      <c r="V432" s="49">
        <v>0</v>
      </c>
      <c r="W432" s="49">
        <v>0</v>
      </c>
      <c r="X432" s="49">
        <v>1365.173957061457</v>
      </c>
      <c r="Y432" s="434">
        <v>0</v>
      </c>
      <c r="Z432" s="434">
        <v>0</v>
      </c>
      <c r="AA432" s="49">
        <v>2.2912335412335411E-2</v>
      </c>
      <c r="AB432" s="49">
        <v>0.97578828828828834</v>
      </c>
      <c r="AC432" s="49">
        <v>1.2993762993762994E-3</v>
      </c>
      <c r="AD432" s="285">
        <v>0</v>
      </c>
      <c r="AE432" s="285">
        <v>0</v>
      </c>
      <c r="AF432" s="359">
        <v>1</v>
      </c>
      <c r="AG432" s="360">
        <v>2.2912335412335411E-2</v>
      </c>
      <c r="AH432" s="360">
        <v>0.97578828828828834</v>
      </c>
      <c r="AI432" s="361">
        <v>0.99870062370062374</v>
      </c>
      <c r="AJ432" s="360">
        <v>1.2993762993762994E-3</v>
      </c>
      <c r="AK432" s="360">
        <v>2.0829930512911272E-2</v>
      </c>
      <c r="AL432" s="360">
        <v>0.8871030331292592</v>
      </c>
      <c r="AM432" s="360">
        <v>0.90793296364217047</v>
      </c>
      <c r="AN432" s="360">
        <v>1.1812815035677471E-3</v>
      </c>
      <c r="AO432" s="360">
        <v>2.0906454625571898E-2</v>
      </c>
      <c r="AP432" s="360">
        <v>0.89036203451703089</v>
      </c>
      <c r="AQ432" s="360">
        <v>0.91126848914260283</v>
      </c>
      <c r="AR432" s="360">
        <v>1.1856212453065351E-3</v>
      </c>
      <c r="AS432" s="360">
        <v>0</v>
      </c>
      <c r="AT432" s="360">
        <v>0</v>
      </c>
      <c r="AU432" s="360">
        <v>0.82541479088448488</v>
      </c>
      <c r="AV432" s="360">
        <v>0.86569122516162356</v>
      </c>
      <c r="AW432" s="360">
        <v>0.90793296364217047</v>
      </c>
      <c r="AX432" s="360">
        <v>0.95223590410559056</v>
      </c>
      <c r="AY432" s="360">
        <v>0.99870062370062374</v>
      </c>
      <c r="AZ432" s="360">
        <v>0.83149067858514769</v>
      </c>
      <c r="BA432" s="360">
        <v>0.87046611330392698</v>
      </c>
      <c r="BB432" s="360">
        <v>0.91126848914260272</v>
      </c>
      <c r="BC432" s="360">
        <v>0.95398344244826516</v>
      </c>
      <c r="BD432" s="360">
        <v>0.99870062370062374</v>
      </c>
      <c r="BE432" s="360">
        <v>0</v>
      </c>
      <c r="BF432" s="360">
        <v>0</v>
      </c>
      <c r="BG432" s="360">
        <v>0</v>
      </c>
      <c r="BH432" s="360">
        <v>0</v>
      </c>
      <c r="BI432" s="360">
        <v>0</v>
      </c>
      <c r="BJ432" s="362">
        <v>1.0120898089457961</v>
      </c>
      <c r="BK432" s="362">
        <v>1.0256584977151229</v>
      </c>
      <c r="BL432" s="362">
        <v>1.0394090965415332</v>
      </c>
      <c r="BM432" s="363">
        <v>1.0325754377675052</v>
      </c>
      <c r="BN432" s="363">
        <v>1.0257867073016811</v>
      </c>
      <c r="BO432" s="363">
        <v>1.0225110383195077</v>
      </c>
      <c r="BP432" s="363">
        <v>1.0192458296086602</v>
      </c>
      <c r="BQ432" s="363">
        <v>1.015991047766106</v>
      </c>
      <c r="BR432" s="363">
        <v>1.0127466594954804</v>
      </c>
      <c r="BS432" s="363">
        <v>1.0095126316067435</v>
      </c>
      <c r="BT432" s="363">
        <v>1.0169799640681998</v>
      </c>
      <c r="BU432" s="363">
        <v>1.0245025321476602</v>
      </c>
      <c r="BV432" s="363">
        <v>1.0320807444212143</v>
      </c>
      <c r="BW432" s="363">
        <v>1.0397150124871766</v>
      </c>
      <c r="BX432" s="363">
        <v>1.0474057509884387</v>
      </c>
      <c r="BY432" s="435">
        <v>1.0516276517757517</v>
      </c>
      <c r="BZ432" s="435">
        <v>1.0558495525630647</v>
      </c>
      <c r="CA432" s="435">
        <v>1.0600714533503774</v>
      </c>
      <c r="CB432" s="435">
        <v>1.0642933541376904</v>
      </c>
      <c r="CC432" s="363">
        <v>1.0685152549250034</v>
      </c>
      <c r="CD432" s="435">
        <v>1.0719759657181505</v>
      </c>
      <c r="CE432" s="435">
        <v>1.0754366765112977</v>
      </c>
      <c r="CF432" s="435">
        <v>1.0788973873044447</v>
      </c>
      <c r="CG432" s="435">
        <v>1.082358098097592</v>
      </c>
      <c r="CH432" s="363">
        <v>1.085818808890739</v>
      </c>
      <c r="CI432" s="362">
        <v>1.0120898089457961</v>
      </c>
      <c r="CJ432" s="362">
        <v>1.0256584977151229</v>
      </c>
      <c r="CK432" s="362">
        <v>1.0394090965415332</v>
      </c>
      <c r="CL432" s="363">
        <v>1.0325754377675052</v>
      </c>
      <c r="CM432" s="363">
        <v>1.0257867073016811</v>
      </c>
      <c r="CN432" s="363">
        <v>1.0225110383195077</v>
      </c>
      <c r="CO432" s="363">
        <v>1.0192458296086602</v>
      </c>
      <c r="CP432" s="363">
        <v>1.015991047766106</v>
      </c>
      <c r="CQ432" s="363">
        <v>1.0127466594954804</v>
      </c>
      <c r="CR432" s="363">
        <v>1.0095126316067435</v>
      </c>
      <c r="CS432" s="363">
        <v>1.0169799640681998</v>
      </c>
      <c r="CT432" s="363">
        <v>1.0245025321476602</v>
      </c>
      <c r="CU432" s="363">
        <v>1.0320807444212143</v>
      </c>
      <c r="CV432" s="363">
        <v>1.0397150124871766</v>
      </c>
      <c r="CW432" s="363">
        <v>1.0474057509884387</v>
      </c>
      <c r="CX432" s="435">
        <v>1.0516276517757517</v>
      </c>
      <c r="CY432" s="435">
        <v>1.0558495525630647</v>
      </c>
      <c r="CZ432" s="435">
        <v>1.0600714533503774</v>
      </c>
      <c r="DA432" s="435">
        <v>1.0642933541376904</v>
      </c>
      <c r="DB432" s="363">
        <v>1.0685152549250034</v>
      </c>
      <c r="DC432" s="435">
        <v>1.0719759657181505</v>
      </c>
      <c r="DD432" s="435">
        <v>1.0754366765112977</v>
      </c>
      <c r="DE432" s="435">
        <v>1.0788973873044447</v>
      </c>
      <c r="DF432" s="435">
        <v>1.082358098097592</v>
      </c>
      <c r="DG432" s="363">
        <v>1.085818808890739</v>
      </c>
      <c r="DH432" s="362">
        <v>0</v>
      </c>
      <c r="DI432" s="362">
        <v>0</v>
      </c>
      <c r="DJ432" s="362">
        <v>0</v>
      </c>
      <c r="DK432" s="363">
        <v>0</v>
      </c>
      <c r="DL432" s="363">
        <v>0</v>
      </c>
      <c r="DM432" s="363">
        <v>0</v>
      </c>
      <c r="DN432" s="363">
        <v>0</v>
      </c>
      <c r="DO432" s="363">
        <v>0</v>
      </c>
      <c r="DP432" s="363">
        <v>0</v>
      </c>
      <c r="DQ432" s="363">
        <v>0</v>
      </c>
      <c r="DR432" s="363">
        <v>0</v>
      </c>
      <c r="DS432" s="363">
        <v>0</v>
      </c>
      <c r="DT432" s="363">
        <v>0</v>
      </c>
      <c r="DU432" s="363">
        <v>0</v>
      </c>
      <c r="DV432" s="363">
        <v>0</v>
      </c>
      <c r="DW432" s="435">
        <v>0</v>
      </c>
      <c r="DX432" s="435">
        <v>0</v>
      </c>
      <c r="DY432" s="435">
        <v>0</v>
      </c>
      <c r="DZ432" s="435">
        <v>0</v>
      </c>
      <c r="EA432" s="363">
        <v>0</v>
      </c>
      <c r="EB432" s="435">
        <v>0</v>
      </c>
      <c r="EC432" s="435">
        <v>0</v>
      </c>
      <c r="ED432" s="435">
        <v>0</v>
      </c>
      <c r="EE432" s="435">
        <v>0</v>
      </c>
      <c r="EF432" s="363">
        <v>0</v>
      </c>
      <c r="EG432" s="364">
        <v>1.3167965247798544E-3</v>
      </c>
      <c r="EH432" s="364">
        <v>1.3344502962726033E-3</v>
      </c>
      <c r="EI432" s="364">
        <v>1.3523407449148232E-3</v>
      </c>
      <c r="EJ432" s="365">
        <v>1.3434496978499935E-3</v>
      </c>
      <c r="EK432" s="365">
        <v>1.3346171055187107E-3</v>
      </c>
      <c r="EL432" s="365">
        <v>1.3303552411130725E-3</v>
      </c>
      <c r="EM432" s="365">
        <v>1.3261069862199584E-3</v>
      </c>
      <c r="EN432" s="365">
        <v>1.3218722973797892E-3</v>
      </c>
      <c r="EO432" s="365">
        <v>1.3176511312717671E-3</v>
      </c>
      <c r="EP432" s="365">
        <v>1.3134434447134315E-3</v>
      </c>
      <c r="EQ432" s="365">
        <v>1.3231589436224298E-3</v>
      </c>
      <c r="ER432" s="365">
        <v>1.3329463077643249E-3</v>
      </c>
      <c r="ES432" s="365">
        <v>1.3428060687239321E-3</v>
      </c>
      <c r="ET432" s="365">
        <v>1.3527387620181843E-3</v>
      </c>
      <c r="EU432" s="365">
        <v>1.3627449271252129E-3</v>
      </c>
      <c r="EV432" s="436">
        <v>1.3682379023884355E-3</v>
      </c>
      <c r="EW432" s="436">
        <v>1.3737308776516583E-3</v>
      </c>
      <c r="EX432" s="436">
        <v>1.3792238529148808E-3</v>
      </c>
      <c r="EY432" s="436">
        <v>1.3847168281781036E-3</v>
      </c>
      <c r="EZ432" s="365">
        <v>1.3902098034413262E-3</v>
      </c>
      <c r="FA432" s="436">
        <v>1.394712419617682E-3</v>
      </c>
      <c r="FB432" s="436">
        <v>1.399215035794038E-3</v>
      </c>
      <c r="FC432" s="436">
        <v>1.4037176519703938E-3</v>
      </c>
      <c r="FD432" s="436">
        <v>1.4082202681467498E-3</v>
      </c>
      <c r="FE432" s="365">
        <v>1.4127228843231056E-3</v>
      </c>
      <c r="FF432" s="364">
        <v>0</v>
      </c>
      <c r="FG432" s="364">
        <v>0</v>
      </c>
      <c r="FH432" s="364">
        <v>0</v>
      </c>
      <c r="FI432" s="365">
        <v>0</v>
      </c>
      <c r="FJ432" s="365">
        <v>0</v>
      </c>
      <c r="FK432" s="365">
        <v>0</v>
      </c>
      <c r="FL432" s="365">
        <v>0</v>
      </c>
      <c r="FM432" s="365">
        <v>0</v>
      </c>
      <c r="FN432" s="365">
        <v>0</v>
      </c>
      <c r="FO432" s="365">
        <v>0</v>
      </c>
      <c r="FP432" s="365">
        <v>0</v>
      </c>
      <c r="FQ432" s="365">
        <v>0</v>
      </c>
      <c r="FR432" s="365">
        <v>0</v>
      </c>
      <c r="FS432" s="365">
        <v>0</v>
      </c>
      <c r="FT432" s="365">
        <v>0</v>
      </c>
      <c r="FU432" s="436">
        <v>0</v>
      </c>
      <c r="FV432" s="436">
        <v>0</v>
      </c>
      <c r="FW432" s="436">
        <v>0</v>
      </c>
      <c r="FX432" s="436">
        <v>0</v>
      </c>
      <c r="FY432" s="365">
        <v>0</v>
      </c>
      <c r="FZ432" s="436">
        <v>0</v>
      </c>
      <c r="GA432" s="436">
        <v>0</v>
      </c>
      <c r="GB432" s="436">
        <v>0</v>
      </c>
      <c r="GC432" s="436">
        <v>0</v>
      </c>
      <c r="GD432" s="365">
        <v>0</v>
      </c>
    </row>
    <row r="433" spans="1:186" ht="15" x14ac:dyDescent="0.25">
      <c r="A433" s="357">
        <v>99</v>
      </c>
      <c r="B433" s="357">
        <v>116</v>
      </c>
      <c r="C433" s="357" t="s">
        <v>1343</v>
      </c>
      <c r="D433" s="2">
        <v>99712</v>
      </c>
      <c r="E433" s="268" t="s">
        <v>19</v>
      </c>
      <c r="F433" s="358" t="s">
        <v>915</v>
      </c>
      <c r="G433" s="49">
        <v>2</v>
      </c>
      <c r="H433" s="49">
        <v>8</v>
      </c>
      <c r="I433" s="49">
        <v>1</v>
      </c>
      <c r="J433" s="49">
        <v>7</v>
      </c>
      <c r="K433" s="49">
        <v>0</v>
      </c>
      <c r="L433" s="49">
        <v>0</v>
      </c>
      <c r="M433" s="49">
        <v>0</v>
      </c>
      <c r="N433" s="49">
        <v>0</v>
      </c>
      <c r="O433" s="49">
        <v>0</v>
      </c>
      <c r="P433" s="49">
        <v>0</v>
      </c>
      <c r="Q433" s="49">
        <v>0</v>
      </c>
      <c r="R433" s="49">
        <v>0</v>
      </c>
      <c r="S433" s="49">
        <v>834.49503068156923</v>
      </c>
      <c r="T433" s="49">
        <v>834.49503068156923</v>
      </c>
      <c r="U433" s="49">
        <v>1408.3846153846155</v>
      </c>
      <c r="V433" s="49">
        <v>0</v>
      </c>
      <c r="W433" s="49">
        <v>0</v>
      </c>
      <c r="X433" s="49">
        <v>1365.173957061457</v>
      </c>
      <c r="Y433" s="434">
        <v>0</v>
      </c>
      <c r="Z433" s="434">
        <v>0</v>
      </c>
      <c r="AA433" s="49">
        <v>0.18329868329868329</v>
      </c>
      <c r="AB433" s="49">
        <v>7.8063063063063067</v>
      </c>
      <c r="AC433" s="49">
        <v>1.0395010395010396E-2</v>
      </c>
      <c r="AD433" s="285">
        <v>0</v>
      </c>
      <c r="AE433" s="285">
        <v>0</v>
      </c>
      <c r="AF433" s="359">
        <v>8</v>
      </c>
      <c r="AG433" s="360">
        <v>2.2912335412335411E-2</v>
      </c>
      <c r="AH433" s="360">
        <v>0.97578828828828834</v>
      </c>
      <c r="AI433" s="361">
        <v>0.99870062370062374</v>
      </c>
      <c r="AJ433" s="360">
        <v>1.2993762993762994E-3</v>
      </c>
      <c r="AK433" s="360">
        <v>0.16663944410329018</v>
      </c>
      <c r="AL433" s="360">
        <v>7.0968242650340736</v>
      </c>
      <c r="AM433" s="360">
        <v>7.2634637091373637</v>
      </c>
      <c r="AN433" s="360">
        <v>9.4502520285419771E-3</v>
      </c>
      <c r="AO433" s="360">
        <v>2.0906454625571898E-2</v>
      </c>
      <c r="AP433" s="360">
        <v>0.89036203451703089</v>
      </c>
      <c r="AQ433" s="360">
        <v>0.91126848914260283</v>
      </c>
      <c r="AR433" s="360">
        <v>1.1856212453065351E-3</v>
      </c>
      <c r="AS433" s="360">
        <v>0</v>
      </c>
      <c r="AT433" s="360">
        <v>0</v>
      </c>
      <c r="AU433" s="360">
        <v>6.6033183270758791</v>
      </c>
      <c r="AV433" s="360">
        <v>6.9255298012929885</v>
      </c>
      <c r="AW433" s="360">
        <v>7.2634637091373637</v>
      </c>
      <c r="AX433" s="360">
        <v>7.6178872328447245</v>
      </c>
      <c r="AY433" s="360">
        <v>7.9896049896049899</v>
      </c>
      <c r="AZ433" s="360">
        <v>0.83149067858514769</v>
      </c>
      <c r="BA433" s="360">
        <v>0.87046611330392698</v>
      </c>
      <c r="BB433" s="360">
        <v>0.91126848914260272</v>
      </c>
      <c r="BC433" s="360">
        <v>0.95398344244826516</v>
      </c>
      <c r="BD433" s="360">
        <v>0.99870062370062374</v>
      </c>
      <c r="BE433" s="360">
        <v>0</v>
      </c>
      <c r="BF433" s="360">
        <v>0</v>
      </c>
      <c r="BG433" s="360">
        <v>0</v>
      </c>
      <c r="BH433" s="360">
        <v>0</v>
      </c>
      <c r="BI433" s="360">
        <v>0</v>
      </c>
      <c r="BJ433" s="362">
        <v>8.0305327719125525</v>
      </c>
      <c r="BK433" s="362">
        <v>8.0716702120651274</v>
      </c>
      <c r="BL433" s="362">
        <v>8.1130183840620731</v>
      </c>
      <c r="BM433" s="363">
        <v>8.0596788477345864</v>
      </c>
      <c r="BN433" s="363">
        <v>8.0066899954559876</v>
      </c>
      <c r="BO433" s="363">
        <v>7.9811220427019638</v>
      </c>
      <c r="BP433" s="363">
        <v>7.9556357366968991</v>
      </c>
      <c r="BQ433" s="363">
        <v>7.9302308167162918</v>
      </c>
      <c r="BR433" s="363">
        <v>7.9049070228682261</v>
      </c>
      <c r="BS433" s="363">
        <v>7.8796640960907016</v>
      </c>
      <c r="BT433" s="363">
        <v>7.9379497179322618</v>
      </c>
      <c r="BU433" s="363">
        <v>7.9966664766436208</v>
      </c>
      <c r="BV433" s="363">
        <v>8.0558175613303362</v>
      </c>
      <c r="BW433" s="363">
        <v>8.1154061846876786</v>
      </c>
      <c r="BX433" s="363">
        <v>8.175435583175112</v>
      </c>
      <c r="BY433" s="435">
        <v>8.2083892669721124</v>
      </c>
      <c r="BZ433" s="435">
        <v>8.2413429507691127</v>
      </c>
      <c r="CA433" s="435">
        <v>8.2742966345661149</v>
      </c>
      <c r="CB433" s="435">
        <v>8.3072503183631152</v>
      </c>
      <c r="CC433" s="363">
        <v>8.3402040021601156</v>
      </c>
      <c r="CD433" s="435">
        <v>8.3672162828685934</v>
      </c>
      <c r="CE433" s="435">
        <v>8.3942285635770695</v>
      </c>
      <c r="CF433" s="435">
        <v>8.4212408442855473</v>
      </c>
      <c r="CG433" s="435">
        <v>8.4482531249940234</v>
      </c>
      <c r="CH433" s="363">
        <v>8.4752654057025012</v>
      </c>
      <c r="CI433" s="362">
        <v>1.0038165964890691</v>
      </c>
      <c r="CJ433" s="362">
        <v>1.0089587765081409</v>
      </c>
      <c r="CK433" s="362">
        <v>1.0141272980077591</v>
      </c>
      <c r="CL433" s="363">
        <v>1.0074598559668233</v>
      </c>
      <c r="CM433" s="363">
        <v>1.0008362494319984</v>
      </c>
      <c r="CN433" s="363">
        <v>0.99764025533774547</v>
      </c>
      <c r="CO433" s="363">
        <v>0.99445446708711238</v>
      </c>
      <c r="CP433" s="363">
        <v>0.99127885208953648</v>
      </c>
      <c r="CQ433" s="363">
        <v>0.98811337785852826</v>
      </c>
      <c r="CR433" s="363">
        <v>0.9849580120113377</v>
      </c>
      <c r="CS433" s="363">
        <v>0.99224371474153272</v>
      </c>
      <c r="CT433" s="363">
        <v>0.99958330958045261</v>
      </c>
      <c r="CU433" s="363">
        <v>1.006977195166292</v>
      </c>
      <c r="CV433" s="363">
        <v>1.0144257730859598</v>
      </c>
      <c r="CW433" s="363">
        <v>1.021929447896889</v>
      </c>
      <c r="CX433" s="435">
        <v>1.026048658371514</v>
      </c>
      <c r="CY433" s="435">
        <v>1.0301678688461391</v>
      </c>
      <c r="CZ433" s="435">
        <v>1.0342870793207644</v>
      </c>
      <c r="DA433" s="435">
        <v>1.0384062897953894</v>
      </c>
      <c r="DB433" s="363">
        <v>1.0425255002700144</v>
      </c>
      <c r="DC433" s="435">
        <v>1.0459020353585742</v>
      </c>
      <c r="DD433" s="435">
        <v>1.0492785704471337</v>
      </c>
      <c r="DE433" s="435">
        <v>1.0526551055356934</v>
      </c>
      <c r="DF433" s="435">
        <v>1.0560316406242529</v>
      </c>
      <c r="DG433" s="363">
        <v>1.0594081757128126</v>
      </c>
      <c r="DH433" s="362">
        <v>0</v>
      </c>
      <c r="DI433" s="362">
        <v>0</v>
      </c>
      <c r="DJ433" s="362">
        <v>0</v>
      </c>
      <c r="DK433" s="363">
        <v>0</v>
      </c>
      <c r="DL433" s="363">
        <v>0</v>
      </c>
      <c r="DM433" s="363">
        <v>0</v>
      </c>
      <c r="DN433" s="363">
        <v>0</v>
      </c>
      <c r="DO433" s="363">
        <v>0</v>
      </c>
      <c r="DP433" s="363">
        <v>0</v>
      </c>
      <c r="DQ433" s="363">
        <v>0</v>
      </c>
      <c r="DR433" s="363">
        <v>0</v>
      </c>
      <c r="DS433" s="363">
        <v>0</v>
      </c>
      <c r="DT433" s="363">
        <v>0</v>
      </c>
      <c r="DU433" s="363">
        <v>0</v>
      </c>
      <c r="DV433" s="363">
        <v>0</v>
      </c>
      <c r="DW433" s="435">
        <v>0</v>
      </c>
      <c r="DX433" s="435">
        <v>0</v>
      </c>
      <c r="DY433" s="435">
        <v>0</v>
      </c>
      <c r="DZ433" s="435">
        <v>0</v>
      </c>
      <c r="EA433" s="363">
        <v>0</v>
      </c>
      <c r="EB433" s="435">
        <v>0</v>
      </c>
      <c r="EC433" s="435">
        <v>0</v>
      </c>
      <c r="ED433" s="435">
        <v>0</v>
      </c>
      <c r="EE433" s="435">
        <v>0</v>
      </c>
      <c r="EF433" s="363">
        <v>0</v>
      </c>
      <c r="EG433" s="364">
        <v>1.0448260176831321E-2</v>
      </c>
      <c r="EH433" s="364">
        <v>1.050178273752944E-2</v>
      </c>
      <c r="EI433" s="364">
        <v>1.0555579474449744E-2</v>
      </c>
      <c r="EJ433" s="365">
        <v>1.0486181170614867E-2</v>
      </c>
      <c r="EK433" s="365">
        <v>1.041723913017953E-2</v>
      </c>
      <c r="EL433" s="365">
        <v>1.0383973513793865E-2</v>
      </c>
      <c r="EM433" s="365">
        <v>1.0350814125288705E-2</v>
      </c>
      <c r="EN433" s="365">
        <v>1.0317760625444044E-2</v>
      </c>
      <c r="EO433" s="365">
        <v>1.0284812676123115E-2</v>
      </c>
      <c r="EP433" s="365">
        <v>1.0251969940268932E-2</v>
      </c>
      <c r="EQ433" s="365">
        <v>1.0327803432126284E-2</v>
      </c>
      <c r="ER433" s="365">
        <v>1.0404197861883452E-2</v>
      </c>
      <c r="ES433" s="365">
        <v>1.0481157378780036E-2</v>
      </c>
      <c r="ET433" s="365">
        <v>1.0558686162747435E-2</v>
      </c>
      <c r="EU433" s="365">
        <v>1.0636788424635847E-2</v>
      </c>
      <c r="EV433" s="436">
        <v>1.0679663371027989E-2</v>
      </c>
      <c r="EW433" s="436">
        <v>1.0722538317420132E-2</v>
      </c>
      <c r="EX433" s="436">
        <v>1.0765413263812274E-2</v>
      </c>
      <c r="EY433" s="436">
        <v>1.0808288210204417E-2</v>
      </c>
      <c r="EZ433" s="365">
        <v>1.0851163156596559E-2</v>
      </c>
      <c r="FA433" s="436">
        <v>1.0886307940240167E-2</v>
      </c>
      <c r="FB433" s="436">
        <v>1.0921452723883776E-2</v>
      </c>
      <c r="FC433" s="436">
        <v>1.0956597507527383E-2</v>
      </c>
      <c r="FD433" s="436">
        <v>1.0991742291170992E-2</v>
      </c>
      <c r="FE433" s="365">
        <v>1.10268870748146E-2</v>
      </c>
      <c r="FF433" s="364">
        <v>0</v>
      </c>
      <c r="FG433" s="364">
        <v>0</v>
      </c>
      <c r="FH433" s="364">
        <v>0</v>
      </c>
      <c r="FI433" s="365">
        <v>0</v>
      </c>
      <c r="FJ433" s="365">
        <v>0</v>
      </c>
      <c r="FK433" s="365">
        <v>0</v>
      </c>
      <c r="FL433" s="365">
        <v>0</v>
      </c>
      <c r="FM433" s="365">
        <v>0</v>
      </c>
      <c r="FN433" s="365">
        <v>0</v>
      </c>
      <c r="FO433" s="365">
        <v>0</v>
      </c>
      <c r="FP433" s="365">
        <v>0</v>
      </c>
      <c r="FQ433" s="365">
        <v>0</v>
      </c>
      <c r="FR433" s="365">
        <v>0</v>
      </c>
      <c r="FS433" s="365">
        <v>0</v>
      </c>
      <c r="FT433" s="365">
        <v>0</v>
      </c>
      <c r="FU433" s="436">
        <v>0</v>
      </c>
      <c r="FV433" s="436">
        <v>0</v>
      </c>
      <c r="FW433" s="436">
        <v>0</v>
      </c>
      <c r="FX433" s="436">
        <v>0</v>
      </c>
      <c r="FY433" s="365">
        <v>0</v>
      </c>
      <c r="FZ433" s="436">
        <v>0</v>
      </c>
      <c r="GA433" s="436">
        <v>0</v>
      </c>
      <c r="GB433" s="436">
        <v>0</v>
      </c>
      <c r="GC433" s="436">
        <v>0</v>
      </c>
      <c r="GD433" s="365">
        <v>0</v>
      </c>
    </row>
    <row r="434" spans="1:186" ht="15" x14ac:dyDescent="0.25">
      <c r="A434" s="357">
        <v>106</v>
      </c>
      <c r="B434" s="357">
        <v>116</v>
      </c>
      <c r="C434" s="357" t="s">
        <v>1344</v>
      </c>
      <c r="D434" s="2">
        <v>99712</v>
      </c>
      <c r="E434" s="268" t="s">
        <v>19</v>
      </c>
      <c r="F434" s="358" t="s">
        <v>915</v>
      </c>
      <c r="G434" s="49">
        <v>0</v>
      </c>
      <c r="H434" s="49">
        <v>1</v>
      </c>
      <c r="I434" s="49">
        <v>0</v>
      </c>
      <c r="J434" s="49">
        <v>1</v>
      </c>
      <c r="K434" s="49">
        <v>0</v>
      </c>
      <c r="L434" s="49">
        <v>9</v>
      </c>
      <c r="M434" s="49">
        <v>9</v>
      </c>
      <c r="N434" s="49">
        <v>0</v>
      </c>
      <c r="O434" s="49">
        <v>0</v>
      </c>
      <c r="P434" s="49">
        <v>0</v>
      </c>
      <c r="Q434" s="49">
        <v>9</v>
      </c>
      <c r="R434" s="49">
        <v>0</v>
      </c>
      <c r="S434" s="49">
        <v>906.44444444444446</v>
      </c>
      <c r="T434" s="49">
        <v>906.44444444444446</v>
      </c>
      <c r="U434" s="49">
        <v>0</v>
      </c>
      <c r="V434" s="49">
        <v>0</v>
      </c>
      <c r="W434" s="49">
        <v>0</v>
      </c>
      <c r="X434" s="49">
        <v>906.44444444444446</v>
      </c>
      <c r="Y434" s="434">
        <v>8158</v>
      </c>
      <c r="Z434" s="434">
        <v>0</v>
      </c>
      <c r="AA434" s="49">
        <v>0</v>
      </c>
      <c r="AB434" s="49">
        <v>1</v>
      </c>
      <c r="AC434" s="49">
        <v>0</v>
      </c>
      <c r="AD434" s="285">
        <v>0</v>
      </c>
      <c r="AE434" s="285">
        <v>0</v>
      </c>
      <c r="AF434" s="359">
        <v>1</v>
      </c>
      <c r="AG434" s="360">
        <v>0</v>
      </c>
      <c r="AH434" s="360">
        <v>0</v>
      </c>
      <c r="AI434" s="361">
        <v>0</v>
      </c>
      <c r="AJ434" s="360">
        <v>0</v>
      </c>
      <c r="AK434" s="360">
        <v>0</v>
      </c>
      <c r="AL434" s="360">
        <v>0.90911424514573824</v>
      </c>
      <c r="AM434" s="360">
        <v>0.90911424514573824</v>
      </c>
      <c r="AN434" s="360">
        <v>0</v>
      </c>
      <c r="AO434" s="360">
        <v>0</v>
      </c>
      <c r="AP434" s="360">
        <v>0</v>
      </c>
      <c r="AQ434" s="360">
        <v>0</v>
      </c>
      <c r="AR434" s="360">
        <v>0</v>
      </c>
      <c r="AS434" s="360">
        <v>0</v>
      </c>
      <c r="AT434" s="360">
        <v>0</v>
      </c>
      <c r="AU434" s="360">
        <v>0.82648871072690544</v>
      </c>
      <c r="AV434" s="360">
        <v>0.86681754733851879</v>
      </c>
      <c r="AW434" s="360">
        <v>0.90911424514573824</v>
      </c>
      <c r="AX434" s="360">
        <v>0.95347482669745309</v>
      </c>
      <c r="AY434" s="360">
        <v>1</v>
      </c>
      <c r="AZ434" s="360">
        <v>0</v>
      </c>
      <c r="BA434" s="360">
        <v>0</v>
      </c>
      <c r="BB434" s="360">
        <v>0</v>
      </c>
      <c r="BC434" s="360">
        <v>0</v>
      </c>
      <c r="BD434" s="360">
        <v>0</v>
      </c>
      <c r="BE434" s="360">
        <v>0</v>
      </c>
      <c r="BF434" s="360">
        <v>0</v>
      </c>
      <c r="BG434" s="360">
        <v>0</v>
      </c>
      <c r="BH434" s="360">
        <v>0</v>
      </c>
      <c r="BI434" s="360">
        <v>0</v>
      </c>
      <c r="BJ434" s="362">
        <v>1.0134066054705759</v>
      </c>
      <c r="BK434" s="362">
        <v>1.0269929480113955</v>
      </c>
      <c r="BL434" s="362">
        <v>1.040761437286448</v>
      </c>
      <c r="BM434" s="363">
        <v>1.0339188874653549</v>
      </c>
      <c r="BN434" s="363">
        <v>1.0271213244071997</v>
      </c>
      <c r="BO434" s="363">
        <v>1.0238413935606208</v>
      </c>
      <c r="BP434" s="363">
        <v>1.02057193659488</v>
      </c>
      <c r="BQ434" s="363">
        <v>1.0173129200634858</v>
      </c>
      <c r="BR434" s="363">
        <v>1.014064310626752</v>
      </c>
      <c r="BS434" s="363">
        <v>1.0108260750514568</v>
      </c>
      <c r="BT434" s="363">
        <v>1.018303123011822</v>
      </c>
      <c r="BU434" s="363">
        <v>1.0258354784554244</v>
      </c>
      <c r="BV434" s="363">
        <v>1.0334235504899383</v>
      </c>
      <c r="BW434" s="363">
        <v>1.0410677512491946</v>
      </c>
      <c r="BX434" s="363">
        <v>1.0487684959155639</v>
      </c>
      <c r="BY434" s="435">
        <v>1.05299588967814</v>
      </c>
      <c r="BZ434" s="435">
        <v>1.057223283440716</v>
      </c>
      <c r="CA434" s="435">
        <v>1.0614506772032923</v>
      </c>
      <c r="CB434" s="435">
        <v>1.0656780709658684</v>
      </c>
      <c r="CC434" s="363">
        <v>1.0699054647284445</v>
      </c>
      <c r="CD434" s="435">
        <v>1.0733706781377681</v>
      </c>
      <c r="CE434" s="435">
        <v>1.0768358915470915</v>
      </c>
      <c r="CF434" s="435">
        <v>1.0803011049564151</v>
      </c>
      <c r="CG434" s="435">
        <v>1.0837663183657384</v>
      </c>
      <c r="CH434" s="363">
        <v>1.087231531775062</v>
      </c>
      <c r="CI434" s="362">
        <v>0</v>
      </c>
      <c r="CJ434" s="362">
        <v>0</v>
      </c>
      <c r="CK434" s="362">
        <v>0</v>
      </c>
      <c r="CL434" s="363">
        <v>0</v>
      </c>
      <c r="CM434" s="363">
        <v>0</v>
      </c>
      <c r="CN434" s="363">
        <v>0</v>
      </c>
      <c r="CO434" s="363">
        <v>0</v>
      </c>
      <c r="CP434" s="363">
        <v>0</v>
      </c>
      <c r="CQ434" s="363">
        <v>0</v>
      </c>
      <c r="CR434" s="363">
        <v>0</v>
      </c>
      <c r="CS434" s="363">
        <v>0</v>
      </c>
      <c r="CT434" s="363">
        <v>0</v>
      </c>
      <c r="CU434" s="363">
        <v>0</v>
      </c>
      <c r="CV434" s="363">
        <v>0</v>
      </c>
      <c r="CW434" s="363">
        <v>0</v>
      </c>
      <c r="CX434" s="435">
        <v>0</v>
      </c>
      <c r="CY434" s="435">
        <v>0</v>
      </c>
      <c r="CZ434" s="435">
        <v>0</v>
      </c>
      <c r="DA434" s="435">
        <v>0</v>
      </c>
      <c r="DB434" s="363">
        <v>0</v>
      </c>
      <c r="DC434" s="435">
        <v>0</v>
      </c>
      <c r="DD434" s="435">
        <v>0</v>
      </c>
      <c r="DE434" s="435">
        <v>0</v>
      </c>
      <c r="DF434" s="435">
        <v>0</v>
      </c>
      <c r="DG434" s="363">
        <v>0</v>
      </c>
      <c r="DH434" s="362">
        <v>0</v>
      </c>
      <c r="DI434" s="362">
        <v>0</v>
      </c>
      <c r="DJ434" s="362">
        <v>0</v>
      </c>
      <c r="DK434" s="363">
        <v>0</v>
      </c>
      <c r="DL434" s="363">
        <v>0</v>
      </c>
      <c r="DM434" s="363">
        <v>0</v>
      </c>
      <c r="DN434" s="363">
        <v>0</v>
      </c>
      <c r="DO434" s="363">
        <v>0</v>
      </c>
      <c r="DP434" s="363">
        <v>0</v>
      </c>
      <c r="DQ434" s="363">
        <v>0</v>
      </c>
      <c r="DR434" s="363">
        <v>0</v>
      </c>
      <c r="DS434" s="363">
        <v>0</v>
      </c>
      <c r="DT434" s="363">
        <v>0</v>
      </c>
      <c r="DU434" s="363">
        <v>0</v>
      </c>
      <c r="DV434" s="363">
        <v>0</v>
      </c>
      <c r="DW434" s="435">
        <v>0</v>
      </c>
      <c r="DX434" s="435">
        <v>0</v>
      </c>
      <c r="DY434" s="435">
        <v>0</v>
      </c>
      <c r="DZ434" s="435">
        <v>0</v>
      </c>
      <c r="EA434" s="363">
        <v>0</v>
      </c>
      <c r="EB434" s="435">
        <v>0</v>
      </c>
      <c r="EC434" s="435">
        <v>0</v>
      </c>
      <c r="ED434" s="435">
        <v>0</v>
      </c>
      <c r="EE434" s="435">
        <v>0</v>
      </c>
      <c r="EF434" s="363">
        <v>0</v>
      </c>
      <c r="EG434" s="364">
        <v>0</v>
      </c>
      <c r="EH434" s="364">
        <v>0</v>
      </c>
      <c r="EI434" s="364">
        <v>0</v>
      </c>
      <c r="EJ434" s="365">
        <v>0</v>
      </c>
      <c r="EK434" s="365">
        <v>0</v>
      </c>
      <c r="EL434" s="365">
        <v>0</v>
      </c>
      <c r="EM434" s="365">
        <v>0</v>
      </c>
      <c r="EN434" s="365">
        <v>0</v>
      </c>
      <c r="EO434" s="365">
        <v>0</v>
      </c>
      <c r="EP434" s="365">
        <v>0</v>
      </c>
      <c r="EQ434" s="365">
        <v>0</v>
      </c>
      <c r="ER434" s="365">
        <v>0</v>
      </c>
      <c r="ES434" s="365">
        <v>0</v>
      </c>
      <c r="ET434" s="365">
        <v>0</v>
      </c>
      <c r="EU434" s="365">
        <v>0</v>
      </c>
      <c r="EV434" s="436">
        <v>0</v>
      </c>
      <c r="EW434" s="436">
        <v>0</v>
      </c>
      <c r="EX434" s="436">
        <v>0</v>
      </c>
      <c r="EY434" s="436">
        <v>0</v>
      </c>
      <c r="EZ434" s="365">
        <v>0</v>
      </c>
      <c r="FA434" s="436">
        <v>0</v>
      </c>
      <c r="FB434" s="436">
        <v>0</v>
      </c>
      <c r="FC434" s="436">
        <v>0</v>
      </c>
      <c r="FD434" s="436">
        <v>0</v>
      </c>
      <c r="FE434" s="365">
        <v>0</v>
      </c>
      <c r="FF434" s="364">
        <v>0</v>
      </c>
      <c r="FG434" s="364">
        <v>0</v>
      </c>
      <c r="FH434" s="364">
        <v>0</v>
      </c>
      <c r="FI434" s="365">
        <v>0</v>
      </c>
      <c r="FJ434" s="365">
        <v>0</v>
      </c>
      <c r="FK434" s="365">
        <v>0</v>
      </c>
      <c r="FL434" s="365">
        <v>0</v>
      </c>
      <c r="FM434" s="365">
        <v>0</v>
      </c>
      <c r="FN434" s="365">
        <v>0</v>
      </c>
      <c r="FO434" s="365">
        <v>0</v>
      </c>
      <c r="FP434" s="365">
        <v>0</v>
      </c>
      <c r="FQ434" s="365">
        <v>0</v>
      </c>
      <c r="FR434" s="365">
        <v>0</v>
      </c>
      <c r="FS434" s="365">
        <v>0</v>
      </c>
      <c r="FT434" s="365">
        <v>0</v>
      </c>
      <c r="FU434" s="436">
        <v>0</v>
      </c>
      <c r="FV434" s="436">
        <v>0</v>
      </c>
      <c r="FW434" s="436">
        <v>0</v>
      </c>
      <c r="FX434" s="436">
        <v>0</v>
      </c>
      <c r="FY434" s="365">
        <v>0</v>
      </c>
      <c r="FZ434" s="436">
        <v>0</v>
      </c>
      <c r="GA434" s="436">
        <v>0</v>
      </c>
      <c r="GB434" s="436">
        <v>0</v>
      </c>
      <c r="GC434" s="436">
        <v>0</v>
      </c>
      <c r="GD434" s="365">
        <v>0</v>
      </c>
    </row>
    <row r="435" spans="1:186" ht="15" x14ac:dyDescent="0.25">
      <c r="A435" s="357">
        <v>107</v>
      </c>
      <c r="B435" s="357">
        <v>116</v>
      </c>
      <c r="C435" s="357" t="s">
        <v>1345</v>
      </c>
      <c r="D435" s="2">
        <v>99712</v>
      </c>
      <c r="E435" s="268" t="s">
        <v>19</v>
      </c>
      <c r="F435" s="358" t="s">
        <v>915</v>
      </c>
      <c r="G435" s="49">
        <v>23</v>
      </c>
      <c r="H435" s="49">
        <v>17</v>
      </c>
      <c r="I435" s="49">
        <v>14</v>
      </c>
      <c r="J435" s="49">
        <v>3</v>
      </c>
      <c r="K435" s="49">
        <v>0</v>
      </c>
      <c r="L435" s="49">
        <v>8</v>
      </c>
      <c r="M435" s="49">
        <v>8</v>
      </c>
      <c r="N435" s="49">
        <v>0</v>
      </c>
      <c r="O435" s="49">
        <v>0</v>
      </c>
      <c r="P435" s="49">
        <v>0</v>
      </c>
      <c r="Q435" s="49">
        <v>8</v>
      </c>
      <c r="R435" s="49">
        <v>0</v>
      </c>
      <c r="S435" s="49">
        <v>717</v>
      </c>
      <c r="T435" s="49">
        <v>717</v>
      </c>
      <c r="U435" s="49">
        <v>0</v>
      </c>
      <c r="V435" s="49">
        <v>0</v>
      </c>
      <c r="W435" s="49">
        <v>0</v>
      </c>
      <c r="X435" s="49">
        <v>717</v>
      </c>
      <c r="Y435" s="434">
        <v>5736</v>
      </c>
      <c r="Z435" s="434">
        <v>0</v>
      </c>
      <c r="AA435" s="49">
        <v>0</v>
      </c>
      <c r="AB435" s="49">
        <v>17</v>
      </c>
      <c r="AC435" s="49">
        <v>0</v>
      </c>
      <c r="AD435" s="285">
        <v>0</v>
      </c>
      <c r="AE435" s="285">
        <v>0</v>
      </c>
      <c r="AF435" s="359">
        <v>17</v>
      </c>
      <c r="AG435" s="360">
        <v>0</v>
      </c>
      <c r="AH435" s="360">
        <v>14</v>
      </c>
      <c r="AI435" s="361">
        <v>14</v>
      </c>
      <c r="AJ435" s="360">
        <v>0</v>
      </c>
      <c r="AK435" s="360">
        <v>0</v>
      </c>
      <c r="AL435" s="360">
        <v>15.454942167477549</v>
      </c>
      <c r="AM435" s="360">
        <v>15.454942167477549</v>
      </c>
      <c r="AN435" s="360">
        <v>0</v>
      </c>
      <c r="AO435" s="360">
        <v>0</v>
      </c>
      <c r="AP435" s="360">
        <v>12.77435754543073</v>
      </c>
      <c r="AQ435" s="360">
        <v>12.77435754543073</v>
      </c>
      <c r="AR435" s="360">
        <v>0</v>
      </c>
      <c r="AS435" s="360">
        <v>0</v>
      </c>
      <c r="AT435" s="360">
        <v>0</v>
      </c>
      <c r="AU435" s="360">
        <v>14.050308082357391</v>
      </c>
      <c r="AV435" s="360">
        <v>14.735898304754819</v>
      </c>
      <c r="AW435" s="360">
        <v>15.454942167477549</v>
      </c>
      <c r="AX435" s="360">
        <v>16.209072053856705</v>
      </c>
      <c r="AY435" s="360">
        <v>17</v>
      </c>
      <c r="AZ435" s="360">
        <v>11.656015049893073</v>
      </c>
      <c r="BA435" s="360">
        <v>12.202381071014612</v>
      </c>
      <c r="BB435" s="360">
        <v>12.77435754543073</v>
      </c>
      <c r="BC435" s="360">
        <v>13.373144941861291</v>
      </c>
      <c r="BD435" s="360">
        <v>14</v>
      </c>
      <c r="BE435" s="360">
        <v>0</v>
      </c>
      <c r="BF435" s="360">
        <v>0</v>
      </c>
      <c r="BG435" s="360">
        <v>0</v>
      </c>
      <c r="BH435" s="360">
        <v>0</v>
      </c>
      <c r="BI435" s="360">
        <v>0</v>
      </c>
      <c r="BJ435" s="362">
        <v>17.22791229299979</v>
      </c>
      <c r="BK435" s="362">
        <v>17.458880116193725</v>
      </c>
      <c r="BL435" s="362">
        <v>17.692944433869616</v>
      </c>
      <c r="BM435" s="363">
        <v>17.576621086911036</v>
      </c>
      <c r="BN435" s="363">
        <v>17.461062514922396</v>
      </c>
      <c r="BO435" s="363">
        <v>17.405303690530552</v>
      </c>
      <c r="BP435" s="363">
        <v>17.34972292211296</v>
      </c>
      <c r="BQ435" s="363">
        <v>17.294319641079259</v>
      </c>
      <c r="BR435" s="363">
        <v>17.239093280654785</v>
      </c>
      <c r="BS435" s="363">
        <v>17.184043275874767</v>
      </c>
      <c r="BT435" s="363">
        <v>17.311153091200975</v>
      </c>
      <c r="BU435" s="363">
        <v>17.439203133742215</v>
      </c>
      <c r="BV435" s="363">
        <v>17.568200358328951</v>
      </c>
      <c r="BW435" s="363">
        <v>17.698151771236308</v>
      </c>
      <c r="BX435" s="363">
        <v>17.829064430564586</v>
      </c>
      <c r="BY435" s="435">
        <v>17.900930124528379</v>
      </c>
      <c r="BZ435" s="435">
        <v>17.972795818492173</v>
      </c>
      <c r="CA435" s="435">
        <v>18.044661512455971</v>
      </c>
      <c r="CB435" s="435">
        <v>18.116527206419764</v>
      </c>
      <c r="CC435" s="363">
        <v>18.188392900383558</v>
      </c>
      <c r="CD435" s="435">
        <v>18.247301528342057</v>
      </c>
      <c r="CE435" s="435">
        <v>18.306210156300558</v>
      </c>
      <c r="CF435" s="435">
        <v>18.365118784259057</v>
      </c>
      <c r="CG435" s="435">
        <v>18.424027412217558</v>
      </c>
      <c r="CH435" s="363">
        <v>18.482936040176057</v>
      </c>
      <c r="CI435" s="362">
        <v>14.187692476588063</v>
      </c>
      <c r="CJ435" s="362">
        <v>14.377901272159537</v>
      </c>
      <c r="CK435" s="362">
        <v>14.570660122010272</v>
      </c>
      <c r="CL435" s="363">
        <v>14.474864424514969</v>
      </c>
      <c r="CM435" s="363">
        <v>14.379698541700797</v>
      </c>
      <c r="CN435" s="363">
        <v>14.333779509848689</v>
      </c>
      <c r="CO435" s="363">
        <v>14.288007112328319</v>
      </c>
      <c r="CP435" s="363">
        <v>14.242380880888801</v>
      </c>
      <c r="CQ435" s="363">
        <v>14.196900348774529</v>
      </c>
      <c r="CR435" s="363">
        <v>14.151565050720396</v>
      </c>
      <c r="CS435" s="363">
        <v>14.256243722165509</v>
      </c>
      <c r="CT435" s="363">
        <v>14.361696698375942</v>
      </c>
      <c r="CU435" s="363">
        <v>14.467929706859136</v>
      </c>
      <c r="CV435" s="363">
        <v>14.574948517488725</v>
      </c>
      <c r="CW435" s="363">
        <v>14.682758942817895</v>
      </c>
      <c r="CX435" s="435">
        <v>14.741942455493961</v>
      </c>
      <c r="CY435" s="435">
        <v>14.801125968170027</v>
      </c>
      <c r="CZ435" s="435">
        <v>14.860309480846093</v>
      </c>
      <c r="DA435" s="435">
        <v>14.919492993522159</v>
      </c>
      <c r="DB435" s="363">
        <v>14.978676506198225</v>
      </c>
      <c r="DC435" s="435">
        <v>15.027189493928754</v>
      </c>
      <c r="DD435" s="435">
        <v>15.075702481659283</v>
      </c>
      <c r="DE435" s="435">
        <v>15.124215469389812</v>
      </c>
      <c r="DF435" s="435">
        <v>15.172728457120341</v>
      </c>
      <c r="DG435" s="363">
        <v>15.22124144485087</v>
      </c>
      <c r="DH435" s="362">
        <v>0</v>
      </c>
      <c r="DI435" s="362">
        <v>0</v>
      </c>
      <c r="DJ435" s="362">
        <v>0</v>
      </c>
      <c r="DK435" s="363">
        <v>0</v>
      </c>
      <c r="DL435" s="363">
        <v>0</v>
      </c>
      <c r="DM435" s="363">
        <v>0</v>
      </c>
      <c r="DN435" s="363">
        <v>0</v>
      </c>
      <c r="DO435" s="363">
        <v>0</v>
      </c>
      <c r="DP435" s="363">
        <v>0</v>
      </c>
      <c r="DQ435" s="363">
        <v>0</v>
      </c>
      <c r="DR435" s="363">
        <v>0</v>
      </c>
      <c r="DS435" s="363">
        <v>0</v>
      </c>
      <c r="DT435" s="363">
        <v>0</v>
      </c>
      <c r="DU435" s="363">
        <v>0</v>
      </c>
      <c r="DV435" s="363">
        <v>0</v>
      </c>
      <c r="DW435" s="435">
        <v>0</v>
      </c>
      <c r="DX435" s="435">
        <v>0</v>
      </c>
      <c r="DY435" s="435">
        <v>0</v>
      </c>
      <c r="DZ435" s="435">
        <v>0</v>
      </c>
      <c r="EA435" s="363">
        <v>0</v>
      </c>
      <c r="EB435" s="435">
        <v>0</v>
      </c>
      <c r="EC435" s="435">
        <v>0</v>
      </c>
      <c r="ED435" s="435">
        <v>0</v>
      </c>
      <c r="EE435" s="435">
        <v>0</v>
      </c>
      <c r="EF435" s="363">
        <v>0</v>
      </c>
      <c r="EG435" s="364">
        <v>0</v>
      </c>
      <c r="EH435" s="364">
        <v>0</v>
      </c>
      <c r="EI435" s="364">
        <v>0</v>
      </c>
      <c r="EJ435" s="365">
        <v>0</v>
      </c>
      <c r="EK435" s="365">
        <v>0</v>
      </c>
      <c r="EL435" s="365">
        <v>0</v>
      </c>
      <c r="EM435" s="365">
        <v>0</v>
      </c>
      <c r="EN435" s="365">
        <v>0</v>
      </c>
      <c r="EO435" s="365">
        <v>0</v>
      </c>
      <c r="EP435" s="365">
        <v>0</v>
      </c>
      <c r="EQ435" s="365">
        <v>0</v>
      </c>
      <c r="ER435" s="365">
        <v>0</v>
      </c>
      <c r="ES435" s="365">
        <v>0</v>
      </c>
      <c r="ET435" s="365">
        <v>0</v>
      </c>
      <c r="EU435" s="365">
        <v>0</v>
      </c>
      <c r="EV435" s="436">
        <v>0</v>
      </c>
      <c r="EW435" s="436">
        <v>0</v>
      </c>
      <c r="EX435" s="436">
        <v>0</v>
      </c>
      <c r="EY435" s="436">
        <v>0</v>
      </c>
      <c r="EZ435" s="365">
        <v>0</v>
      </c>
      <c r="FA435" s="436">
        <v>0</v>
      </c>
      <c r="FB435" s="436">
        <v>0</v>
      </c>
      <c r="FC435" s="436">
        <v>0</v>
      </c>
      <c r="FD435" s="436">
        <v>0</v>
      </c>
      <c r="FE435" s="365">
        <v>0</v>
      </c>
      <c r="FF435" s="364">
        <v>0</v>
      </c>
      <c r="FG435" s="364">
        <v>0</v>
      </c>
      <c r="FH435" s="364">
        <v>0</v>
      </c>
      <c r="FI435" s="365">
        <v>0</v>
      </c>
      <c r="FJ435" s="365">
        <v>0</v>
      </c>
      <c r="FK435" s="365">
        <v>0</v>
      </c>
      <c r="FL435" s="365">
        <v>0</v>
      </c>
      <c r="FM435" s="365">
        <v>0</v>
      </c>
      <c r="FN435" s="365">
        <v>0</v>
      </c>
      <c r="FO435" s="365">
        <v>0</v>
      </c>
      <c r="FP435" s="365">
        <v>0</v>
      </c>
      <c r="FQ435" s="365">
        <v>0</v>
      </c>
      <c r="FR435" s="365">
        <v>0</v>
      </c>
      <c r="FS435" s="365">
        <v>0</v>
      </c>
      <c r="FT435" s="365">
        <v>0</v>
      </c>
      <c r="FU435" s="436">
        <v>0</v>
      </c>
      <c r="FV435" s="436">
        <v>0</v>
      </c>
      <c r="FW435" s="436">
        <v>0</v>
      </c>
      <c r="FX435" s="436">
        <v>0</v>
      </c>
      <c r="FY435" s="365">
        <v>0</v>
      </c>
      <c r="FZ435" s="436">
        <v>0</v>
      </c>
      <c r="GA435" s="436">
        <v>0</v>
      </c>
      <c r="GB435" s="436">
        <v>0</v>
      </c>
      <c r="GC435" s="436">
        <v>0</v>
      </c>
      <c r="GD435" s="365">
        <v>0</v>
      </c>
    </row>
    <row r="436" spans="1:186" ht="15" x14ac:dyDescent="0.25">
      <c r="A436" s="357">
        <v>109</v>
      </c>
      <c r="B436" s="357">
        <v>116</v>
      </c>
      <c r="C436" s="357" t="s">
        <v>1346</v>
      </c>
      <c r="D436" s="2">
        <v>99712</v>
      </c>
      <c r="E436" s="268" t="s">
        <v>19</v>
      </c>
      <c r="F436" s="358" t="s">
        <v>915</v>
      </c>
      <c r="G436" s="49">
        <v>18</v>
      </c>
      <c r="H436" s="49">
        <v>14</v>
      </c>
      <c r="I436" s="49">
        <v>11</v>
      </c>
      <c r="J436" s="49">
        <v>3</v>
      </c>
      <c r="K436" s="49">
        <v>0</v>
      </c>
      <c r="L436" s="49">
        <v>0</v>
      </c>
      <c r="M436" s="49">
        <v>0</v>
      </c>
      <c r="N436" s="49">
        <v>0</v>
      </c>
      <c r="O436" s="49">
        <v>0</v>
      </c>
      <c r="P436" s="49">
        <v>0</v>
      </c>
      <c r="Q436" s="49">
        <v>0</v>
      </c>
      <c r="R436" s="49">
        <v>0</v>
      </c>
      <c r="S436" s="49">
        <v>834.49503068156923</v>
      </c>
      <c r="T436" s="49">
        <v>834.49503068156923</v>
      </c>
      <c r="U436" s="49">
        <v>1408.3846153846155</v>
      </c>
      <c r="V436" s="49">
        <v>0</v>
      </c>
      <c r="W436" s="49">
        <v>0</v>
      </c>
      <c r="X436" s="49">
        <v>1365.173957061457</v>
      </c>
      <c r="Y436" s="434">
        <v>0</v>
      </c>
      <c r="Z436" s="434">
        <v>0</v>
      </c>
      <c r="AA436" s="49">
        <v>0.32077269577269579</v>
      </c>
      <c r="AB436" s="49">
        <v>13.661036036036036</v>
      </c>
      <c r="AC436" s="49">
        <v>1.8191268191268192E-2</v>
      </c>
      <c r="AD436" s="285">
        <v>0</v>
      </c>
      <c r="AE436" s="285">
        <v>0</v>
      </c>
      <c r="AF436" s="359">
        <v>14</v>
      </c>
      <c r="AG436" s="360">
        <v>0.25203568953568956</v>
      </c>
      <c r="AH436" s="360">
        <v>10.733671171171171</v>
      </c>
      <c r="AI436" s="361">
        <v>10.985706860706861</v>
      </c>
      <c r="AJ436" s="360">
        <v>1.4293139293139292E-2</v>
      </c>
      <c r="AK436" s="360">
        <v>0.29161902718075788</v>
      </c>
      <c r="AL436" s="360">
        <v>12.419442463809629</v>
      </c>
      <c r="AM436" s="360">
        <v>12.711061490990387</v>
      </c>
      <c r="AN436" s="360">
        <v>1.6537941049948462E-2</v>
      </c>
      <c r="AO436" s="360">
        <v>0.22997100088129091</v>
      </c>
      <c r="AP436" s="360">
        <v>9.7939823796873391</v>
      </c>
      <c r="AQ436" s="360">
        <v>10.02395338056863</v>
      </c>
      <c r="AR436" s="360">
        <v>1.3041833698371882E-2</v>
      </c>
      <c r="AS436" s="360">
        <v>0</v>
      </c>
      <c r="AT436" s="360">
        <v>0</v>
      </c>
      <c r="AU436" s="360">
        <v>11.555807072382787</v>
      </c>
      <c r="AV436" s="360">
        <v>12.11967715226273</v>
      </c>
      <c r="AW436" s="360">
        <v>12.711061490990387</v>
      </c>
      <c r="AX436" s="360">
        <v>13.331302657478268</v>
      </c>
      <c r="AY436" s="360">
        <v>13.981808731808732</v>
      </c>
      <c r="AZ436" s="360">
        <v>9.1463974644366246</v>
      </c>
      <c r="BA436" s="360">
        <v>9.5751272463431967</v>
      </c>
      <c r="BB436" s="360">
        <v>10.02395338056863</v>
      </c>
      <c r="BC436" s="360">
        <v>10.493817866930916</v>
      </c>
      <c r="BD436" s="360">
        <v>10.985706860706861</v>
      </c>
      <c r="BE436" s="360">
        <v>0</v>
      </c>
      <c r="BF436" s="360">
        <v>0</v>
      </c>
      <c r="BG436" s="360">
        <v>0</v>
      </c>
      <c r="BH436" s="360">
        <v>0</v>
      </c>
      <c r="BI436" s="360">
        <v>0</v>
      </c>
      <c r="BJ436" s="362">
        <v>14.169257325241144</v>
      </c>
      <c r="BK436" s="362">
        <v>14.359218968011721</v>
      </c>
      <c r="BL436" s="362">
        <v>14.551727351581464</v>
      </c>
      <c r="BM436" s="363">
        <v>14.45605612874507</v>
      </c>
      <c r="BN436" s="363">
        <v>14.361013902223535</v>
      </c>
      <c r="BO436" s="363">
        <v>14.315154536473106</v>
      </c>
      <c r="BP436" s="363">
        <v>14.26944161452124</v>
      </c>
      <c r="BQ436" s="363">
        <v>14.223874668725484</v>
      </c>
      <c r="BR436" s="363">
        <v>14.178453232936723</v>
      </c>
      <c r="BS436" s="363">
        <v>14.133176842494407</v>
      </c>
      <c r="BT436" s="363">
        <v>14.237719496954794</v>
      </c>
      <c r="BU436" s="363">
        <v>14.343035450067241</v>
      </c>
      <c r="BV436" s="363">
        <v>14.449130421897001</v>
      </c>
      <c r="BW436" s="363">
        <v>14.55601017482047</v>
      </c>
      <c r="BX436" s="363">
        <v>14.663680513838141</v>
      </c>
      <c r="BY436" s="435">
        <v>14.722787124860522</v>
      </c>
      <c r="BZ436" s="435">
        <v>14.781893735882903</v>
      </c>
      <c r="CA436" s="435">
        <v>14.841000346905284</v>
      </c>
      <c r="CB436" s="435">
        <v>14.900106957927665</v>
      </c>
      <c r="CC436" s="363">
        <v>14.959213568950046</v>
      </c>
      <c r="CD436" s="435">
        <v>15.007663520054106</v>
      </c>
      <c r="CE436" s="435">
        <v>15.056113471158165</v>
      </c>
      <c r="CF436" s="435">
        <v>15.104563422262226</v>
      </c>
      <c r="CG436" s="435">
        <v>15.153013373366285</v>
      </c>
      <c r="CH436" s="363">
        <v>15.201463324470344</v>
      </c>
      <c r="CI436" s="362">
        <v>11.132987898403757</v>
      </c>
      <c r="CJ436" s="362">
        <v>11.282243474866352</v>
      </c>
      <c r="CK436" s="362">
        <v>11.433500061956865</v>
      </c>
      <c r="CL436" s="363">
        <v>11.358329815442556</v>
      </c>
      <c r="CM436" s="363">
        <v>11.283653780318492</v>
      </c>
      <c r="CN436" s="363">
        <v>11.247621421514584</v>
      </c>
      <c r="CO436" s="363">
        <v>11.21170412569526</v>
      </c>
      <c r="CP436" s="363">
        <v>11.175901525427166</v>
      </c>
      <c r="CQ436" s="363">
        <v>11.140213254450282</v>
      </c>
      <c r="CR436" s="363">
        <v>11.104638947674179</v>
      </c>
      <c r="CS436" s="363">
        <v>11.186779604750196</v>
      </c>
      <c r="CT436" s="363">
        <v>11.269527853624261</v>
      </c>
      <c r="CU436" s="363">
        <v>11.352888188633358</v>
      </c>
      <c r="CV436" s="363">
        <v>11.436865137358941</v>
      </c>
      <c r="CW436" s="363">
        <v>11.521463260872826</v>
      </c>
      <c r="CX436" s="435">
        <v>11.567904169533268</v>
      </c>
      <c r="CY436" s="435">
        <v>11.614345078193709</v>
      </c>
      <c r="CZ436" s="435">
        <v>11.660785986854153</v>
      </c>
      <c r="DA436" s="435">
        <v>11.707226895514594</v>
      </c>
      <c r="DB436" s="363">
        <v>11.753667804175036</v>
      </c>
      <c r="DC436" s="435">
        <v>11.791735622899655</v>
      </c>
      <c r="DD436" s="435">
        <v>11.829803441624273</v>
      </c>
      <c r="DE436" s="435">
        <v>11.867871260348892</v>
      </c>
      <c r="DF436" s="435">
        <v>11.90593907907351</v>
      </c>
      <c r="DG436" s="363">
        <v>11.944006897798129</v>
      </c>
      <c r="DH436" s="362">
        <v>0</v>
      </c>
      <c r="DI436" s="362">
        <v>0</v>
      </c>
      <c r="DJ436" s="362">
        <v>0</v>
      </c>
      <c r="DK436" s="363">
        <v>0</v>
      </c>
      <c r="DL436" s="363">
        <v>0</v>
      </c>
      <c r="DM436" s="363">
        <v>0</v>
      </c>
      <c r="DN436" s="363">
        <v>0</v>
      </c>
      <c r="DO436" s="363">
        <v>0</v>
      </c>
      <c r="DP436" s="363">
        <v>0</v>
      </c>
      <c r="DQ436" s="363">
        <v>0</v>
      </c>
      <c r="DR436" s="363">
        <v>0</v>
      </c>
      <c r="DS436" s="363">
        <v>0</v>
      </c>
      <c r="DT436" s="363">
        <v>0</v>
      </c>
      <c r="DU436" s="363">
        <v>0</v>
      </c>
      <c r="DV436" s="363">
        <v>0</v>
      </c>
      <c r="DW436" s="435">
        <v>0</v>
      </c>
      <c r="DX436" s="435">
        <v>0</v>
      </c>
      <c r="DY436" s="435">
        <v>0</v>
      </c>
      <c r="DZ436" s="435">
        <v>0</v>
      </c>
      <c r="EA436" s="363">
        <v>0</v>
      </c>
      <c r="EB436" s="435">
        <v>0</v>
      </c>
      <c r="EC436" s="435">
        <v>0</v>
      </c>
      <c r="ED436" s="435">
        <v>0</v>
      </c>
      <c r="EE436" s="435">
        <v>0</v>
      </c>
      <c r="EF436" s="363">
        <v>0</v>
      </c>
      <c r="EG436" s="364">
        <v>1.8435151346917963E-2</v>
      </c>
      <c r="EH436" s="364">
        <v>1.8682304147816447E-2</v>
      </c>
      <c r="EI436" s="364">
        <v>1.8932770428807526E-2</v>
      </c>
      <c r="EJ436" s="365">
        <v>1.8808295769899907E-2</v>
      </c>
      <c r="EK436" s="365">
        <v>1.8684639477261952E-2</v>
      </c>
      <c r="EL436" s="365">
        <v>1.8624973375583016E-2</v>
      </c>
      <c r="EM436" s="365">
        <v>1.8565497807079417E-2</v>
      </c>
      <c r="EN436" s="365">
        <v>1.8506212163317048E-2</v>
      </c>
      <c r="EO436" s="365">
        <v>1.8447115837804739E-2</v>
      </c>
      <c r="EP436" s="365">
        <v>1.838820822598804E-2</v>
      </c>
      <c r="EQ436" s="365">
        <v>1.8524225210714017E-2</v>
      </c>
      <c r="ER436" s="365">
        <v>1.866124830870055E-2</v>
      </c>
      <c r="ES436" s="365">
        <v>1.8799284962135052E-2</v>
      </c>
      <c r="ET436" s="365">
        <v>1.8938342668254581E-2</v>
      </c>
      <c r="EU436" s="365">
        <v>1.9078428979752982E-2</v>
      </c>
      <c r="EV436" s="436">
        <v>1.9155330633438099E-2</v>
      </c>
      <c r="EW436" s="436">
        <v>1.9232232287123216E-2</v>
      </c>
      <c r="EX436" s="436">
        <v>1.9309133940808333E-2</v>
      </c>
      <c r="EY436" s="436">
        <v>1.938603559449345E-2</v>
      </c>
      <c r="EZ436" s="365">
        <v>1.9462937248178568E-2</v>
      </c>
      <c r="FA436" s="436">
        <v>1.9525973874647551E-2</v>
      </c>
      <c r="FB436" s="436">
        <v>1.9589010501116531E-2</v>
      </c>
      <c r="FC436" s="436">
        <v>1.9652047127585514E-2</v>
      </c>
      <c r="FD436" s="436">
        <v>1.9715083754054494E-2</v>
      </c>
      <c r="FE436" s="365">
        <v>1.9778120380523477E-2</v>
      </c>
      <c r="FF436" s="364">
        <v>0</v>
      </c>
      <c r="FG436" s="364">
        <v>0</v>
      </c>
      <c r="FH436" s="364">
        <v>0</v>
      </c>
      <c r="FI436" s="365">
        <v>0</v>
      </c>
      <c r="FJ436" s="365">
        <v>0</v>
      </c>
      <c r="FK436" s="365">
        <v>0</v>
      </c>
      <c r="FL436" s="365">
        <v>0</v>
      </c>
      <c r="FM436" s="365">
        <v>0</v>
      </c>
      <c r="FN436" s="365">
        <v>0</v>
      </c>
      <c r="FO436" s="365">
        <v>0</v>
      </c>
      <c r="FP436" s="365">
        <v>0</v>
      </c>
      <c r="FQ436" s="365">
        <v>0</v>
      </c>
      <c r="FR436" s="365">
        <v>0</v>
      </c>
      <c r="FS436" s="365">
        <v>0</v>
      </c>
      <c r="FT436" s="365">
        <v>0</v>
      </c>
      <c r="FU436" s="436">
        <v>0</v>
      </c>
      <c r="FV436" s="436">
        <v>0</v>
      </c>
      <c r="FW436" s="436">
        <v>0</v>
      </c>
      <c r="FX436" s="436">
        <v>0</v>
      </c>
      <c r="FY436" s="365">
        <v>0</v>
      </c>
      <c r="FZ436" s="436">
        <v>0</v>
      </c>
      <c r="GA436" s="436">
        <v>0</v>
      </c>
      <c r="GB436" s="436">
        <v>0</v>
      </c>
      <c r="GC436" s="436">
        <v>0</v>
      </c>
      <c r="GD436" s="365">
        <v>0</v>
      </c>
    </row>
    <row r="437" spans="1:186" ht="15" x14ac:dyDescent="0.25">
      <c r="A437" s="357">
        <v>110</v>
      </c>
      <c r="B437" s="357">
        <v>116</v>
      </c>
      <c r="C437" s="357" t="s">
        <v>1347</v>
      </c>
      <c r="D437" s="2">
        <v>99712</v>
      </c>
      <c r="E437" s="268" t="s">
        <v>19</v>
      </c>
      <c r="F437" s="358" t="s">
        <v>915</v>
      </c>
      <c r="G437" s="49">
        <v>12</v>
      </c>
      <c r="H437" s="49">
        <v>7</v>
      </c>
      <c r="I437" s="49">
        <v>5</v>
      </c>
      <c r="J437" s="49">
        <v>2</v>
      </c>
      <c r="K437" s="49">
        <v>0</v>
      </c>
      <c r="L437" s="49">
        <v>12</v>
      </c>
      <c r="M437" s="49">
        <v>12</v>
      </c>
      <c r="N437" s="49">
        <v>0</v>
      </c>
      <c r="O437" s="49">
        <v>0</v>
      </c>
      <c r="P437" s="49">
        <v>0</v>
      </c>
      <c r="Q437" s="49">
        <v>12</v>
      </c>
      <c r="R437" s="49">
        <v>0</v>
      </c>
      <c r="S437" s="49">
        <v>1159.75</v>
      </c>
      <c r="T437" s="49">
        <v>1159.75</v>
      </c>
      <c r="U437" s="49">
        <v>0</v>
      </c>
      <c r="V437" s="49">
        <v>0</v>
      </c>
      <c r="W437" s="49">
        <v>0</v>
      </c>
      <c r="X437" s="49">
        <v>1159.75</v>
      </c>
      <c r="Y437" s="434">
        <v>13917</v>
      </c>
      <c r="Z437" s="434">
        <v>0</v>
      </c>
      <c r="AA437" s="49">
        <v>0</v>
      </c>
      <c r="AB437" s="49">
        <v>7</v>
      </c>
      <c r="AC437" s="49">
        <v>0</v>
      </c>
      <c r="AD437" s="285">
        <v>0</v>
      </c>
      <c r="AE437" s="285">
        <v>0</v>
      </c>
      <c r="AF437" s="359">
        <v>7</v>
      </c>
      <c r="AG437" s="360">
        <v>0</v>
      </c>
      <c r="AH437" s="360">
        <v>5</v>
      </c>
      <c r="AI437" s="361">
        <v>5</v>
      </c>
      <c r="AJ437" s="360">
        <v>0</v>
      </c>
      <c r="AK437" s="360">
        <v>0</v>
      </c>
      <c r="AL437" s="360">
        <v>6.3637997160201678</v>
      </c>
      <c r="AM437" s="360">
        <v>6.3637997160201678</v>
      </c>
      <c r="AN437" s="360">
        <v>0</v>
      </c>
      <c r="AO437" s="360">
        <v>0</v>
      </c>
      <c r="AP437" s="360">
        <v>4.5622705519395463</v>
      </c>
      <c r="AQ437" s="360">
        <v>4.5622705519395463</v>
      </c>
      <c r="AR437" s="360">
        <v>0</v>
      </c>
      <c r="AS437" s="360">
        <v>0</v>
      </c>
      <c r="AT437" s="360">
        <v>0</v>
      </c>
      <c r="AU437" s="360">
        <v>5.7854209750883383</v>
      </c>
      <c r="AV437" s="360">
        <v>6.0677228313696316</v>
      </c>
      <c r="AW437" s="360">
        <v>6.3637997160201678</v>
      </c>
      <c r="AX437" s="360">
        <v>6.6743237868821721</v>
      </c>
      <c r="AY437" s="360">
        <v>7</v>
      </c>
      <c r="AZ437" s="360">
        <v>4.1628625178189544</v>
      </c>
      <c r="BA437" s="360">
        <v>4.3579932396480761</v>
      </c>
      <c r="BB437" s="360">
        <v>4.5622705519395463</v>
      </c>
      <c r="BC437" s="360">
        <v>4.7761231935218893</v>
      </c>
      <c r="BD437" s="360">
        <v>5</v>
      </c>
      <c r="BE437" s="360">
        <v>0</v>
      </c>
      <c r="BF437" s="360">
        <v>0</v>
      </c>
      <c r="BG437" s="360">
        <v>0</v>
      </c>
      <c r="BH437" s="360">
        <v>0</v>
      </c>
      <c r="BI437" s="360">
        <v>0</v>
      </c>
      <c r="BJ437" s="362">
        <v>7.0938462382940317</v>
      </c>
      <c r="BK437" s="362">
        <v>7.1889506360797686</v>
      </c>
      <c r="BL437" s="362">
        <v>7.2853300610051361</v>
      </c>
      <c r="BM437" s="363">
        <v>7.2374322122574846</v>
      </c>
      <c r="BN437" s="363">
        <v>7.1898492708503987</v>
      </c>
      <c r="BO437" s="363">
        <v>7.1668897549243447</v>
      </c>
      <c r="BP437" s="363">
        <v>7.1440035561641597</v>
      </c>
      <c r="BQ437" s="363">
        <v>7.1211904404444004</v>
      </c>
      <c r="BR437" s="363">
        <v>7.0984501743872643</v>
      </c>
      <c r="BS437" s="363">
        <v>7.0757825253601982</v>
      </c>
      <c r="BT437" s="363">
        <v>7.1281218610827546</v>
      </c>
      <c r="BU437" s="363">
        <v>7.1808483491879711</v>
      </c>
      <c r="BV437" s="363">
        <v>7.2339648534295682</v>
      </c>
      <c r="BW437" s="363">
        <v>7.2874742587443624</v>
      </c>
      <c r="BX437" s="363">
        <v>7.3413794714089473</v>
      </c>
      <c r="BY437" s="435">
        <v>7.3709712277469803</v>
      </c>
      <c r="BZ437" s="435">
        <v>7.4005629840850133</v>
      </c>
      <c r="CA437" s="435">
        <v>7.4301547404230464</v>
      </c>
      <c r="CB437" s="435">
        <v>7.4597464967610794</v>
      </c>
      <c r="CC437" s="363">
        <v>7.4893382530991124</v>
      </c>
      <c r="CD437" s="435">
        <v>7.5135947469643769</v>
      </c>
      <c r="CE437" s="435">
        <v>7.5378512408296414</v>
      </c>
      <c r="CF437" s="435">
        <v>7.5621077346949059</v>
      </c>
      <c r="CG437" s="435">
        <v>7.5863642285601705</v>
      </c>
      <c r="CH437" s="363">
        <v>7.610620722425435</v>
      </c>
      <c r="CI437" s="362">
        <v>5.0670330273528794</v>
      </c>
      <c r="CJ437" s="362">
        <v>5.1349647400569776</v>
      </c>
      <c r="CK437" s="362">
        <v>5.2038071864322397</v>
      </c>
      <c r="CL437" s="363">
        <v>5.1695944373267748</v>
      </c>
      <c r="CM437" s="363">
        <v>5.1356066220359988</v>
      </c>
      <c r="CN437" s="363">
        <v>5.1192069678031036</v>
      </c>
      <c r="CO437" s="363">
        <v>5.1028596829743993</v>
      </c>
      <c r="CP437" s="363">
        <v>5.0865646003174287</v>
      </c>
      <c r="CQ437" s="363">
        <v>5.07032155313376</v>
      </c>
      <c r="CR437" s="363">
        <v>5.0541303752572837</v>
      </c>
      <c r="CS437" s="363">
        <v>5.0915156150591105</v>
      </c>
      <c r="CT437" s="363">
        <v>5.1291773922771222</v>
      </c>
      <c r="CU437" s="363">
        <v>5.1671177524496912</v>
      </c>
      <c r="CV437" s="363">
        <v>5.2053387562459728</v>
      </c>
      <c r="CW437" s="363">
        <v>5.2438424795778191</v>
      </c>
      <c r="CX437" s="435">
        <v>5.2649794483907</v>
      </c>
      <c r="CY437" s="435">
        <v>5.2861164172035808</v>
      </c>
      <c r="CZ437" s="435">
        <v>5.3072533860164608</v>
      </c>
      <c r="DA437" s="435">
        <v>5.3283903548293416</v>
      </c>
      <c r="DB437" s="363">
        <v>5.3495273236422225</v>
      </c>
      <c r="DC437" s="435">
        <v>5.3668533906888403</v>
      </c>
      <c r="DD437" s="435">
        <v>5.384179457735458</v>
      </c>
      <c r="DE437" s="435">
        <v>5.4015055247820749</v>
      </c>
      <c r="DF437" s="435">
        <v>5.4188315918286927</v>
      </c>
      <c r="DG437" s="363">
        <v>5.4361576588753104</v>
      </c>
      <c r="DH437" s="362">
        <v>0</v>
      </c>
      <c r="DI437" s="362">
        <v>0</v>
      </c>
      <c r="DJ437" s="362">
        <v>0</v>
      </c>
      <c r="DK437" s="363">
        <v>0</v>
      </c>
      <c r="DL437" s="363">
        <v>0</v>
      </c>
      <c r="DM437" s="363">
        <v>0</v>
      </c>
      <c r="DN437" s="363">
        <v>0</v>
      </c>
      <c r="DO437" s="363">
        <v>0</v>
      </c>
      <c r="DP437" s="363">
        <v>0</v>
      </c>
      <c r="DQ437" s="363">
        <v>0</v>
      </c>
      <c r="DR437" s="363">
        <v>0</v>
      </c>
      <c r="DS437" s="363">
        <v>0</v>
      </c>
      <c r="DT437" s="363">
        <v>0</v>
      </c>
      <c r="DU437" s="363">
        <v>0</v>
      </c>
      <c r="DV437" s="363">
        <v>0</v>
      </c>
      <c r="DW437" s="435">
        <v>0</v>
      </c>
      <c r="DX437" s="435">
        <v>0</v>
      </c>
      <c r="DY437" s="435">
        <v>0</v>
      </c>
      <c r="DZ437" s="435">
        <v>0</v>
      </c>
      <c r="EA437" s="363">
        <v>0</v>
      </c>
      <c r="EB437" s="435">
        <v>0</v>
      </c>
      <c r="EC437" s="435">
        <v>0</v>
      </c>
      <c r="ED437" s="435">
        <v>0</v>
      </c>
      <c r="EE437" s="435">
        <v>0</v>
      </c>
      <c r="EF437" s="363">
        <v>0</v>
      </c>
      <c r="EG437" s="364">
        <v>0</v>
      </c>
      <c r="EH437" s="364">
        <v>0</v>
      </c>
      <c r="EI437" s="364">
        <v>0</v>
      </c>
      <c r="EJ437" s="365">
        <v>0</v>
      </c>
      <c r="EK437" s="365">
        <v>0</v>
      </c>
      <c r="EL437" s="365">
        <v>0</v>
      </c>
      <c r="EM437" s="365">
        <v>0</v>
      </c>
      <c r="EN437" s="365">
        <v>0</v>
      </c>
      <c r="EO437" s="365">
        <v>0</v>
      </c>
      <c r="EP437" s="365">
        <v>0</v>
      </c>
      <c r="EQ437" s="365">
        <v>0</v>
      </c>
      <c r="ER437" s="365">
        <v>0</v>
      </c>
      <c r="ES437" s="365">
        <v>0</v>
      </c>
      <c r="ET437" s="365">
        <v>0</v>
      </c>
      <c r="EU437" s="365">
        <v>0</v>
      </c>
      <c r="EV437" s="436">
        <v>0</v>
      </c>
      <c r="EW437" s="436">
        <v>0</v>
      </c>
      <c r="EX437" s="436">
        <v>0</v>
      </c>
      <c r="EY437" s="436">
        <v>0</v>
      </c>
      <c r="EZ437" s="365">
        <v>0</v>
      </c>
      <c r="FA437" s="436">
        <v>0</v>
      </c>
      <c r="FB437" s="436">
        <v>0</v>
      </c>
      <c r="FC437" s="436">
        <v>0</v>
      </c>
      <c r="FD437" s="436">
        <v>0</v>
      </c>
      <c r="FE437" s="365">
        <v>0</v>
      </c>
      <c r="FF437" s="364">
        <v>0</v>
      </c>
      <c r="FG437" s="364">
        <v>0</v>
      </c>
      <c r="FH437" s="364">
        <v>0</v>
      </c>
      <c r="FI437" s="365">
        <v>0</v>
      </c>
      <c r="FJ437" s="365">
        <v>0</v>
      </c>
      <c r="FK437" s="365">
        <v>0</v>
      </c>
      <c r="FL437" s="365">
        <v>0</v>
      </c>
      <c r="FM437" s="365">
        <v>0</v>
      </c>
      <c r="FN437" s="365">
        <v>0</v>
      </c>
      <c r="FO437" s="365">
        <v>0</v>
      </c>
      <c r="FP437" s="365">
        <v>0</v>
      </c>
      <c r="FQ437" s="365">
        <v>0</v>
      </c>
      <c r="FR437" s="365">
        <v>0</v>
      </c>
      <c r="FS437" s="365">
        <v>0</v>
      </c>
      <c r="FT437" s="365">
        <v>0</v>
      </c>
      <c r="FU437" s="436">
        <v>0</v>
      </c>
      <c r="FV437" s="436">
        <v>0</v>
      </c>
      <c r="FW437" s="436">
        <v>0</v>
      </c>
      <c r="FX437" s="436">
        <v>0</v>
      </c>
      <c r="FY437" s="365">
        <v>0</v>
      </c>
      <c r="FZ437" s="436">
        <v>0</v>
      </c>
      <c r="GA437" s="436">
        <v>0</v>
      </c>
      <c r="GB437" s="436">
        <v>0</v>
      </c>
      <c r="GC437" s="436">
        <v>0</v>
      </c>
      <c r="GD437" s="365">
        <v>0</v>
      </c>
    </row>
    <row r="438" spans="1:186" ht="15" x14ac:dyDescent="0.25">
      <c r="A438" s="357">
        <v>118</v>
      </c>
      <c r="B438" s="357">
        <v>116</v>
      </c>
      <c r="C438" s="357" t="s">
        <v>1348</v>
      </c>
      <c r="D438" s="2">
        <v>99712</v>
      </c>
      <c r="E438" s="268" t="s">
        <v>19</v>
      </c>
      <c r="F438" s="358" t="s">
        <v>915</v>
      </c>
      <c r="G438" s="49">
        <v>0</v>
      </c>
      <c r="H438" s="49">
        <v>1</v>
      </c>
      <c r="I438" s="49">
        <v>0</v>
      </c>
      <c r="J438" s="49">
        <v>1</v>
      </c>
      <c r="K438" s="49">
        <v>0</v>
      </c>
      <c r="L438" s="49">
        <v>1</v>
      </c>
      <c r="M438" s="49">
        <v>1</v>
      </c>
      <c r="N438" s="49">
        <v>1</v>
      </c>
      <c r="O438" s="49">
        <v>0</v>
      </c>
      <c r="P438" s="49">
        <v>0</v>
      </c>
      <c r="Q438" s="49">
        <v>2</v>
      </c>
      <c r="R438" s="49">
        <v>0</v>
      </c>
      <c r="S438" s="49">
        <v>1035</v>
      </c>
      <c r="T438" s="49">
        <v>1035</v>
      </c>
      <c r="U438" s="49">
        <v>15009</v>
      </c>
      <c r="V438" s="49">
        <v>0</v>
      </c>
      <c r="W438" s="49">
        <v>0</v>
      </c>
      <c r="X438" s="49">
        <v>8022</v>
      </c>
      <c r="Y438" s="434">
        <v>1035</v>
      </c>
      <c r="Z438" s="434">
        <v>15009</v>
      </c>
      <c r="AA438" s="49">
        <v>0</v>
      </c>
      <c r="AB438" s="49">
        <v>1</v>
      </c>
      <c r="AC438" s="49">
        <v>0</v>
      </c>
      <c r="AD438" s="285">
        <v>1</v>
      </c>
      <c r="AE438" s="285">
        <v>0</v>
      </c>
      <c r="AF438" s="359">
        <v>2</v>
      </c>
      <c r="AG438" s="360">
        <v>0</v>
      </c>
      <c r="AH438" s="360">
        <v>0</v>
      </c>
      <c r="AI438" s="361">
        <v>0</v>
      </c>
      <c r="AJ438" s="360">
        <v>0</v>
      </c>
      <c r="AK438" s="360">
        <v>0</v>
      </c>
      <c r="AL438" s="360">
        <v>0.90911424514573824</v>
      </c>
      <c r="AM438" s="360">
        <v>0.90911424514573824</v>
      </c>
      <c r="AN438" s="360">
        <v>0</v>
      </c>
      <c r="AO438" s="360">
        <v>0</v>
      </c>
      <c r="AP438" s="360">
        <v>0</v>
      </c>
      <c r="AQ438" s="360">
        <v>0</v>
      </c>
      <c r="AR438" s="360">
        <v>0</v>
      </c>
      <c r="AS438" s="360">
        <v>0.92984135081383867</v>
      </c>
      <c r="AT438" s="360">
        <v>0</v>
      </c>
      <c r="AU438" s="360">
        <v>0.82648871072690544</v>
      </c>
      <c r="AV438" s="360">
        <v>0.86681754733851879</v>
      </c>
      <c r="AW438" s="360">
        <v>0.90911424514573824</v>
      </c>
      <c r="AX438" s="360">
        <v>0.95347482669745309</v>
      </c>
      <c r="AY438" s="360">
        <v>1</v>
      </c>
      <c r="AZ438" s="360">
        <v>0</v>
      </c>
      <c r="BA438" s="360">
        <v>0</v>
      </c>
      <c r="BB438" s="360">
        <v>0</v>
      </c>
      <c r="BC438" s="360">
        <v>0</v>
      </c>
      <c r="BD438" s="360">
        <v>0</v>
      </c>
      <c r="BE438" s="360">
        <v>0.86460493768330426</v>
      </c>
      <c r="BF438" s="360">
        <v>0.89663003695825327</v>
      </c>
      <c r="BG438" s="360">
        <v>0.92984135081383867</v>
      </c>
      <c r="BH438" s="360">
        <v>0.96428281681975381</v>
      </c>
      <c r="BI438" s="360">
        <v>1</v>
      </c>
      <c r="BJ438" s="362">
        <v>1.0134066054705759</v>
      </c>
      <c r="BK438" s="362">
        <v>1.0269929480113955</v>
      </c>
      <c r="BL438" s="362">
        <v>1.040761437286448</v>
      </c>
      <c r="BM438" s="363">
        <v>1.0339188874653549</v>
      </c>
      <c r="BN438" s="363">
        <v>1.0271213244071997</v>
      </c>
      <c r="BO438" s="363">
        <v>1.0238413935606208</v>
      </c>
      <c r="BP438" s="363">
        <v>1.02057193659488</v>
      </c>
      <c r="BQ438" s="363">
        <v>1.0173129200634858</v>
      </c>
      <c r="BR438" s="363">
        <v>1.014064310626752</v>
      </c>
      <c r="BS438" s="363">
        <v>1.0108260750514568</v>
      </c>
      <c r="BT438" s="363">
        <v>1.018303123011822</v>
      </c>
      <c r="BU438" s="363">
        <v>1.0258354784554244</v>
      </c>
      <c r="BV438" s="363">
        <v>1.0334235504899383</v>
      </c>
      <c r="BW438" s="363">
        <v>1.0410677512491946</v>
      </c>
      <c r="BX438" s="363">
        <v>1.0487684959155639</v>
      </c>
      <c r="BY438" s="435">
        <v>1.05299588967814</v>
      </c>
      <c r="BZ438" s="435">
        <v>1.057223283440716</v>
      </c>
      <c r="CA438" s="435">
        <v>1.0614506772032923</v>
      </c>
      <c r="CB438" s="435">
        <v>1.0656780709658684</v>
      </c>
      <c r="CC438" s="363">
        <v>1.0699054647284445</v>
      </c>
      <c r="CD438" s="435">
        <v>1.0733706781377681</v>
      </c>
      <c r="CE438" s="435">
        <v>1.0768358915470915</v>
      </c>
      <c r="CF438" s="435">
        <v>1.0803011049564151</v>
      </c>
      <c r="CG438" s="435">
        <v>1.0837663183657384</v>
      </c>
      <c r="CH438" s="363">
        <v>1.087231531775062</v>
      </c>
      <c r="CI438" s="362">
        <v>0</v>
      </c>
      <c r="CJ438" s="362">
        <v>0</v>
      </c>
      <c r="CK438" s="362">
        <v>0</v>
      </c>
      <c r="CL438" s="363">
        <v>0</v>
      </c>
      <c r="CM438" s="363">
        <v>0</v>
      </c>
      <c r="CN438" s="363">
        <v>0</v>
      </c>
      <c r="CO438" s="363">
        <v>0</v>
      </c>
      <c r="CP438" s="363">
        <v>0</v>
      </c>
      <c r="CQ438" s="363">
        <v>0</v>
      </c>
      <c r="CR438" s="363">
        <v>0</v>
      </c>
      <c r="CS438" s="363">
        <v>0</v>
      </c>
      <c r="CT438" s="363">
        <v>0</v>
      </c>
      <c r="CU438" s="363">
        <v>0</v>
      </c>
      <c r="CV438" s="363">
        <v>0</v>
      </c>
      <c r="CW438" s="363">
        <v>0</v>
      </c>
      <c r="CX438" s="435">
        <v>0</v>
      </c>
      <c r="CY438" s="435">
        <v>0</v>
      </c>
      <c r="CZ438" s="435">
        <v>0</v>
      </c>
      <c r="DA438" s="435">
        <v>0</v>
      </c>
      <c r="DB438" s="363">
        <v>0</v>
      </c>
      <c r="DC438" s="435">
        <v>0</v>
      </c>
      <c r="DD438" s="435">
        <v>0</v>
      </c>
      <c r="DE438" s="435">
        <v>0</v>
      </c>
      <c r="DF438" s="435">
        <v>0</v>
      </c>
      <c r="DG438" s="363">
        <v>0</v>
      </c>
      <c r="DH438" s="362">
        <v>1.0134066054705759</v>
      </c>
      <c r="DI438" s="362">
        <v>1.0269929480113955</v>
      </c>
      <c r="DJ438" s="362">
        <v>1.040761437286448</v>
      </c>
      <c r="DK438" s="363">
        <v>1.0339188874653549</v>
      </c>
      <c r="DL438" s="363">
        <v>1.0271213244071997</v>
      </c>
      <c r="DM438" s="363">
        <v>1.0238413935606208</v>
      </c>
      <c r="DN438" s="363">
        <v>1.02057193659488</v>
      </c>
      <c r="DO438" s="363">
        <v>1.0173129200634858</v>
      </c>
      <c r="DP438" s="363">
        <v>1.014064310626752</v>
      </c>
      <c r="DQ438" s="363">
        <v>1.0108260750514568</v>
      </c>
      <c r="DR438" s="363">
        <v>1.018303123011822</v>
      </c>
      <c r="DS438" s="363">
        <v>1.0258354784554244</v>
      </c>
      <c r="DT438" s="363">
        <v>1.0334235504899383</v>
      </c>
      <c r="DU438" s="363">
        <v>1.0410677512491946</v>
      </c>
      <c r="DV438" s="363">
        <v>1.0487684959155639</v>
      </c>
      <c r="DW438" s="435">
        <v>1.05299588967814</v>
      </c>
      <c r="DX438" s="435">
        <v>1.057223283440716</v>
      </c>
      <c r="DY438" s="435">
        <v>1.0614506772032923</v>
      </c>
      <c r="DZ438" s="435">
        <v>1.0656780709658684</v>
      </c>
      <c r="EA438" s="363">
        <v>1.0699054647284445</v>
      </c>
      <c r="EB438" s="435">
        <v>1.0733706781377681</v>
      </c>
      <c r="EC438" s="435">
        <v>1.0768358915470915</v>
      </c>
      <c r="ED438" s="435">
        <v>1.0803011049564151</v>
      </c>
      <c r="EE438" s="435">
        <v>1.0837663183657384</v>
      </c>
      <c r="EF438" s="363">
        <v>1.087231531775062</v>
      </c>
      <c r="EG438" s="364">
        <v>0</v>
      </c>
      <c r="EH438" s="364">
        <v>0</v>
      </c>
      <c r="EI438" s="364">
        <v>0</v>
      </c>
      <c r="EJ438" s="365">
        <v>0</v>
      </c>
      <c r="EK438" s="365">
        <v>0</v>
      </c>
      <c r="EL438" s="365">
        <v>0</v>
      </c>
      <c r="EM438" s="365">
        <v>0</v>
      </c>
      <c r="EN438" s="365">
        <v>0</v>
      </c>
      <c r="EO438" s="365">
        <v>0</v>
      </c>
      <c r="EP438" s="365">
        <v>0</v>
      </c>
      <c r="EQ438" s="365">
        <v>0</v>
      </c>
      <c r="ER438" s="365">
        <v>0</v>
      </c>
      <c r="ES438" s="365">
        <v>0</v>
      </c>
      <c r="ET438" s="365">
        <v>0</v>
      </c>
      <c r="EU438" s="365">
        <v>0</v>
      </c>
      <c r="EV438" s="436">
        <v>0</v>
      </c>
      <c r="EW438" s="436">
        <v>0</v>
      </c>
      <c r="EX438" s="436">
        <v>0</v>
      </c>
      <c r="EY438" s="436">
        <v>0</v>
      </c>
      <c r="EZ438" s="365">
        <v>0</v>
      </c>
      <c r="FA438" s="436">
        <v>0</v>
      </c>
      <c r="FB438" s="436">
        <v>0</v>
      </c>
      <c r="FC438" s="436">
        <v>0</v>
      </c>
      <c r="FD438" s="436">
        <v>0</v>
      </c>
      <c r="FE438" s="365">
        <v>0</v>
      </c>
      <c r="FF438" s="364">
        <v>0</v>
      </c>
      <c r="FG438" s="364">
        <v>0</v>
      </c>
      <c r="FH438" s="364">
        <v>0</v>
      </c>
      <c r="FI438" s="365">
        <v>0</v>
      </c>
      <c r="FJ438" s="365">
        <v>0</v>
      </c>
      <c r="FK438" s="365">
        <v>0</v>
      </c>
      <c r="FL438" s="365">
        <v>0</v>
      </c>
      <c r="FM438" s="365">
        <v>0</v>
      </c>
      <c r="FN438" s="365">
        <v>0</v>
      </c>
      <c r="FO438" s="365">
        <v>0</v>
      </c>
      <c r="FP438" s="365">
        <v>0</v>
      </c>
      <c r="FQ438" s="365">
        <v>0</v>
      </c>
      <c r="FR438" s="365">
        <v>0</v>
      </c>
      <c r="FS438" s="365">
        <v>0</v>
      </c>
      <c r="FT438" s="365">
        <v>0</v>
      </c>
      <c r="FU438" s="436">
        <v>0</v>
      </c>
      <c r="FV438" s="436">
        <v>0</v>
      </c>
      <c r="FW438" s="436">
        <v>0</v>
      </c>
      <c r="FX438" s="436">
        <v>0</v>
      </c>
      <c r="FY438" s="365">
        <v>0</v>
      </c>
      <c r="FZ438" s="436">
        <v>0</v>
      </c>
      <c r="GA438" s="436">
        <v>0</v>
      </c>
      <c r="GB438" s="436">
        <v>0</v>
      </c>
      <c r="GC438" s="436">
        <v>0</v>
      </c>
      <c r="GD438" s="365">
        <v>0</v>
      </c>
    </row>
    <row r="439" spans="1:186" ht="15" x14ac:dyDescent="0.25">
      <c r="A439" s="357">
        <v>119</v>
      </c>
      <c r="B439" s="357">
        <v>116</v>
      </c>
      <c r="C439" s="357" t="s">
        <v>1349</v>
      </c>
      <c r="D439" s="2">
        <v>99712</v>
      </c>
      <c r="E439" s="268" t="s">
        <v>19</v>
      </c>
      <c r="F439" s="358" t="s">
        <v>915</v>
      </c>
      <c r="G439" s="49">
        <v>0</v>
      </c>
      <c r="H439" s="49">
        <v>2</v>
      </c>
      <c r="I439" s="49">
        <v>0</v>
      </c>
      <c r="J439" s="49">
        <v>2</v>
      </c>
      <c r="K439" s="49">
        <v>0</v>
      </c>
      <c r="L439" s="49">
        <v>0</v>
      </c>
      <c r="M439" s="49">
        <v>0</v>
      </c>
      <c r="N439" s="49">
        <v>0</v>
      </c>
      <c r="O439" s="49">
        <v>0</v>
      </c>
      <c r="P439" s="49">
        <v>0</v>
      </c>
      <c r="Q439" s="49">
        <v>0</v>
      </c>
      <c r="R439" s="49">
        <v>0</v>
      </c>
      <c r="S439" s="49">
        <v>834.49503068156923</v>
      </c>
      <c r="T439" s="49">
        <v>834.49503068156923</v>
      </c>
      <c r="U439" s="49">
        <v>1408.3846153846155</v>
      </c>
      <c r="V439" s="49">
        <v>0</v>
      </c>
      <c r="W439" s="49">
        <v>0</v>
      </c>
      <c r="X439" s="49">
        <v>1365.173957061457</v>
      </c>
      <c r="Y439" s="434">
        <v>0</v>
      </c>
      <c r="Z439" s="434">
        <v>0</v>
      </c>
      <c r="AA439" s="49">
        <v>4.5824670824670823E-2</v>
      </c>
      <c r="AB439" s="49">
        <v>1.9515765765765767</v>
      </c>
      <c r="AC439" s="49">
        <v>2.5987525987525989E-3</v>
      </c>
      <c r="AD439" s="285">
        <v>0</v>
      </c>
      <c r="AE439" s="285">
        <v>0</v>
      </c>
      <c r="AF439" s="359">
        <v>2</v>
      </c>
      <c r="AG439" s="360">
        <v>0</v>
      </c>
      <c r="AH439" s="360">
        <v>0</v>
      </c>
      <c r="AI439" s="361">
        <v>0</v>
      </c>
      <c r="AJ439" s="360">
        <v>0</v>
      </c>
      <c r="AK439" s="360">
        <v>4.1659861025822545E-2</v>
      </c>
      <c r="AL439" s="360">
        <v>1.7742060662585184</v>
      </c>
      <c r="AM439" s="360">
        <v>1.8158659272843409</v>
      </c>
      <c r="AN439" s="360">
        <v>2.3625630071354943E-3</v>
      </c>
      <c r="AO439" s="360">
        <v>0</v>
      </c>
      <c r="AP439" s="360">
        <v>0</v>
      </c>
      <c r="AQ439" s="360">
        <v>0</v>
      </c>
      <c r="AR439" s="360">
        <v>0</v>
      </c>
      <c r="AS439" s="360">
        <v>0</v>
      </c>
      <c r="AT439" s="360">
        <v>0</v>
      </c>
      <c r="AU439" s="360">
        <v>1.6508295817689698</v>
      </c>
      <c r="AV439" s="360">
        <v>1.7313824503232471</v>
      </c>
      <c r="AW439" s="360">
        <v>1.8158659272843409</v>
      </c>
      <c r="AX439" s="360">
        <v>1.9044718082111811</v>
      </c>
      <c r="AY439" s="360">
        <v>1.9974012474012475</v>
      </c>
      <c r="AZ439" s="360">
        <v>0</v>
      </c>
      <c r="BA439" s="360">
        <v>0</v>
      </c>
      <c r="BB439" s="360">
        <v>0</v>
      </c>
      <c r="BC439" s="360">
        <v>0</v>
      </c>
      <c r="BD439" s="360">
        <v>0</v>
      </c>
      <c r="BE439" s="360">
        <v>0</v>
      </c>
      <c r="BF439" s="360">
        <v>0</v>
      </c>
      <c r="BG439" s="360">
        <v>0</v>
      </c>
      <c r="BH439" s="360">
        <v>0</v>
      </c>
      <c r="BI439" s="360">
        <v>0</v>
      </c>
      <c r="BJ439" s="362">
        <v>2.0241796178915923</v>
      </c>
      <c r="BK439" s="362">
        <v>2.0513169954302457</v>
      </c>
      <c r="BL439" s="362">
        <v>2.0788181930830665</v>
      </c>
      <c r="BM439" s="363">
        <v>2.0651508755350103</v>
      </c>
      <c r="BN439" s="363">
        <v>2.0515734146033622</v>
      </c>
      <c r="BO439" s="363">
        <v>2.0450220766390155</v>
      </c>
      <c r="BP439" s="363">
        <v>2.0384916592173203</v>
      </c>
      <c r="BQ439" s="363">
        <v>2.0319820955322121</v>
      </c>
      <c r="BR439" s="363">
        <v>2.0254933189909607</v>
      </c>
      <c r="BS439" s="363">
        <v>2.0190252632134871</v>
      </c>
      <c r="BT439" s="363">
        <v>2.0339599281363996</v>
      </c>
      <c r="BU439" s="363">
        <v>2.0490050642953204</v>
      </c>
      <c r="BV439" s="363">
        <v>2.0641614888424287</v>
      </c>
      <c r="BW439" s="363">
        <v>2.0794300249743531</v>
      </c>
      <c r="BX439" s="363">
        <v>2.0948115019768774</v>
      </c>
      <c r="BY439" s="435">
        <v>2.1032553035515034</v>
      </c>
      <c r="BZ439" s="435">
        <v>2.1116991051261293</v>
      </c>
      <c r="CA439" s="435">
        <v>2.1201429067007549</v>
      </c>
      <c r="CB439" s="435">
        <v>2.1285867082753809</v>
      </c>
      <c r="CC439" s="363">
        <v>2.1370305098500069</v>
      </c>
      <c r="CD439" s="435">
        <v>2.1439519314363009</v>
      </c>
      <c r="CE439" s="435">
        <v>2.1508733530225954</v>
      </c>
      <c r="CF439" s="435">
        <v>2.1577947746088895</v>
      </c>
      <c r="CG439" s="435">
        <v>2.164716196195184</v>
      </c>
      <c r="CH439" s="363">
        <v>2.171637617781478</v>
      </c>
      <c r="CI439" s="362">
        <v>0</v>
      </c>
      <c r="CJ439" s="362">
        <v>0</v>
      </c>
      <c r="CK439" s="362">
        <v>0</v>
      </c>
      <c r="CL439" s="363">
        <v>0</v>
      </c>
      <c r="CM439" s="363">
        <v>0</v>
      </c>
      <c r="CN439" s="363">
        <v>0</v>
      </c>
      <c r="CO439" s="363">
        <v>0</v>
      </c>
      <c r="CP439" s="363">
        <v>0</v>
      </c>
      <c r="CQ439" s="363">
        <v>0</v>
      </c>
      <c r="CR439" s="363">
        <v>0</v>
      </c>
      <c r="CS439" s="363">
        <v>0</v>
      </c>
      <c r="CT439" s="363">
        <v>0</v>
      </c>
      <c r="CU439" s="363">
        <v>0</v>
      </c>
      <c r="CV439" s="363">
        <v>0</v>
      </c>
      <c r="CW439" s="363">
        <v>0</v>
      </c>
      <c r="CX439" s="435">
        <v>0</v>
      </c>
      <c r="CY439" s="435">
        <v>0</v>
      </c>
      <c r="CZ439" s="435">
        <v>0</v>
      </c>
      <c r="DA439" s="435">
        <v>0</v>
      </c>
      <c r="DB439" s="363">
        <v>0</v>
      </c>
      <c r="DC439" s="435">
        <v>0</v>
      </c>
      <c r="DD439" s="435">
        <v>0</v>
      </c>
      <c r="DE439" s="435">
        <v>0</v>
      </c>
      <c r="DF439" s="435">
        <v>0</v>
      </c>
      <c r="DG439" s="363">
        <v>0</v>
      </c>
      <c r="DH439" s="362">
        <v>0</v>
      </c>
      <c r="DI439" s="362">
        <v>0</v>
      </c>
      <c r="DJ439" s="362">
        <v>0</v>
      </c>
      <c r="DK439" s="363">
        <v>0</v>
      </c>
      <c r="DL439" s="363">
        <v>0</v>
      </c>
      <c r="DM439" s="363">
        <v>0</v>
      </c>
      <c r="DN439" s="363">
        <v>0</v>
      </c>
      <c r="DO439" s="363">
        <v>0</v>
      </c>
      <c r="DP439" s="363">
        <v>0</v>
      </c>
      <c r="DQ439" s="363">
        <v>0</v>
      </c>
      <c r="DR439" s="363">
        <v>0</v>
      </c>
      <c r="DS439" s="363">
        <v>0</v>
      </c>
      <c r="DT439" s="363">
        <v>0</v>
      </c>
      <c r="DU439" s="363">
        <v>0</v>
      </c>
      <c r="DV439" s="363">
        <v>0</v>
      </c>
      <c r="DW439" s="435">
        <v>0</v>
      </c>
      <c r="DX439" s="435">
        <v>0</v>
      </c>
      <c r="DY439" s="435">
        <v>0</v>
      </c>
      <c r="DZ439" s="435">
        <v>0</v>
      </c>
      <c r="EA439" s="363">
        <v>0</v>
      </c>
      <c r="EB439" s="435">
        <v>0</v>
      </c>
      <c r="EC439" s="435">
        <v>0</v>
      </c>
      <c r="ED439" s="435">
        <v>0</v>
      </c>
      <c r="EE439" s="435">
        <v>0</v>
      </c>
      <c r="EF439" s="363">
        <v>0</v>
      </c>
      <c r="EG439" s="364">
        <v>2.6335930495597088E-3</v>
      </c>
      <c r="EH439" s="364">
        <v>2.6689005925452066E-3</v>
      </c>
      <c r="EI439" s="364">
        <v>2.7046814898296465E-3</v>
      </c>
      <c r="EJ439" s="365">
        <v>2.6868993956999871E-3</v>
      </c>
      <c r="EK439" s="365">
        <v>2.6692342110374214E-3</v>
      </c>
      <c r="EL439" s="365">
        <v>2.660710482226145E-3</v>
      </c>
      <c r="EM439" s="365">
        <v>2.6522139724399168E-3</v>
      </c>
      <c r="EN439" s="365">
        <v>2.6437445947595783E-3</v>
      </c>
      <c r="EO439" s="365">
        <v>2.6353022625435342E-3</v>
      </c>
      <c r="EP439" s="365">
        <v>2.626886889426863E-3</v>
      </c>
      <c r="EQ439" s="365">
        <v>2.6463178872448596E-3</v>
      </c>
      <c r="ER439" s="365">
        <v>2.6658926155286498E-3</v>
      </c>
      <c r="ES439" s="365">
        <v>2.6856121374478643E-3</v>
      </c>
      <c r="ET439" s="365">
        <v>2.7054775240363685E-3</v>
      </c>
      <c r="EU439" s="365">
        <v>2.7254898542504258E-3</v>
      </c>
      <c r="EV439" s="436">
        <v>2.7364758047768709E-3</v>
      </c>
      <c r="EW439" s="436">
        <v>2.7474617553033165E-3</v>
      </c>
      <c r="EX439" s="436">
        <v>2.7584477058297616E-3</v>
      </c>
      <c r="EY439" s="436">
        <v>2.7694336563562072E-3</v>
      </c>
      <c r="EZ439" s="365">
        <v>2.7804196068826523E-3</v>
      </c>
      <c r="FA439" s="436">
        <v>2.7894248392353639E-3</v>
      </c>
      <c r="FB439" s="436">
        <v>2.7984300715880759E-3</v>
      </c>
      <c r="FC439" s="436">
        <v>2.8074353039407875E-3</v>
      </c>
      <c r="FD439" s="436">
        <v>2.8164405362934995E-3</v>
      </c>
      <c r="FE439" s="365">
        <v>2.8254457686462111E-3</v>
      </c>
      <c r="FF439" s="364">
        <v>0</v>
      </c>
      <c r="FG439" s="364">
        <v>0</v>
      </c>
      <c r="FH439" s="364">
        <v>0</v>
      </c>
      <c r="FI439" s="365">
        <v>0</v>
      </c>
      <c r="FJ439" s="365">
        <v>0</v>
      </c>
      <c r="FK439" s="365">
        <v>0</v>
      </c>
      <c r="FL439" s="365">
        <v>0</v>
      </c>
      <c r="FM439" s="365">
        <v>0</v>
      </c>
      <c r="FN439" s="365">
        <v>0</v>
      </c>
      <c r="FO439" s="365">
        <v>0</v>
      </c>
      <c r="FP439" s="365">
        <v>0</v>
      </c>
      <c r="FQ439" s="365">
        <v>0</v>
      </c>
      <c r="FR439" s="365">
        <v>0</v>
      </c>
      <c r="FS439" s="365">
        <v>0</v>
      </c>
      <c r="FT439" s="365">
        <v>0</v>
      </c>
      <c r="FU439" s="436">
        <v>0</v>
      </c>
      <c r="FV439" s="436">
        <v>0</v>
      </c>
      <c r="FW439" s="436">
        <v>0</v>
      </c>
      <c r="FX439" s="436">
        <v>0</v>
      </c>
      <c r="FY439" s="365">
        <v>0</v>
      </c>
      <c r="FZ439" s="436">
        <v>0</v>
      </c>
      <c r="GA439" s="436">
        <v>0</v>
      </c>
      <c r="GB439" s="436">
        <v>0</v>
      </c>
      <c r="GC439" s="436">
        <v>0</v>
      </c>
      <c r="GD439" s="365">
        <v>0</v>
      </c>
    </row>
    <row r="440" spans="1:186" ht="15" x14ac:dyDescent="0.25">
      <c r="A440" s="357">
        <v>104</v>
      </c>
      <c r="B440" s="357">
        <v>117</v>
      </c>
      <c r="C440" s="357" t="s">
        <v>1350</v>
      </c>
      <c r="D440" s="2">
        <v>99712</v>
      </c>
      <c r="E440" s="268" t="s">
        <v>19</v>
      </c>
      <c r="F440" s="358" t="s">
        <v>915</v>
      </c>
      <c r="G440" s="49">
        <v>6</v>
      </c>
      <c r="H440" s="49">
        <v>4</v>
      </c>
      <c r="I440" s="49">
        <v>3</v>
      </c>
      <c r="J440" s="49">
        <v>1</v>
      </c>
      <c r="K440" s="49">
        <v>0</v>
      </c>
      <c r="L440" s="49">
        <v>0</v>
      </c>
      <c r="M440" s="49">
        <v>0</v>
      </c>
      <c r="N440" s="49">
        <v>0</v>
      </c>
      <c r="O440" s="49">
        <v>0</v>
      </c>
      <c r="P440" s="49">
        <v>0</v>
      </c>
      <c r="Q440" s="49">
        <v>0</v>
      </c>
      <c r="R440" s="49">
        <v>0</v>
      </c>
      <c r="S440" s="49">
        <v>834.49503068156923</v>
      </c>
      <c r="T440" s="49">
        <v>834.49503068156923</v>
      </c>
      <c r="U440" s="49">
        <v>1408.3846153846155</v>
      </c>
      <c r="V440" s="49">
        <v>0</v>
      </c>
      <c r="W440" s="49">
        <v>0</v>
      </c>
      <c r="X440" s="49">
        <v>1365.173957061457</v>
      </c>
      <c r="Y440" s="434">
        <v>0</v>
      </c>
      <c r="Z440" s="434">
        <v>0</v>
      </c>
      <c r="AA440" s="49">
        <v>9.1649341649341645E-2</v>
      </c>
      <c r="AB440" s="49">
        <v>3.9031531531531534</v>
      </c>
      <c r="AC440" s="49">
        <v>5.1975051975051978E-3</v>
      </c>
      <c r="AD440" s="285">
        <v>0</v>
      </c>
      <c r="AE440" s="285">
        <v>0</v>
      </c>
      <c r="AF440" s="359">
        <v>4</v>
      </c>
      <c r="AG440" s="360">
        <v>6.8737006237006237E-2</v>
      </c>
      <c r="AH440" s="360">
        <v>2.9273648648648649</v>
      </c>
      <c r="AI440" s="361">
        <v>2.996101871101871</v>
      </c>
      <c r="AJ440" s="360">
        <v>3.8981288981288983E-3</v>
      </c>
      <c r="AK440" s="360">
        <v>8.331972205164509E-2</v>
      </c>
      <c r="AL440" s="360">
        <v>3.5484121325170368</v>
      </c>
      <c r="AM440" s="360">
        <v>3.6317318545686819</v>
      </c>
      <c r="AN440" s="360">
        <v>4.7251260142709885E-3</v>
      </c>
      <c r="AO440" s="360">
        <v>6.27193638767157E-2</v>
      </c>
      <c r="AP440" s="360">
        <v>2.6710861035510924</v>
      </c>
      <c r="AQ440" s="360">
        <v>2.7338054674278083</v>
      </c>
      <c r="AR440" s="360">
        <v>3.5568637359196047E-3</v>
      </c>
      <c r="AS440" s="360">
        <v>0</v>
      </c>
      <c r="AT440" s="360">
        <v>0</v>
      </c>
      <c r="AU440" s="360">
        <v>3.3016591635379395</v>
      </c>
      <c r="AV440" s="360">
        <v>3.4627649006464942</v>
      </c>
      <c r="AW440" s="360">
        <v>3.6317318545686819</v>
      </c>
      <c r="AX440" s="360">
        <v>3.8089436164223622</v>
      </c>
      <c r="AY440" s="360">
        <v>3.9948024948024949</v>
      </c>
      <c r="AZ440" s="360">
        <v>2.4944720357554431</v>
      </c>
      <c r="BA440" s="360">
        <v>2.6113983399117808</v>
      </c>
      <c r="BB440" s="360">
        <v>2.7338054674278078</v>
      </c>
      <c r="BC440" s="360">
        <v>2.8619503273447955</v>
      </c>
      <c r="BD440" s="360">
        <v>2.996101871101871</v>
      </c>
      <c r="BE440" s="360">
        <v>0</v>
      </c>
      <c r="BF440" s="360">
        <v>0</v>
      </c>
      <c r="BG440" s="360">
        <v>0</v>
      </c>
      <c r="BH440" s="360">
        <v>0</v>
      </c>
      <c r="BI440" s="360">
        <v>0</v>
      </c>
      <c r="BJ440" s="362">
        <v>4.0483592357831846</v>
      </c>
      <c r="BK440" s="362">
        <v>4.1026339908604914</v>
      </c>
      <c r="BL440" s="362">
        <v>4.157636386166133</v>
      </c>
      <c r="BM440" s="363">
        <v>4.1303017510700206</v>
      </c>
      <c r="BN440" s="363">
        <v>4.1031468292067244</v>
      </c>
      <c r="BO440" s="363">
        <v>4.0900441532780309</v>
      </c>
      <c r="BP440" s="363">
        <v>4.0769833184346407</v>
      </c>
      <c r="BQ440" s="363">
        <v>4.0639641910644242</v>
      </c>
      <c r="BR440" s="363">
        <v>4.0509866379819215</v>
      </c>
      <c r="BS440" s="363">
        <v>4.0380505264269742</v>
      </c>
      <c r="BT440" s="363">
        <v>4.0679198562727992</v>
      </c>
      <c r="BU440" s="363">
        <v>4.0980101285906407</v>
      </c>
      <c r="BV440" s="363">
        <v>4.1283229776848573</v>
      </c>
      <c r="BW440" s="363">
        <v>4.1588600499487063</v>
      </c>
      <c r="BX440" s="363">
        <v>4.1896230039537548</v>
      </c>
      <c r="BY440" s="435">
        <v>4.2065106071030067</v>
      </c>
      <c r="BZ440" s="435">
        <v>4.2233982102522587</v>
      </c>
      <c r="CA440" s="435">
        <v>4.2402858134015098</v>
      </c>
      <c r="CB440" s="435">
        <v>4.2571734165507618</v>
      </c>
      <c r="CC440" s="363">
        <v>4.2740610197000137</v>
      </c>
      <c r="CD440" s="435">
        <v>4.2879038628726018</v>
      </c>
      <c r="CE440" s="435">
        <v>4.3017467060451908</v>
      </c>
      <c r="CF440" s="435">
        <v>4.3155895492177789</v>
      </c>
      <c r="CG440" s="435">
        <v>4.3294323923903679</v>
      </c>
      <c r="CH440" s="363">
        <v>4.343275235562956</v>
      </c>
      <c r="CI440" s="362">
        <v>3.036269426837388</v>
      </c>
      <c r="CJ440" s="362">
        <v>3.0769754931453686</v>
      </c>
      <c r="CK440" s="362">
        <v>3.1182272896245995</v>
      </c>
      <c r="CL440" s="363">
        <v>3.0977263133025148</v>
      </c>
      <c r="CM440" s="363">
        <v>3.0773601219050435</v>
      </c>
      <c r="CN440" s="363">
        <v>3.0675331149585228</v>
      </c>
      <c r="CO440" s="363">
        <v>3.0577374888259801</v>
      </c>
      <c r="CP440" s="363">
        <v>3.0479731432983179</v>
      </c>
      <c r="CQ440" s="363">
        <v>3.0382399784864407</v>
      </c>
      <c r="CR440" s="363">
        <v>3.0285378948202304</v>
      </c>
      <c r="CS440" s="363">
        <v>3.0509398922045992</v>
      </c>
      <c r="CT440" s="363">
        <v>3.0735075964429801</v>
      </c>
      <c r="CU440" s="363">
        <v>3.0962422332636432</v>
      </c>
      <c r="CV440" s="363">
        <v>3.119145037461529</v>
      </c>
      <c r="CW440" s="363">
        <v>3.1422172529653163</v>
      </c>
      <c r="CX440" s="435">
        <v>3.1548829553272548</v>
      </c>
      <c r="CY440" s="435">
        <v>3.1675486576891938</v>
      </c>
      <c r="CZ440" s="435">
        <v>3.1802143600511323</v>
      </c>
      <c r="DA440" s="435">
        <v>3.1928800624130713</v>
      </c>
      <c r="DB440" s="363">
        <v>3.2055457647750099</v>
      </c>
      <c r="DC440" s="435">
        <v>3.2159278971544514</v>
      </c>
      <c r="DD440" s="435">
        <v>3.2263100295338929</v>
      </c>
      <c r="DE440" s="435">
        <v>3.236692161913334</v>
      </c>
      <c r="DF440" s="435">
        <v>3.2470742942927755</v>
      </c>
      <c r="DG440" s="363">
        <v>3.257456426672217</v>
      </c>
      <c r="DH440" s="362">
        <v>0</v>
      </c>
      <c r="DI440" s="362">
        <v>0</v>
      </c>
      <c r="DJ440" s="362">
        <v>0</v>
      </c>
      <c r="DK440" s="363">
        <v>0</v>
      </c>
      <c r="DL440" s="363">
        <v>0</v>
      </c>
      <c r="DM440" s="363">
        <v>0</v>
      </c>
      <c r="DN440" s="363">
        <v>0</v>
      </c>
      <c r="DO440" s="363">
        <v>0</v>
      </c>
      <c r="DP440" s="363">
        <v>0</v>
      </c>
      <c r="DQ440" s="363">
        <v>0</v>
      </c>
      <c r="DR440" s="363">
        <v>0</v>
      </c>
      <c r="DS440" s="363">
        <v>0</v>
      </c>
      <c r="DT440" s="363">
        <v>0</v>
      </c>
      <c r="DU440" s="363">
        <v>0</v>
      </c>
      <c r="DV440" s="363">
        <v>0</v>
      </c>
      <c r="DW440" s="435">
        <v>0</v>
      </c>
      <c r="DX440" s="435">
        <v>0</v>
      </c>
      <c r="DY440" s="435">
        <v>0</v>
      </c>
      <c r="DZ440" s="435">
        <v>0</v>
      </c>
      <c r="EA440" s="363">
        <v>0</v>
      </c>
      <c r="EB440" s="435">
        <v>0</v>
      </c>
      <c r="EC440" s="435">
        <v>0</v>
      </c>
      <c r="ED440" s="435">
        <v>0</v>
      </c>
      <c r="EE440" s="435">
        <v>0</v>
      </c>
      <c r="EF440" s="363">
        <v>0</v>
      </c>
      <c r="EG440" s="364">
        <v>5.2671860991194176E-3</v>
      </c>
      <c r="EH440" s="364">
        <v>5.3378011850904131E-3</v>
      </c>
      <c r="EI440" s="364">
        <v>5.4093629796592929E-3</v>
      </c>
      <c r="EJ440" s="365">
        <v>5.3737987913999741E-3</v>
      </c>
      <c r="EK440" s="365">
        <v>5.3384684220748428E-3</v>
      </c>
      <c r="EL440" s="365">
        <v>5.32142096445229E-3</v>
      </c>
      <c r="EM440" s="365">
        <v>5.3044279448798337E-3</v>
      </c>
      <c r="EN440" s="365">
        <v>5.2874891895191567E-3</v>
      </c>
      <c r="EO440" s="365">
        <v>5.2706045250870684E-3</v>
      </c>
      <c r="EP440" s="365">
        <v>5.2537737788537261E-3</v>
      </c>
      <c r="EQ440" s="365">
        <v>5.2926357744897193E-3</v>
      </c>
      <c r="ER440" s="365">
        <v>5.3317852310572995E-3</v>
      </c>
      <c r="ES440" s="365">
        <v>5.3712242748957285E-3</v>
      </c>
      <c r="ET440" s="365">
        <v>5.410955048072737E-3</v>
      </c>
      <c r="EU440" s="365">
        <v>5.4509797085008516E-3</v>
      </c>
      <c r="EV440" s="436">
        <v>5.4729516095537419E-3</v>
      </c>
      <c r="EW440" s="436">
        <v>5.494923510606633E-3</v>
      </c>
      <c r="EX440" s="436">
        <v>5.5168954116595233E-3</v>
      </c>
      <c r="EY440" s="436">
        <v>5.5388673127124144E-3</v>
      </c>
      <c r="EZ440" s="365">
        <v>5.5608392137653046E-3</v>
      </c>
      <c r="FA440" s="436">
        <v>5.5788496784707278E-3</v>
      </c>
      <c r="FB440" s="436">
        <v>5.5968601431761519E-3</v>
      </c>
      <c r="FC440" s="436">
        <v>5.614870607881575E-3</v>
      </c>
      <c r="FD440" s="436">
        <v>5.6328810725869991E-3</v>
      </c>
      <c r="FE440" s="365">
        <v>5.6508915372924223E-3</v>
      </c>
      <c r="FF440" s="364">
        <v>0</v>
      </c>
      <c r="FG440" s="364">
        <v>0</v>
      </c>
      <c r="FH440" s="364">
        <v>0</v>
      </c>
      <c r="FI440" s="365">
        <v>0</v>
      </c>
      <c r="FJ440" s="365">
        <v>0</v>
      </c>
      <c r="FK440" s="365">
        <v>0</v>
      </c>
      <c r="FL440" s="365">
        <v>0</v>
      </c>
      <c r="FM440" s="365">
        <v>0</v>
      </c>
      <c r="FN440" s="365">
        <v>0</v>
      </c>
      <c r="FO440" s="365">
        <v>0</v>
      </c>
      <c r="FP440" s="365">
        <v>0</v>
      </c>
      <c r="FQ440" s="365">
        <v>0</v>
      </c>
      <c r="FR440" s="365">
        <v>0</v>
      </c>
      <c r="FS440" s="365">
        <v>0</v>
      </c>
      <c r="FT440" s="365">
        <v>0</v>
      </c>
      <c r="FU440" s="436">
        <v>0</v>
      </c>
      <c r="FV440" s="436">
        <v>0</v>
      </c>
      <c r="FW440" s="436">
        <v>0</v>
      </c>
      <c r="FX440" s="436">
        <v>0</v>
      </c>
      <c r="FY440" s="365">
        <v>0</v>
      </c>
      <c r="FZ440" s="436">
        <v>0</v>
      </c>
      <c r="GA440" s="436">
        <v>0</v>
      </c>
      <c r="GB440" s="436">
        <v>0</v>
      </c>
      <c r="GC440" s="436">
        <v>0</v>
      </c>
      <c r="GD440" s="365">
        <v>0</v>
      </c>
    </row>
    <row r="441" spans="1:186" ht="15" x14ac:dyDescent="0.25">
      <c r="A441" s="357">
        <v>106</v>
      </c>
      <c r="B441" s="357">
        <v>117</v>
      </c>
      <c r="C441" s="357" t="s">
        <v>1351</v>
      </c>
      <c r="D441" s="2">
        <v>99712</v>
      </c>
      <c r="E441" s="268" t="s">
        <v>19</v>
      </c>
      <c r="F441" s="358" t="s">
        <v>915</v>
      </c>
      <c r="G441" s="49">
        <v>0</v>
      </c>
      <c r="H441" s="49">
        <v>1</v>
      </c>
      <c r="I441" s="49">
        <v>0</v>
      </c>
      <c r="J441" s="49">
        <v>1</v>
      </c>
      <c r="K441" s="49">
        <v>0</v>
      </c>
      <c r="L441" s="49">
        <v>2</v>
      </c>
      <c r="M441" s="49">
        <v>2</v>
      </c>
      <c r="N441" s="49">
        <v>0</v>
      </c>
      <c r="O441" s="49">
        <v>0</v>
      </c>
      <c r="P441" s="49">
        <v>0</v>
      </c>
      <c r="Q441" s="49">
        <v>2</v>
      </c>
      <c r="R441" s="49">
        <v>0</v>
      </c>
      <c r="S441" s="49">
        <v>368</v>
      </c>
      <c r="T441" s="49">
        <v>368</v>
      </c>
      <c r="U441" s="49">
        <v>0</v>
      </c>
      <c r="V441" s="49">
        <v>0</v>
      </c>
      <c r="W441" s="49">
        <v>0</v>
      </c>
      <c r="X441" s="49">
        <v>368</v>
      </c>
      <c r="Y441" s="434">
        <v>736</v>
      </c>
      <c r="Z441" s="434">
        <v>0</v>
      </c>
      <c r="AA441" s="49">
        <v>0</v>
      </c>
      <c r="AB441" s="49">
        <v>1</v>
      </c>
      <c r="AC441" s="49">
        <v>0</v>
      </c>
      <c r="AD441" s="285">
        <v>0</v>
      </c>
      <c r="AE441" s="285">
        <v>0</v>
      </c>
      <c r="AF441" s="359">
        <v>1</v>
      </c>
      <c r="AG441" s="360">
        <v>0</v>
      </c>
      <c r="AH441" s="360">
        <v>0</v>
      </c>
      <c r="AI441" s="361">
        <v>0</v>
      </c>
      <c r="AJ441" s="360">
        <v>0</v>
      </c>
      <c r="AK441" s="360">
        <v>0</v>
      </c>
      <c r="AL441" s="360">
        <v>0.90911424514573824</v>
      </c>
      <c r="AM441" s="360">
        <v>0.90911424514573824</v>
      </c>
      <c r="AN441" s="360">
        <v>0</v>
      </c>
      <c r="AO441" s="360">
        <v>0</v>
      </c>
      <c r="AP441" s="360">
        <v>0</v>
      </c>
      <c r="AQ441" s="360">
        <v>0</v>
      </c>
      <c r="AR441" s="360">
        <v>0</v>
      </c>
      <c r="AS441" s="360">
        <v>0</v>
      </c>
      <c r="AT441" s="360">
        <v>0</v>
      </c>
      <c r="AU441" s="360">
        <v>0.82648871072690544</v>
      </c>
      <c r="AV441" s="360">
        <v>0.86681754733851879</v>
      </c>
      <c r="AW441" s="360">
        <v>0.90911424514573824</v>
      </c>
      <c r="AX441" s="360">
        <v>0.95347482669745309</v>
      </c>
      <c r="AY441" s="360">
        <v>1</v>
      </c>
      <c r="AZ441" s="360">
        <v>0</v>
      </c>
      <c r="BA441" s="360">
        <v>0</v>
      </c>
      <c r="BB441" s="360">
        <v>0</v>
      </c>
      <c r="BC441" s="360">
        <v>0</v>
      </c>
      <c r="BD441" s="360">
        <v>0</v>
      </c>
      <c r="BE441" s="360">
        <v>0</v>
      </c>
      <c r="BF441" s="360">
        <v>0</v>
      </c>
      <c r="BG441" s="360">
        <v>0</v>
      </c>
      <c r="BH441" s="360">
        <v>0</v>
      </c>
      <c r="BI441" s="360">
        <v>0</v>
      </c>
      <c r="BJ441" s="362">
        <v>1.0134066054705759</v>
      </c>
      <c r="BK441" s="362">
        <v>1.0269929480113955</v>
      </c>
      <c r="BL441" s="362">
        <v>1.040761437286448</v>
      </c>
      <c r="BM441" s="363">
        <v>1.0339188874653549</v>
      </c>
      <c r="BN441" s="363">
        <v>1.0271213244071997</v>
      </c>
      <c r="BO441" s="363">
        <v>1.0238413935606208</v>
      </c>
      <c r="BP441" s="363">
        <v>1.02057193659488</v>
      </c>
      <c r="BQ441" s="363">
        <v>1.0173129200634858</v>
      </c>
      <c r="BR441" s="363">
        <v>1.014064310626752</v>
      </c>
      <c r="BS441" s="363">
        <v>1.0108260750514568</v>
      </c>
      <c r="BT441" s="363">
        <v>1.018303123011822</v>
      </c>
      <c r="BU441" s="363">
        <v>1.0258354784554244</v>
      </c>
      <c r="BV441" s="363">
        <v>1.0334235504899383</v>
      </c>
      <c r="BW441" s="363">
        <v>1.0410677512491946</v>
      </c>
      <c r="BX441" s="363">
        <v>1.0487684959155639</v>
      </c>
      <c r="BY441" s="435">
        <v>1.05299588967814</v>
      </c>
      <c r="BZ441" s="435">
        <v>1.057223283440716</v>
      </c>
      <c r="CA441" s="435">
        <v>1.0614506772032923</v>
      </c>
      <c r="CB441" s="435">
        <v>1.0656780709658684</v>
      </c>
      <c r="CC441" s="363">
        <v>1.0699054647284445</v>
      </c>
      <c r="CD441" s="435">
        <v>1.0733706781377681</v>
      </c>
      <c r="CE441" s="435">
        <v>1.0768358915470915</v>
      </c>
      <c r="CF441" s="435">
        <v>1.0803011049564151</v>
      </c>
      <c r="CG441" s="435">
        <v>1.0837663183657384</v>
      </c>
      <c r="CH441" s="363">
        <v>1.087231531775062</v>
      </c>
      <c r="CI441" s="362">
        <v>0</v>
      </c>
      <c r="CJ441" s="362">
        <v>0</v>
      </c>
      <c r="CK441" s="362">
        <v>0</v>
      </c>
      <c r="CL441" s="363">
        <v>0</v>
      </c>
      <c r="CM441" s="363">
        <v>0</v>
      </c>
      <c r="CN441" s="363">
        <v>0</v>
      </c>
      <c r="CO441" s="363">
        <v>0</v>
      </c>
      <c r="CP441" s="363">
        <v>0</v>
      </c>
      <c r="CQ441" s="363">
        <v>0</v>
      </c>
      <c r="CR441" s="363">
        <v>0</v>
      </c>
      <c r="CS441" s="363">
        <v>0</v>
      </c>
      <c r="CT441" s="363">
        <v>0</v>
      </c>
      <c r="CU441" s="363">
        <v>0</v>
      </c>
      <c r="CV441" s="363">
        <v>0</v>
      </c>
      <c r="CW441" s="363">
        <v>0</v>
      </c>
      <c r="CX441" s="435">
        <v>0</v>
      </c>
      <c r="CY441" s="435">
        <v>0</v>
      </c>
      <c r="CZ441" s="435">
        <v>0</v>
      </c>
      <c r="DA441" s="435">
        <v>0</v>
      </c>
      <c r="DB441" s="363">
        <v>0</v>
      </c>
      <c r="DC441" s="435">
        <v>0</v>
      </c>
      <c r="DD441" s="435">
        <v>0</v>
      </c>
      <c r="DE441" s="435">
        <v>0</v>
      </c>
      <c r="DF441" s="435">
        <v>0</v>
      </c>
      <c r="DG441" s="363">
        <v>0</v>
      </c>
      <c r="DH441" s="362">
        <v>0</v>
      </c>
      <c r="DI441" s="362">
        <v>0</v>
      </c>
      <c r="DJ441" s="362">
        <v>0</v>
      </c>
      <c r="DK441" s="363">
        <v>0</v>
      </c>
      <c r="DL441" s="363">
        <v>0</v>
      </c>
      <c r="DM441" s="363">
        <v>0</v>
      </c>
      <c r="DN441" s="363">
        <v>0</v>
      </c>
      <c r="DO441" s="363">
        <v>0</v>
      </c>
      <c r="DP441" s="363">
        <v>0</v>
      </c>
      <c r="DQ441" s="363">
        <v>0</v>
      </c>
      <c r="DR441" s="363">
        <v>0</v>
      </c>
      <c r="DS441" s="363">
        <v>0</v>
      </c>
      <c r="DT441" s="363">
        <v>0</v>
      </c>
      <c r="DU441" s="363">
        <v>0</v>
      </c>
      <c r="DV441" s="363">
        <v>0</v>
      </c>
      <c r="DW441" s="435">
        <v>0</v>
      </c>
      <c r="DX441" s="435">
        <v>0</v>
      </c>
      <c r="DY441" s="435">
        <v>0</v>
      </c>
      <c r="DZ441" s="435">
        <v>0</v>
      </c>
      <c r="EA441" s="363">
        <v>0</v>
      </c>
      <c r="EB441" s="435">
        <v>0</v>
      </c>
      <c r="EC441" s="435">
        <v>0</v>
      </c>
      <c r="ED441" s="435">
        <v>0</v>
      </c>
      <c r="EE441" s="435">
        <v>0</v>
      </c>
      <c r="EF441" s="363">
        <v>0</v>
      </c>
      <c r="EG441" s="364">
        <v>0</v>
      </c>
      <c r="EH441" s="364">
        <v>0</v>
      </c>
      <c r="EI441" s="364">
        <v>0</v>
      </c>
      <c r="EJ441" s="365">
        <v>0</v>
      </c>
      <c r="EK441" s="365">
        <v>0</v>
      </c>
      <c r="EL441" s="365">
        <v>0</v>
      </c>
      <c r="EM441" s="365">
        <v>0</v>
      </c>
      <c r="EN441" s="365">
        <v>0</v>
      </c>
      <c r="EO441" s="365">
        <v>0</v>
      </c>
      <c r="EP441" s="365">
        <v>0</v>
      </c>
      <c r="EQ441" s="365">
        <v>0</v>
      </c>
      <c r="ER441" s="365">
        <v>0</v>
      </c>
      <c r="ES441" s="365">
        <v>0</v>
      </c>
      <c r="ET441" s="365">
        <v>0</v>
      </c>
      <c r="EU441" s="365">
        <v>0</v>
      </c>
      <c r="EV441" s="436">
        <v>0</v>
      </c>
      <c r="EW441" s="436">
        <v>0</v>
      </c>
      <c r="EX441" s="436">
        <v>0</v>
      </c>
      <c r="EY441" s="436">
        <v>0</v>
      </c>
      <c r="EZ441" s="365">
        <v>0</v>
      </c>
      <c r="FA441" s="436">
        <v>0</v>
      </c>
      <c r="FB441" s="436">
        <v>0</v>
      </c>
      <c r="FC441" s="436">
        <v>0</v>
      </c>
      <c r="FD441" s="436">
        <v>0</v>
      </c>
      <c r="FE441" s="365">
        <v>0</v>
      </c>
      <c r="FF441" s="364">
        <v>0</v>
      </c>
      <c r="FG441" s="364">
        <v>0</v>
      </c>
      <c r="FH441" s="364">
        <v>0</v>
      </c>
      <c r="FI441" s="365">
        <v>0</v>
      </c>
      <c r="FJ441" s="365">
        <v>0</v>
      </c>
      <c r="FK441" s="365">
        <v>0</v>
      </c>
      <c r="FL441" s="365">
        <v>0</v>
      </c>
      <c r="FM441" s="365">
        <v>0</v>
      </c>
      <c r="FN441" s="365">
        <v>0</v>
      </c>
      <c r="FO441" s="365">
        <v>0</v>
      </c>
      <c r="FP441" s="365">
        <v>0</v>
      </c>
      <c r="FQ441" s="365">
        <v>0</v>
      </c>
      <c r="FR441" s="365">
        <v>0</v>
      </c>
      <c r="FS441" s="365">
        <v>0</v>
      </c>
      <c r="FT441" s="365">
        <v>0</v>
      </c>
      <c r="FU441" s="436">
        <v>0</v>
      </c>
      <c r="FV441" s="436">
        <v>0</v>
      </c>
      <c r="FW441" s="436">
        <v>0</v>
      </c>
      <c r="FX441" s="436">
        <v>0</v>
      </c>
      <c r="FY441" s="365">
        <v>0</v>
      </c>
      <c r="FZ441" s="436">
        <v>0</v>
      </c>
      <c r="GA441" s="436">
        <v>0</v>
      </c>
      <c r="GB441" s="436">
        <v>0</v>
      </c>
      <c r="GC441" s="436">
        <v>0</v>
      </c>
      <c r="GD441" s="365">
        <v>0</v>
      </c>
    </row>
    <row r="442" spans="1:186" ht="15" x14ac:dyDescent="0.25">
      <c r="A442" s="357">
        <v>111</v>
      </c>
      <c r="B442" s="357">
        <v>117</v>
      </c>
      <c r="C442" s="357" t="s">
        <v>1352</v>
      </c>
      <c r="D442" s="2">
        <v>99712</v>
      </c>
      <c r="E442" s="268" t="s">
        <v>19</v>
      </c>
      <c r="F442" s="358" t="s">
        <v>915</v>
      </c>
      <c r="G442" s="49">
        <v>8</v>
      </c>
      <c r="H442" s="49">
        <v>5</v>
      </c>
      <c r="I442" s="49">
        <v>2</v>
      </c>
      <c r="J442" s="49">
        <v>3</v>
      </c>
      <c r="K442" s="49">
        <v>0</v>
      </c>
      <c r="L442" s="49">
        <v>17</v>
      </c>
      <c r="M442" s="49">
        <v>17</v>
      </c>
      <c r="N442" s="49">
        <v>0</v>
      </c>
      <c r="O442" s="49">
        <v>0</v>
      </c>
      <c r="P442" s="49">
        <v>0</v>
      </c>
      <c r="Q442" s="49">
        <v>17</v>
      </c>
      <c r="R442" s="49">
        <v>0</v>
      </c>
      <c r="S442" s="49">
        <v>1372.3529411764705</v>
      </c>
      <c r="T442" s="49">
        <v>1372.3529411764705</v>
      </c>
      <c r="U442" s="49">
        <v>0</v>
      </c>
      <c r="V442" s="49">
        <v>0</v>
      </c>
      <c r="W442" s="49">
        <v>0</v>
      </c>
      <c r="X442" s="49">
        <v>1372.3529411764705</v>
      </c>
      <c r="Y442" s="434">
        <v>23330</v>
      </c>
      <c r="Z442" s="434">
        <v>0</v>
      </c>
      <c r="AA442" s="49">
        <v>0</v>
      </c>
      <c r="AB442" s="49">
        <v>5</v>
      </c>
      <c r="AC442" s="49">
        <v>0</v>
      </c>
      <c r="AD442" s="285">
        <v>0</v>
      </c>
      <c r="AE442" s="285">
        <v>0</v>
      </c>
      <c r="AF442" s="359">
        <v>5</v>
      </c>
      <c r="AG442" s="360">
        <v>0</v>
      </c>
      <c r="AH442" s="360">
        <v>2</v>
      </c>
      <c r="AI442" s="361">
        <v>2</v>
      </c>
      <c r="AJ442" s="360">
        <v>0</v>
      </c>
      <c r="AK442" s="360">
        <v>0</v>
      </c>
      <c r="AL442" s="360">
        <v>4.5455712257286907</v>
      </c>
      <c r="AM442" s="360">
        <v>4.5455712257286907</v>
      </c>
      <c r="AN442" s="360">
        <v>0</v>
      </c>
      <c r="AO442" s="360">
        <v>0</v>
      </c>
      <c r="AP442" s="360">
        <v>1.8249082207758185</v>
      </c>
      <c r="AQ442" s="360">
        <v>1.8249082207758185</v>
      </c>
      <c r="AR442" s="360">
        <v>0</v>
      </c>
      <c r="AS442" s="360">
        <v>0</v>
      </c>
      <c r="AT442" s="360">
        <v>0</v>
      </c>
      <c r="AU442" s="360">
        <v>4.132443553634527</v>
      </c>
      <c r="AV442" s="360">
        <v>4.3340877366925934</v>
      </c>
      <c r="AW442" s="360">
        <v>4.5455712257286907</v>
      </c>
      <c r="AX442" s="360">
        <v>4.7673741334872659</v>
      </c>
      <c r="AY442" s="360">
        <v>5</v>
      </c>
      <c r="AZ442" s="360">
        <v>1.6651450071275817</v>
      </c>
      <c r="BA442" s="360">
        <v>1.7431972958592303</v>
      </c>
      <c r="BB442" s="360">
        <v>1.8249082207758185</v>
      </c>
      <c r="BC442" s="360">
        <v>1.9104492774087558</v>
      </c>
      <c r="BD442" s="360">
        <v>2</v>
      </c>
      <c r="BE442" s="360">
        <v>0</v>
      </c>
      <c r="BF442" s="360">
        <v>0</v>
      </c>
      <c r="BG442" s="360">
        <v>0</v>
      </c>
      <c r="BH442" s="360">
        <v>0</v>
      </c>
      <c r="BI442" s="360">
        <v>0</v>
      </c>
      <c r="BJ442" s="362">
        <v>5.0670330273528794</v>
      </c>
      <c r="BK442" s="362">
        <v>5.1349647400569776</v>
      </c>
      <c r="BL442" s="362">
        <v>5.2038071864322397</v>
      </c>
      <c r="BM442" s="363">
        <v>5.1695944373267748</v>
      </c>
      <c r="BN442" s="363">
        <v>5.1356066220359988</v>
      </c>
      <c r="BO442" s="363">
        <v>5.1192069678031036</v>
      </c>
      <c r="BP442" s="363">
        <v>5.1028596829743993</v>
      </c>
      <c r="BQ442" s="363">
        <v>5.0865646003174287</v>
      </c>
      <c r="BR442" s="363">
        <v>5.07032155313376</v>
      </c>
      <c r="BS442" s="363">
        <v>5.0541303752572837</v>
      </c>
      <c r="BT442" s="363">
        <v>5.0915156150591105</v>
      </c>
      <c r="BU442" s="363">
        <v>5.1291773922771222</v>
      </c>
      <c r="BV442" s="363">
        <v>5.1671177524496912</v>
      </c>
      <c r="BW442" s="363">
        <v>5.2053387562459728</v>
      </c>
      <c r="BX442" s="363">
        <v>5.2438424795778191</v>
      </c>
      <c r="BY442" s="435">
        <v>5.2649794483907</v>
      </c>
      <c r="BZ442" s="435">
        <v>5.2861164172035808</v>
      </c>
      <c r="CA442" s="435">
        <v>5.3072533860164608</v>
      </c>
      <c r="CB442" s="435">
        <v>5.3283903548293416</v>
      </c>
      <c r="CC442" s="363">
        <v>5.3495273236422225</v>
      </c>
      <c r="CD442" s="435">
        <v>5.3668533906888403</v>
      </c>
      <c r="CE442" s="435">
        <v>5.384179457735458</v>
      </c>
      <c r="CF442" s="435">
        <v>5.4015055247820749</v>
      </c>
      <c r="CG442" s="435">
        <v>5.4188315918286927</v>
      </c>
      <c r="CH442" s="363">
        <v>5.4361576588753104</v>
      </c>
      <c r="CI442" s="362">
        <v>2.0268132109411519</v>
      </c>
      <c r="CJ442" s="362">
        <v>2.053985896022791</v>
      </c>
      <c r="CK442" s="362">
        <v>2.081522874572896</v>
      </c>
      <c r="CL442" s="363">
        <v>2.0678377749307097</v>
      </c>
      <c r="CM442" s="363">
        <v>2.0542426488143994</v>
      </c>
      <c r="CN442" s="363">
        <v>2.0476827871212415</v>
      </c>
      <c r="CO442" s="363">
        <v>2.04114387318976</v>
      </c>
      <c r="CP442" s="363">
        <v>2.0346258401269717</v>
      </c>
      <c r="CQ442" s="363">
        <v>2.0281286212535039</v>
      </c>
      <c r="CR442" s="363">
        <v>2.0216521501029137</v>
      </c>
      <c r="CS442" s="363">
        <v>2.036606246023644</v>
      </c>
      <c r="CT442" s="363">
        <v>2.0516709569108489</v>
      </c>
      <c r="CU442" s="363">
        <v>2.0668471009798766</v>
      </c>
      <c r="CV442" s="363">
        <v>2.0821355024983892</v>
      </c>
      <c r="CW442" s="363">
        <v>2.0975369918311277</v>
      </c>
      <c r="CX442" s="435">
        <v>2.1059917793562799</v>
      </c>
      <c r="CY442" s="435">
        <v>2.1144465668814321</v>
      </c>
      <c r="CZ442" s="435">
        <v>2.1229013544065847</v>
      </c>
      <c r="DA442" s="435">
        <v>2.1313561419317368</v>
      </c>
      <c r="DB442" s="363">
        <v>2.139810929456889</v>
      </c>
      <c r="DC442" s="435">
        <v>2.1467413562755362</v>
      </c>
      <c r="DD442" s="435">
        <v>2.1536717830941829</v>
      </c>
      <c r="DE442" s="435">
        <v>2.1606022099128301</v>
      </c>
      <c r="DF442" s="435">
        <v>2.1675326367314769</v>
      </c>
      <c r="DG442" s="363">
        <v>2.1744630635501241</v>
      </c>
      <c r="DH442" s="362">
        <v>0</v>
      </c>
      <c r="DI442" s="362">
        <v>0</v>
      </c>
      <c r="DJ442" s="362">
        <v>0</v>
      </c>
      <c r="DK442" s="363">
        <v>0</v>
      </c>
      <c r="DL442" s="363">
        <v>0</v>
      </c>
      <c r="DM442" s="363">
        <v>0</v>
      </c>
      <c r="DN442" s="363">
        <v>0</v>
      </c>
      <c r="DO442" s="363">
        <v>0</v>
      </c>
      <c r="DP442" s="363">
        <v>0</v>
      </c>
      <c r="DQ442" s="363">
        <v>0</v>
      </c>
      <c r="DR442" s="363">
        <v>0</v>
      </c>
      <c r="DS442" s="363">
        <v>0</v>
      </c>
      <c r="DT442" s="363">
        <v>0</v>
      </c>
      <c r="DU442" s="363">
        <v>0</v>
      </c>
      <c r="DV442" s="363">
        <v>0</v>
      </c>
      <c r="DW442" s="435">
        <v>0</v>
      </c>
      <c r="DX442" s="435">
        <v>0</v>
      </c>
      <c r="DY442" s="435">
        <v>0</v>
      </c>
      <c r="DZ442" s="435">
        <v>0</v>
      </c>
      <c r="EA442" s="363">
        <v>0</v>
      </c>
      <c r="EB442" s="435">
        <v>0</v>
      </c>
      <c r="EC442" s="435">
        <v>0</v>
      </c>
      <c r="ED442" s="435">
        <v>0</v>
      </c>
      <c r="EE442" s="435">
        <v>0</v>
      </c>
      <c r="EF442" s="363">
        <v>0</v>
      </c>
      <c r="EG442" s="364">
        <v>0</v>
      </c>
      <c r="EH442" s="364">
        <v>0</v>
      </c>
      <c r="EI442" s="364">
        <v>0</v>
      </c>
      <c r="EJ442" s="365">
        <v>0</v>
      </c>
      <c r="EK442" s="365">
        <v>0</v>
      </c>
      <c r="EL442" s="365">
        <v>0</v>
      </c>
      <c r="EM442" s="365">
        <v>0</v>
      </c>
      <c r="EN442" s="365">
        <v>0</v>
      </c>
      <c r="EO442" s="365">
        <v>0</v>
      </c>
      <c r="EP442" s="365">
        <v>0</v>
      </c>
      <c r="EQ442" s="365">
        <v>0</v>
      </c>
      <c r="ER442" s="365">
        <v>0</v>
      </c>
      <c r="ES442" s="365">
        <v>0</v>
      </c>
      <c r="ET442" s="365">
        <v>0</v>
      </c>
      <c r="EU442" s="365">
        <v>0</v>
      </c>
      <c r="EV442" s="436">
        <v>0</v>
      </c>
      <c r="EW442" s="436">
        <v>0</v>
      </c>
      <c r="EX442" s="436">
        <v>0</v>
      </c>
      <c r="EY442" s="436">
        <v>0</v>
      </c>
      <c r="EZ442" s="365">
        <v>0</v>
      </c>
      <c r="FA442" s="436">
        <v>0</v>
      </c>
      <c r="FB442" s="436">
        <v>0</v>
      </c>
      <c r="FC442" s="436">
        <v>0</v>
      </c>
      <c r="FD442" s="436">
        <v>0</v>
      </c>
      <c r="FE442" s="365">
        <v>0</v>
      </c>
      <c r="FF442" s="364">
        <v>0</v>
      </c>
      <c r="FG442" s="364">
        <v>0</v>
      </c>
      <c r="FH442" s="364">
        <v>0</v>
      </c>
      <c r="FI442" s="365">
        <v>0</v>
      </c>
      <c r="FJ442" s="365">
        <v>0</v>
      </c>
      <c r="FK442" s="365">
        <v>0</v>
      </c>
      <c r="FL442" s="365">
        <v>0</v>
      </c>
      <c r="FM442" s="365">
        <v>0</v>
      </c>
      <c r="FN442" s="365">
        <v>0</v>
      </c>
      <c r="FO442" s="365">
        <v>0</v>
      </c>
      <c r="FP442" s="365">
        <v>0</v>
      </c>
      <c r="FQ442" s="365">
        <v>0</v>
      </c>
      <c r="FR442" s="365">
        <v>0</v>
      </c>
      <c r="FS442" s="365">
        <v>0</v>
      </c>
      <c r="FT442" s="365">
        <v>0</v>
      </c>
      <c r="FU442" s="436">
        <v>0</v>
      </c>
      <c r="FV442" s="436">
        <v>0</v>
      </c>
      <c r="FW442" s="436">
        <v>0</v>
      </c>
      <c r="FX442" s="436">
        <v>0</v>
      </c>
      <c r="FY442" s="365">
        <v>0</v>
      </c>
      <c r="FZ442" s="436">
        <v>0</v>
      </c>
      <c r="GA442" s="436">
        <v>0</v>
      </c>
      <c r="GB442" s="436">
        <v>0</v>
      </c>
      <c r="GC442" s="436">
        <v>0</v>
      </c>
      <c r="GD442" s="365">
        <v>0</v>
      </c>
    </row>
    <row r="443" spans="1:186" ht="15" x14ac:dyDescent="0.25">
      <c r="A443" s="357">
        <v>112</v>
      </c>
      <c r="B443" s="357">
        <v>117</v>
      </c>
      <c r="C443" s="357" t="s">
        <v>1353</v>
      </c>
      <c r="D443" s="2">
        <v>99712</v>
      </c>
      <c r="E443" s="268" t="s">
        <v>19</v>
      </c>
      <c r="F443" s="358" t="s">
        <v>915</v>
      </c>
      <c r="G443" s="49">
        <v>16</v>
      </c>
      <c r="H443" s="49">
        <v>10</v>
      </c>
      <c r="I443" s="49">
        <v>5</v>
      </c>
      <c r="J443" s="49">
        <v>5</v>
      </c>
      <c r="K443" s="49">
        <v>0</v>
      </c>
      <c r="L443" s="49">
        <v>27</v>
      </c>
      <c r="M443" s="49">
        <v>27</v>
      </c>
      <c r="N443" s="49">
        <v>0</v>
      </c>
      <c r="O443" s="49">
        <v>0</v>
      </c>
      <c r="P443" s="49">
        <v>0</v>
      </c>
      <c r="Q443" s="49">
        <v>27</v>
      </c>
      <c r="R443" s="49">
        <v>0</v>
      </c>
      <c r="S443" s="49">
        <v>1340.4444444444443</v>
      </c>
      <c r="T443" s="49">
        <v>1340.4444444444443</v>
      </c>
      <c r="U443" s="49">
        <v>0</v>
      </c>
      <c r="V443" s="49">
        <v>0</v>
      </c>
      <c r="W443" s="49">
        <v>0</v>
      </c>
      <c r="X443" s="49">
        <v>1340.4444444444443</v>
      </c>
      <c r="Y443" s="434">
        <v>36192</v>
      </c>
      <c r="Z443" s="434">
        <v>0</v>
      </c>
      <c r="AA443" s="49">
        <v>0</v>
      </c>
      <c r="AB443" s="49">
        <v>10</v>
      </c>
      <c r="AC443" s="49">
        <v>0</v>
      </c>
      <c r="AD443" s="285">
        <v>0</v>
      </c>
      <c r="AE443" s="285">
        <v>0</v>
      </c>
      <c r="AF443" s="359">
        <v>10</v>
      </c>
      <c r="AG443" s="360">
        <v>0</v>
      </c>
      <c r="AH443" s="360">
        <v>5</v>
      </c>
      <c r="AI443" s="361">
        <v>5</v>
      </c>
      <c r="AJ443" s="360">
        <v>0</v>
      </c>
      <c r="AK443" s="360">
        <v>0</v>
      </c>
      <c r="AL443" s="360">
        <v>9.0911424514573813</v>
      </c>
      <c r="AM443" s="360">
        <v>9.0911424514573813</v>
      </c>
      <c r="AN443" s="360">
        <v>0</v>
      </c>
      <c r="AO443" s="360">
        <v>0</v>
      </c>
      <c r="AP443" s="360">
        <v>4.5622705519395463</v>
      </c>
      <c r="AQ443" s="360">
        <v>4.5622705519395463</v>
      </c>
      <c r="AR443" s="360">
        <v>0</v>
      </c>
      <c r="AS443" s="360">
        <v>0</v>
      </c>
      <c r="AT443" s="360">
        <v>0</v>
      </c>
      <c r="AU443" s="360">
        <v>8.264887107269054</v>
      </c>
      <c r="AV443" s="360">
        <v>8.6681754733851868</v>
      </c>
      <c r="AW443" s="360">
        <v>9.0911424514573813</v>
      </c>
      <c r="AX443" s="360">
        <v>9.5347482669745318</v>
      </c>
      <c r="AY443" s="360">
        <v>10</v>
      </c>
      <c r="AZ443" s="360">
        <v>4.1628625178189544</v>
      </c>
      <c r="BA443" s="360">
        <v>4.3579932396480761</v>
      </c>
      <c r="BB443" s="360">
        <v>4.5622705519395463</v>
      </c>
      <c r="BC443" s="360">
        <v>4.7761231935218893</v>
      </c>
      <c r="BD443" s="360">
        <v>5</v>
      </c>
      <c r="BE443" s="360">
        <v>0</v>
      </c>
      <c r="BF443" s="360">
        <v>0</v>
      </c>
      <c r="BG443" s="360">
        <v>0</v>
      </c>
      <c r="BH443" s="360">
        <v>0</v>
      </c>
      <c r="BI443" s="360">
        <v>0</v>
      </c>
      <c r="BJ443" s="362">
        <v>10.134066054705759</v>
      </c>
      <c r="BK443" s="362">
        <v>10.269929480113955</v>
      </c>
      <c r="BL443" s="362">
        <v>10.407614372864479</v>
      </c>
      <c r="BM443" s="363">
        <v>10.33918887465355</v>
      </c>
      <c r="BN443" s="363">
        <v>10.271213244071998</v>
      </c>
      <c r="BO443" s="363">
        <v>10.238413935606207</v>
      </c>
      <c r="BP443" s="363">
        <v>10.205719365948799</v>
      </c>
      <c r="BQ443" s="363">
        <v>10.173129200634857</v>
      </c>
      <c r="BR443" s="363">
        <v>10.14064310626752</v>
      </c>
      <c r="BS443" s="363">
        <v>10.108260750514567</v>
      </c>
      <c r="BT443" s="363">
        <v>10.183031230118221</v>
      </c>
      <c r="BU443" s="363">
        <v>10.258354784554244</v>
      </c>
      <c r="BV443" s="363">
        <v>10.334235504899382</v>
      </c>
      <c r="BW443" s="363">
        <v>10.410677512491946</v>
      </c>
      <c r="BX443" s="363">
        <v>10.487684959155638</v>
      </c>
      <c r="BY443" s="435">
        <v>10.5299588967814</v>
      </c>
      <c r="BZ443" s="435">
        <v>10.572232834407162</v>
      </c>
      <c r="CA443" s="435">
        <v>10.614506772032922</v>
      </c>
      <c r="CB443" s="435">
        <v>10.656780709658683</v>
      </c>
      <c r="CC443" s="363">
        <v>10.699054647284445</v>
      </c>
      <c r="CD443" s="435">
        <v>10.733706781377681</v>
      </c>
      <c r="CE443" s="435">
        <v>10.768358915470916</v>
      </c>
      <c r="CF443" s="435">
        <v>10.80301104956415</v>
      </c>
      <c r="CG443" s="435">
        <v>10.837663183657385</v>
      </c>
      <c r="CH443" s="363">
        <v>10.872315317750621</v>
      </c>
      <c r="CI443" s="362">
        <v>5.0670330273528794</v>
      </c>
      <c r="CJ443" s="362">
        <v>5.1349647400569776</v>
      </c>
      <c r="CK443" s="362">
        <v>5.2038071864322397</v>
      </c>
      <c r="CL443" s="363">
        <v>5.1695944373267748</v>
      </c>
      <c r="CM443" s="363">
        <v>5.1356066220359988</v>
      </c>
      <c r="CN443" s="363">
        <v>5.1192069678031036</v>
      </c>
      <c r="CO443" s="363">
        <v>5.1028596829743993</v>
      </c>
      <c r="CP443" s="363">
        <v>5.0865646003174287</v>
      </c>
      <c r="CQ443" s="363">
        <v>5.07032155313376</v>
      </c>
      <c r="CR443" s="363">
        <v>5.0541303752572837</v>
      </c>
      <c r="CS443" s="363">
        <v>5.0915156150591105</v>
      </c>
      <c r="CT443" s="363">
        <v>5.1291773922771222</v>
      </c>
      <c r="CU443" s="363">
        <v>5.1671177524496912</v>
      </c>
      <c r="CV443" s="363">
        <v>5.2053387562459728</v>
      </c>
      <c r="CW443" s="363">
        <v>5.2438424795778191</v>
      </c>
      <c r="CX443" s="435">
        <v>5.2649794483907</v>
      </c>
      <c r="CY443" s="435">
        <v>5.2861164172035808</v>
      </c>
      <c r="CZ443" s="435">
        <v>5.3072533860164608</v>
      </c>
      <c r="DA443" s="435">
        <v>5.3283903548293416</v>
      </c>
      <c r="DB443" s="363">
        <v>5.3495273236422225</v>
      </c>
      <c r="DC443" s="435">
        <v>5.3668533906888403</v>
      </c>
      <c r="DD443" s="435">
        <v>5.384179457735458</v>
      </c>
      <c r="DE443" s="435">
        <v>5.4015055247820749</v>
      </c>
      <c r="DF443" s="435">
        <v>5.4188315918286927</v>
      </c>
      <c r="DG443" s="363">
        <v>5.4361576588753104</v>
      </c>
      <c r="DH443" s="362">
        <v>0</v>
      </c>
      <c r="DI443" s="362">
        <v>0</v>
      </c>
      <c r="DJ443" s="362">
        <v>0</v>
      </c>
      <c r="DK443" s="363">
        <v>0</v>
      </c>
      <c r="DL443" s="363">
        <v>0</v>
      </c>
      <c r="DM443" s="363">
        <v>0</v>
      </c>
      <c r="DN443" s="363">
        <v>0</v>
      </c>
      <c r="DO443" s="363">
        <v>0</v>
      </c>
      <c r="DP443" s="363">
        <v>0</v>
      </c>
      <c r="DQ443" s="363">
        <v>0</v>
      </c>
      <c r="DR443" s="363">
        <v>0</v>
      </c>
      <c r="DS443" s="363">
        <v>0</v>
      </c>
      <c r="DT443" s="363">
        <v>0</v>
      </c>
      <c r="DU443" s="363">
        <v>0</v>
      </c>
      <c r="DV443" s="363">
        <v>0</v>
      </c>
      <c r="DW443" s="435">
        <v>0</v>
      </c>
      <c r="DX443" s="435">
        <v>0</v>
      </c>
      <c r="DY443" s="435">
        <v>0</v>
      </c>
      <c r="DZ443" s="435">
        <v>0</v>
      </c>
      <c r="EA443" s="363">
        <v>0</v>
      </c>
      <c r="EB443" s="435">
        <v>0</v>
      </c>
      <c r="EC443" s="435">
        <v>0</v>
      </c>
      <c r="ED443" s="435">
        <v>0</v>
      </c>
      <c r="EE443" s="435">
        <v>0</v>
      </c>
      <c r="EF443" s="363">
        <v>0</v>
      </c>
      <c r="EG443" s="364">
        <v>0</v>
      </c>
      <c r="EH443" s="364">
        <v>0</v>
      </c>
      <c r="EI443" s="364">
        <v>0</v>
      </c>
      <c r="EJ443" s="365">
        <v>0</v>
      </c>
      <c r="EK443" s="365">
        <v>0</v>
      </c>
      <c r="EL443" s="365">
        <v>0</v>
      </c>
      <c r="EM443" s="365">
        <v>0</v>
      </c>
      <c r="EN443" s="365">
        <v>0</v>
      </c>
      <c r="EO443" s="365">
        <v>0</v>
      </c>
      <c r="EP443" s="365">
        <v>0</v>
      </c>
      <c r="EQ443" s="365">
        <v>0</v>
      </c>
      <c r="ER443" s="365">
        <v>0</v>
      </c>
      <c r="ES443" s="365">
        <v>0</v>
      </c>
      <c r="ET443" s="365">
        <v>0</v>
      </c>
      <c r="EU443" s="365">
        <v>0</v>
      </c>
      <c r="EV443" s="436">
        <v>0</v>
      </c>
      <c r="EW443" s="436">
        <v>0</v>
      </c>
      <c r="EX443" s="436">
        <v>0</v>
      </c>
      <c r="EY443" s="436">
        <v>0</v>
      </c>
      <c r="EZ443" s="365">
        <v>0</v>
      </c>
      <c r="FA443" s="436">
        <v>0</v>
      </c>
      <c r="FB443" s="436">
        <v>0</v>
      </c>
      <c r="FC443" s="436">
        <v>0</v>
      </c>
      <c r="FD443" s="436">
        <v>0</v>
      </c>
      <c r="FE443" s="365">
        <v>0</v>
      </c>
      <c r="FF443" s="364">
        <v>0</v>
      </c>
      <c r="FG443" s="364">
        <v>0</v>
      </c>
      <c r="FH443" s="364">
        <v>0</v>
      </c>
      <c r="FI443" s="365">
        <v>0</v>
      </c>
      <c r="FJ443" s="365">
        <v>0</v>
      </c>
      <c r="FK443" s="365">
        <v>0</v>
      </c>
      <c r="FL443" s="365">
        <v>0</v>
      </c>
      <c r="FM443" s="365">
        <v>0</v>
      </c>
      <c r="FN443" s="365">
        <v>0</v>
      </c>
      <c r="FO443" s="365">
        <v>0</v>
      </c>
      <c r="FP443" s="365">
        <v>0</v>
      </c>
      <c r="FQ443" s="365">
        <v>0</v>
      </c>
      <c r="FR443" s="365">
        <v>0</v>
      </c>
      <c r="FS443" s="365">
        <v>0</v>
      </c>
      <c r="FT443" s="365">
        <v>0</v>
      </c>
      <c r="FU443" s="436">
        <v>0</v>
      </c>
      <c r="FV443" s="436">
        <v>0</v>
      </c>
      <c r="FW443" s="436">
        <v>0</v>
      </c>
      <c r="FX443" s="436">
        <v>0</v>
      </c>
      <c r="FY443" s="365">
        <v>0</v>
      </c>
      <c r="FZ443" s="436">
        <v>0</v>
      </c>
      <c r="GA443" s="436">
        <v>0</v>
      </c>
      <c r="GB443" s="436">
        <v>0</v>
      </c>
      <c r="GC443" s="436">
        <v>0</v>
      </c>
      <c r="GD443" s="365">
        <v>0</v>
      </c>
    </row>
    <row r="444" spans="1:186" ht="15" x14ac:dyDescent="0.25">
      <c r="A444" s="357">
        <v>117</v>
      </c>
      <c r="B444" s="357">
        <v>117</v>
      </c>
      <c r="C444" s="357" t="s">
        <v>1354</v>
      </c>
      <c r="D444" s="2">
        <v>99712</v>
      </c>
      <c r="E444" s="268" t="s">
        <v>19</v>
      </c>
      <c r="F444" s="358" t="s">
        <v>915</v>
      </c>
      <c r="G444" s="49">
        <v>14</v>
      </c>
      <c r="H444" s="49">
        <v>10</v>
      </c>
      <c r="I444" s="49">
        <v>7</v>
      </c>
      <c r="J444" s="49">
        <v>3</v>
      </c>
      <c r="K444" s="49">
        <v>0</v>
      </c>
      <c r="L444" s="49">
        <v>1</v>
      </c>
      <c r="M444" s="49">
        <v>1</v>
      </c>
      <c r="N444" s="49">
        <v>2</v>
      </c>
      <c r="O444" s="49">
        <v>0</v>
      </c>
      <c r="P444" s="49">
        <v>0</v>
      </c>
      <c r="Q444" s="49">
        <v>3</v>
      </c>
      <c r="R444" s="49">
        <v>0</v>
      </c>
      <c r="S444" s="49">
        <v>576</v>
      </c>
      <c r="T444" s="49">
        <v>576</v>
      </c>
      <c r="U444" s="49">
        <v>11680</v>
      </c>
      <c r="V444" s="49">
        <v>0</v>
      </c>
      <c r="W444" s="49">
        <v>0</v>
      </c>
      <c r="X444" s="49">
        <v>7978.666666666667</v>
      </c>
      <c r="Y444" s="434">
        <v>576</v>
      </c>
      <c r="Z444" s="434">
        <v>23360</v>
      </c>
      <c r="AA444" s="49">
        <v>0</v>
      </c>
      <c r="AB444" s="49">
        <v>10</v>
      </c>
      <c r="AC444" s="49">
        <v>0</v>
      </c>
      <c r="AD444" s="285">
        <v>2</v>
      </c>
      <c r="AE444" s="285">
        <v>0</v>
      </c>
      <c r="AF444" s="359">
        <v>12</v>
      </c>
      <c r="AG444" s="360">
        <v>0</v>
      </c>
      <c r="AH444" s="360">
        <v>7</v>
      </c>
      <c r="AI444" s="361">
        <v>7</v>
      </c>
      <c r="AJ444" s="360">
        <v>0</v>
      </c>
      <c r="AK444" s="360">
        <v>0</v>
      </c>
      <c r="AL444" s="360">
        <v>9.0911424514573813</v>
      </c>
      <c r="AM444" s="360">
        <v>9.0911424514573813</v>
      </c>
      <c r="AN444" s="360">
        <v>0</v>
      </c>
      <c r="AO444" s="360">
        <v>0</v>
      </c>
      <c r="AP444" s="360">
        <v>6.387178772715365</v>
      </c>
      <c r="AQ444" s="360">
        <v>6.387178772715365</v>
      </c>
      <c r="AR444" s="360">
        <v>0</v>
      </c>
      <c r="AS444" s="360">
        <v>1.8596827016276773</v>
      </c>
      <c r="AT444" s="360">
        <v>0</v>
      </c>
      <c r="AU444" s="360">
        <v>8.264887107269054</v>
      </c>
      <c r="AV444" s="360">
        <v>8.6681754733851868</v>
      </c>
      <c r="AW444" s="360">
        <v>9.0911424514573813</v>
      </c>
      <c r="AX444" s="360">
        <v>9.5347482669745318</v>
      </c>
      <c r="AY444" s="360">
        <v>10</v>
      </c>
      <c r="AZ444" s="360">
        <v>5.8280075249465364</v>
      </c>
      <c r="BA444" s="360">
        <v>6.1011905355073059</v>
      </c>
      <c r="BB444" s="360">
        <v>6.387178772715365</v>
      </c>
      <c r="BC444" s="360">
        <v>6.6865724709306456</v>
      </c>
      <c r="BD444" s="360">
        <v>7</v>
      </c>
      <c r="BE444" s="360">
        <v>1.7292098753666085</v>
      </c>
      <c r="BF444" s="360">
        <v>1.7932600739165065</v>
      </c>
      <c r="BG444" s="360">
        <v>1.8596827016276773</v>
      </c>
      <c r="BH444" s="360">
        <v>1.9285656336395076</v>
      </c>
      <c r="BI444" s="360">
        <v>2</v>
      </c>
      <c r="BJ444" s="362">
        <v>10.134066054705759</v>
      </c>
      <c r="BK444" s="362">
        <v>10.269929480113955</v>
      </c>
      <c r="BL444" s="362">
        <v>10.407614372864479</v>
      </c>
      <c r="BM444" s="363">
        <v>10.33918887465355</v>
      </c>
      <c r="BN444" s="363">
        <v>10.271213244071998</v>
      </c>
      <c r="BO444" s="363">
        <v>10.238413935606207</v>
      </c>
      <c r="BP444" s="363">
        <v>10.205719365948799</v>
      </c>
      <c r="BQ444" s="363">
        <v>10.173129200634857</v>
      </c>
      <c r="BR444" s="363">
        <v>10.14064310626752</v>
      </c>
      <c r="BS444" s="363">
        <v>10.108260750514567</v>
      </c>
      <c r="BT444" s="363">
        <v>10.183031230118221</v>
      </c>
      <c r="BU444" s="363">
        <v>10.258354784554244</v>
      </c>
      <c r="BV444" s="363">
        <v>10.334235504899382</v>
      </c>
      <c r="BW444" s="363">
        <v>10.410677512491946</v>
      </c>
      <c r="BX444" s="363">
        <v>10.487684959155638</v>
      </c>
      <c r="BY444" s="435">
        <v>10.5299588967814</v>
      </c>
      <c r="BZ444" s="435">
        <v>10.572232834407162</v>
      </c>
      <c r="CA444" s="435">
        <v>10.614506772032922</v>
      </c>
      <c r="CB444" s="435">
        <v>10.656780709658683</v>
      </c>
      <c r="CC444" s="363">
        <v>10.699054647284445</v>
      </c>
      <c r="CD444" s="435">
        <v>10.733706781377681</v>
      </c>
      <c r="CE444" s="435">
        <v>10.768358915470916</v>
      </c>
      <c r="CF444" s="435">
        <v>10.80301104956415</v>
      </c>
      <c r="CG444" s="435">
        <v>10.837663183657385</v>
      </c>
      <c r="CH444" s="363">
        <v>10.872315317750621</v>
      </c>
      <c r="CI444" s="362">
        <v>7.0938462382940317</v>
      </c>
      <c r="CJ444" s="362">
        <v>7.1889506360797686</v>
      </c>
      <c r="CK444" s="362">
        <v>7.2853300610051361</v>
      </c>
      <c r="CL444" s="363">
        <v>7.2374322122574846</v>
      </c>
      <c r="CM444" s="363">
        <v>7.1898492708503987</v>
      </c>
      <c r="CN444" s="363">
        <v>7.1668897549243447</v>
      </c>
      <c r="CO444" s="363">
        <v>7.1440035561641597</v>
      </c>
      <c r="CP444" s="363">
        <v>7.1211904404444004</v>
      </c>
      <c r="CQ444" s="363">
        <v>7.0984501743872643</v>
      </c>
      <c r="CR444" s="363">
        <v>7.0757825253601982</v>
      </c>
      <c r="CS444" s="363">
        <v>7.1281218610827546</v>
      </c>
      <c r="CT444" s="363">
        <v>7.1808483491879711</v>
      </c>
      <c r="CU444" s="363">
        <v>7.2339648534295682</v>
      </c>
      <c r="CV444" s="363">
        <v>7.2874742587443624</v>
      </c>
      <c r="CW444" s="363">
        <v>7.3413794714089473</v>
      </c>
      <c r="CX444" s="435">
        <v>7.3709712277469803</v>
      </c>
      <c r="CY444" s="435">
        <v>7.4005629840850133</v>
      </c>
      <c r="CZ444" s="435">
        <v>7.4301547404230464</v>
      </c>
      <c r="DA444" s="435">
        <v>7.4597464967610794</v>
      </c>
      <c r="DB444" s="363">
        <v>7.4893382530991124</v>
      </c>
      <c r="DC444" s="435">
        <v>7.5135947469643769</v>
      </c>
      <c r="DD444" s="435">
        <v>7.5378512408296414</v>
      </c>
      <c r="DE444" s="435">
        <v>7.5621077346949059</v>
      </c>
      <c r="DF444" s="435">
        <v>7.5863642285601705</v>
      </c>
      <c r="DG444" s="363">
        <v>7.610620722425435</v>
      </c>
      <c r="DH444" s="362">
        <v>2.0268132109411519</v>
      </c>
      <c r="DI444" s="362">
        <v>2.053985896022791</v>
      </c>
      <c r="DJ444" s="362">
        <v>2.081522874572896</v>
      </c>
      <c r="DK444" s="363">
        <v>2.0678377749307097</v>
      </c>
      <c r="DL444" s="363">
        <v>2.0542426488143994</v>
      </c>
      <c r="DM444" s="363">
        <v>2.0476827871212415</v>
      </c>
      <c r="DN444" s="363">
        <v>2.04114387318976</v>
      </c>
      <c r="DO444" s="363">
        <v>2.0346258401269717</v>
      </c>
      <c r="DP444" s="363">
        <v>2.0281286212535039</v>
      </c>
      <c r="DQ444" s="363">
        <v>2.0216521501029137</v>
      </c>
      <c r="DR444" s="363">
        <v>2.036606246023644</v>
      </c>
      <c r="DS444" s="363">
        <v>2.0516709569108489</v>
      </c>
      <c r="DT444" s="363">
        <v>2.0668471009798766</v>
      </c>
      <c r="DU444" s="363">
        <v>2.0821355024983892</v>
      </c>
      <c r="DV444" s="363">
        <v>2.0975369918311277</v>
      </c>
      <c r="DW444" s="435">
        <v>2.1059917793562799</v>
      </c>
      <c r="DX444" s="435">
        <v>2.1144465668814321</v>
      </c>
      <c r="DY444" s="435">
        <v>2.1229013544065847</v>
      </c>
      <c r="DZ444" s="435">
        <v>2.1313561419317368</v>
      </c>
      <c r="EA444" s="363">
        <v>2.139810929456889</v>
      </c>
      <c r="EB444" s="435">
        <v>2.1467413562755362</v>
      </c>
      <c r="EC444" s="435">
        <v>2.1536717830941829</v>
      </c>
      <c r="ED444" s="435">
        <v>2.1606022099128301</v>
      </c>
      <c r="EE444" s="435">
        <v>2.1675326367314769</v>
      </c>
      <c r="EF444" s="363">
        <v>2.1744630635501241</v>
      </c>
      <c r="EG444" s="364">
        <v>0</v>
      </c>
      <c r="EH444" s="364">
        <v>0</v>
      </c>
      <c r="EI444" s="364">
        <v>0</v>
      </c>
      <c r="EJ444" s="365">
        <v>0</v>
      </c>
      <c r="EK444" s="365">
        <v>0</v>
      </c>
      <c r="EL444" s="365">
        <v>0</v>
      </c>
      <c r="EM444" s="365">
        <v>0</v>
      </c>
      <c r="EN444" s="365">
        <v>0</v>
      </c>
      <c r="EO444" s="365">
        <v>0</v>
      </c>
      <c r="EP444" s="365">
        <v>0</v>
      </c>
      <c r="EQ444" s="365">
        <v>0</v>
      </c>
      <c r="ER444" s="365">
        <v>0</v>
      </c>
      <c r="ES444" s="365">
        <v>0</v>
      </c>
      <c r="ET444" s="365">
        <v>0</v>
      </c>
      <c r="EU444" s="365">
        <v>0</v>
      </c>
      <c r="EV444" s="436">
        <v>0</v>
      </c>
      <c r="EW444" s="436">
        <v>0</v>
      </c>
      <c r="EX444" s="436">
        <v>0</v>
      </c>
      <c r="EY444" s="436">
        <v>0</v>
      </c>
      <c r="EZ444" s="365">
        <v>0</v>
      </c>
      <c r="FA444" s="436">
        <v>0</v>
      </c>
      <c r="FB444" s="436">
        <v>0</v>
      </c>
      <c r="FC444" s="436">
        <v>0</v>
      </c>
      <c r="FD444" s="436">
        <v>0</v>
      </c>
      <c r="FE444" s="365">
        <v>0</v>
      </c>
      <c r="FF444" s="364">
        <v>0</v>
      </c>
      <c r="FG444" s="364">
        <v>0</v>
      </c>
      <c r="FH444" s="364">
        <v>0</v>
      </c>
      <c r="FI444" s="365">
        <v>0</v>
      </c>
      <c r="FJ444" s="365">
        <v>0</v>
      </c>
      <c r="FK444" s="365">
        <v>0</v>
      </c>
      <c r="FL444" s="365">
        <v>0</v>
      </c>
      <c r="FM444" s="365">
        <v>0</v>
      </c>
      <c r="FN444" s="365">
        <v>0</v>
      </c>
      <c r="FO444" s="365">
        <v>0</v>
      </c>
      <c r="FP444" s="365">
        <v>0</v>
      </c>
      <c r="FQ444" s="365">
        <v>0</v>
      </c>
      <c r="FR444" s="365">
        <v>0</v>
      </c>
      <c r="FS444" s="365">
        <v>0</v>
      </c>
      <c r="FT444" s="365">
        <v>0</v>
      </c>
      <c r="FU444" s="436">
        <v>0</v>
      </c>
      <c r="FV444" s="436">
        <v>0</v>
      </c>
      <c r="FW444" s="436">
        <v>0</v>
      </c>
      <c r="FX444" s="436">
        <v>0</v>
      </c>
      <c r="FY444" s="365">
        <v>0</v>
      </c>
      <c r="FZ444" s="436">
        <v>0</v>
      </c>
      <c r="GA444" s="436">
        <v>0</v>
      </c>
      <c r="GB444" s="436">
        <v>0</v>
      </c>
      <c r="GC444" s="436">
        <v>0</v>
      </c>
      <c r="GD444" s="365">
        <v>0</v>
      </c>
    </row>
    <row r="445" spans="1:186" ht="15" x14ac:dyDescent="0.25">
      <c r="A445" s="357">
        <v>111</v>
      </c>
      <c r="B445" s="357">
        <v>118</v>
      </c>
      <c r="C445" s="357" t="s">
        <v>1355</v>
      </c>
      <c r="D445" s="2">
        <v>99712</v>
      </c>
      <c r="E445" s="268" t="s">
        <v>19</v>
      </c>
      <c r="F445" s="358" t="s">
        <v>915</v>
      </c>
      <c r="G445" s="49">
        <v>0</v>
      </c>
      <c r="H445" s="49">
        <v>1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49">
        <v>0</v>
      </c>
      <c r="O445" s="49">
        <v>0</v>
      </c>
      <c r="P445" s="49">
        <v>0</v>
      </c>
      <c r="Q445" s="49">
        <v>0</v>
      </c>
      <c r="R445" s="49">
        <v>0</v>
      </c>
      <c r="S445" s="49">
        <v>834.49503068156923</v>
      </c>
      <c r="T445" s="49">
        <v>834.49503068156923</v>
      </c>
      <c r="U445" s="49">
        <v>1408.3846153846155</v>
      </c>
      <c r="V445" s="49">
        <v>0</v>
      </c>
      <c r="W445" s="49">
        <v>0</v>
      </c>
      <c r="X445" s="49">
        <v>1365.173957061457</v>
      </c>
      <c r="Y445" s="434">
        <v>0</v>
      </c>
      <c r="Z445" s="434">
        <v>0</v>
      </c>
      <c r="AA445" s="49">
        <v>2.2912335412335411E-2</v>
      </c>
      <c r="AB445" s="49">
        <v>0.97578828828828834</v>
      </c>
      <c r="AC445" s="49">
        <v>1.2993762993762994E-3</v>
      </c>
      <c r="AD445" s="285">
        <v>0</v>
      </c>
      <c r="AE445" s="285">
        <v>0</v>
      </c>
      <c r="AF445" s="359">
        <v>1</v>
      </c>
      <c r="AG445" s="360">
        <v>0</v>
      </c>
      <c r="AH445" s="360">
        <v>0</v>
      </c>
      <c r="AI445" s="361">
        <v>0</v>
      </c>
      <c r="AJ445" s="360">
        <v>0</v>
      </c>
      <c r="AK445" s="360">
        <v>2.0829930512911272E-2</v>
      </c>
      <c r="AL445" s="360">
        <v>0.8871030331292592</v>
      </c>
      <c r="AM445" s="360">
        <v>0.90793296364217047</v>
      </c>
      <c r="AN445" s="360">
        <v>1.1812815035677471E-3</v>
      </c>
      <c r="AO445" s="360">
        <v>0</v>
      </c>
      <c r="AP445" s="360">
        <v>0</v>
      </c>
      <c r="AQ445" s="360">
        <v>0</v>
      </c>
      <c r="AR445" s="360">
        <v>0</v>
      </c>
      <c r="AS445" s="360">
        <v>0</v>
      </c>
      <c r="AT445" s="360">
        <v>0</v>
      </c>
      <c r="AU445" s="360">
        <v>0.82541479088448488</v>
      </c>
      <c r="AV445" s="360">
        <v>0.86569122516162356</v>
      </c>
      <c r="AW445" s="360">
        <v>0.90793296364217047</v>
      </c>
      <c r="AX445" s="360">
        <v>0.95223590410559056</v>
      </c>
      <c r="AY445" s="360">
        <v>0.99870062370062374</v>
      </c>
      <c r="AZ445" s="360">
        <v>0</v>
      </c>
      <c r="BA445" s="360">
        <v>0</v>
      </c>
      <c r="BB445" s="360">
        <v>0</v>
      </c>
      <c r="BC445" s="360">
        <v>0</v>
      </c>
      <c r="BD445" s="360">
        <v>0</v>
      </c>
      <c r="BE445" s="360">
        <v>0</v>
      </c>
      <c r="BF445" s="360">
        <v>0</v>
      </c>
      <c r="BG445" s="360">
        <v>0</v>
      </c>
      <c r="BH445" s="360">
        <v>0</v>
      </c>
      <c r="BI445" s="360">
        <v>0</v>
      </c>
      <c r="BJ445" s="362">
        <v>1.0120898089457961</v>
      </c>
      <c r="BK445" s="362">
        <v>1.0256584977151229</v>
      </c>
      <c r="BL445" s="362">
        <v>1.0394090965415332</v>
      </c>
      <c r="BM445" s="363">
        <v>1.0325754377675052</v>
      </c>
      <c r="BN445" s="363">
        <v>1.0257867073016811</v>
      </c>
      <c r="BO445" s="363">
        <v>1.0225110383195077</v>
      </c>
      <c r="BP445" s="363">
        <v>1.0192458296086602</v>
      </c>
      <c r="BQ445" s="363">
        <v>1.015991047766106</v>
      </c>
      <c r="BR445" s="363">
        <v>1.0127466594954804</v>
      </c>
      <c r="BS445" s="363">
        <v>1.0095126316067435</v>
      </c>
      <c r="BT445" s="363">
        <v>1.0169799640681998</v>
      </c>
      <c r="BU445" s="363">
        <v>1.0245025321476602</v>
      </c>
      <c r="BV445" s="363">
        <v>1.0320807444212143</v>
      </c>
      <c r="BW445" s="363">
        <v>1.0397150124871766</v>
      </c>
      <c r="BX445" s="363">
        <v>1.0474057509884387</v>
      </c>
      <c r="BY445" s="435">
        <v>1.0516276517757517</v>
      </c>
      <c r="BZ445" s="435">
        <v>1.0558495525630647</v>
      </c>
      <c r="CA445" s="435">
        <v>1.0600714533503774</v>
      </c>
      <c r="CB445" s="435">
        <v>1.0642933541376904</v>
      </c>
      <c r="CC445" s="363">
        <v>1.0685152549250034</v>
      </c>
      <c r="CD445" s="435">
        <v>1.0719759657181505</v>
      </c>
      <c r="CE445" s="435">
        <v>1.0754366765112977</v>
      </c>
      <c r="CF445" s="435">
        <v>1.0788973873044447</v>
      </c>
      <c r="CG445" s="435">
        <v>1.082358098097592</v>
      </c>
      <c r="CH445" s="363">
        <v>1.085818808890739</v>
      </c>
      <c r="CI445" s="362">
        <v>0</v>
      </c>
      <c r="CJ445" s="362">
        <v>0</v>
      </c>
      <c r="CK445" s="362">
        <v>0</v>
      </c>
      <c r="CL445" s="363">
        <v>0</v>
      </c>
      <c r="CM445" s="363">
        <v>0</v>
      </c>
      <c r="CN445" s="363">
        <v>0</v>
      </c>
      <c r="CO445" s="363">
        <v>0</v>
      </c>
      <c r="CP445" s="363">
        <v>0</v>
      </c>
      <c r="CQ445" s="363">
        <v>0</v>
      </c>
      <c r="CR445" s="363">
        <v>0</v>
      </c>
      <c r="CS445" s="363">
        <v>0</v>
      </c>
      <c r="CT445" s="363">
        <v>0</v>
      </c>
      <c r="CU445" s="363">
        <v>0</v>
      </c>
      <c r="CV445" s="363">
        <v>0</v>
      </c>
      <c r="CW445" s="363">
        <v>0</v>
      </c>
      <c r="CX445" s="435">
        <v>0</v>
      </c>
      <c r="CY445" s="435">
        <v>0</v>
      </c>
      <c r="CZ445" s="435">
        <v>0</v>
      </c>
      <c r="DA445" s="435">
        <v>0</v>
      </c>
      <c r="DB445" s="363">
        <v>0</v>
      </c>
      <c r="DC445" s="435">
        <v>0</v>
      </c>
      <c r="DD445" s="435">
        <v>0</v>
      </c>
      <c r="DE445" s="435">
        <v>0</v>
      </c>
      <c r="DF445" s="435">
        <v>0</v>
      </c>
      <c r="DG445" s="363">
        <v>0</v>
      </c>
      <c r="DH445" s="362">
        <v>0</v>
      </c>
      <c r="DI445" s="362">
        <v>0</v>
      </c>
      <c r="DJ445" s="362">
        <v>0</v>
      </c>
      <c r="DK445" s="363">
        <v>0</v>
      </c>
      <c r="DL445" s="363">
        <v>0</v>
      </c>
      <c r="DM445" s="363">
        <v>0</v>
      </c>
      <c r="DN445" s="363">
        <v>0</v>
      </c>
      <c r="DO445" s="363">
        <v>0</v>
      </c>
      <c r="DP445" s="363">
        <v>0</v>
      </c>
      <c r="DQ445" s="363">
        <v>0</v>
      </c>
      <c r="DR445" s="363">
        <v>0</v>
      </c>
      <c r="DS445" s="363">
        <v>0</v>
      </c>
      <c r="DT445" s="363">
        <v>0</v>
      </c>
      <c r="DU445" s="363">
        <v>0</v>
      </c>
      <c r="DV445" s="363">
        <v>0</v>
      </c>
      <c r="DW445" s="435">
        <v>0</v>
      </c>
      <c r="DX445" s="435">
        <v>0</v>
      </c>
      <c r="DY445" s="435">
        <v>0</v>
      </c>
      <c r="DZ445" s="435">
        <v>0</v>
      </c>
      <c r="EA445" s="363">
        <v>0</v>
      </c>
      <c r="EB445" s="435">
        <v>0</v>
      </c>
      <c r="EC445" s="435">
        <v>0</v>
      </c>
      <c r="ED445" s="435">
        <v>0</v>
      </c>
      <c r="EE445" s="435">
        <v>0</v>
      </c>
      <c r="EF445" s="363">
        <v>0</v>
      </c>
      <c r="EG445" s="364">
        <v>1.3167965247798544E-3</v>
      </c>
      <c r="EH445" s="364">
        <v>1.3344502962726033E-3</v>
      </c>
      <c r="EI445" s="364">
        <v>1.3523407449148232E-3</v>
      </c>
      <c r="EJ445" s="365">
        <v>1.3434496978499935E-3</v>
      </c>
      <c r="EK445" s="365">
        <v>1.3346171055187107E-3</v>
      </c>
      <c r="EL445" s="365">
        <v>1.3303552411130725E-3</v>
      </c>
      <c r="EM445" s="365">
        <v>1.3261069862199584E-3</v>
      </c>
      <c r="EN445" s="365">
        <v>1.3218722973797892E-3</v>
      </c>
      <c r="EO445" s="365">
        <v>1.3176511312717671E-3</v>
      </c>
      <c r="EP445" s="365">
        <v>1.3134434447134315E-3</v>
      </c>
      <c r="EQ445" s="365">
        <v>1.3231589436224298E-3</v>
      </c>
      <c r="ER445" s="365">
        <v>1.3329463077643249E-3</v>
      </c>
      <c r="ES445" s="365">
        <v>1.3428060687239321E-3</v>
      </c>
      <c r="ET445" s="365">
        <v>1.3527387620181843E-3</v>
      </c>
      <c r="EU445" s="365">
        <v>1.3627449271252129E-3</v>
      </c>
      <c r="EV445" s="436">
        <v>1.3682379023884355E-3</v>
      </c>
      <c r="EW445" s="436">
        <v>1.3737308776516583E-3</v>
      </c>
      <c r="EX445" s="436">
        <v>1.3792238529148808E-3</v>
      </c>
      <c r="EY445" s="436">
        <v>1.3847168281781036E-3</v>
      </c>
      <c r="EZ445" s="365">
        <v>1.3902098034413262E-3</v>
      </c>
      <c r="FA445" s="436">
        <v>1.394712419617682E-3</v>
      </c>
      <c r="FB445" s="436">
        <v>1.399215035794038E-3</v>
      </c>
      <c r="FC445" s="436">
        <v>1.4037176519703938E-3</v>
      </c>
      <c r="FD445" s="436">
        <v>1.4082202681467498E-3</v>
      </c>
      <c r="FE445" s="365">
        <v>1.4127228843231056E-3</v>
      </c>
      <c r="FF445" s="364">
        <v>0</v>
      </c>
      <c r="FG445" s="364">
        <v>0</v>
      </c>
      <c r="FH445" s="364">
        <v>0</v>
      </c>
      <c r="FI445" s="365">
        <v>0</v>
      </c>
      <c r="FJ445" s="365">
        <v>0</v>
      </c>
      <c r="FK445" s="365">
        <v>0</v>
      </c>
      <c r="FL445" s="365">
        <v>0</v>
      </c>
      <c r="FM445" s="365">
        <v>0</v>
      </c>
      <c r="FN445" s="365">
        <v>0</v>
      </c>
      <c r="FO445" s="365">
        <v>0</v>
      </c>
      <c r="FP445" s="365">
        <v>0</v>
      </c>
      <c r="FQ445" s="365">
        <v>0</v>
      </c>
      <c r="FR445" s="365">
        <v>0</v>
      </c>
      <c r="FS445" s="365">
        <v>0</v>
      </c>
      <c r="FT445" s="365">
        <v>0</v>
      </c>
      <c r="FU445" s="436">
        <v>0</v>
      </c>
      <c r="FV445" s="436">
        <v>0</v>
      </c>
      <c r="FW445" s="436">
        <v>0</v>
      </c>
      <c r="FX445" s="436">
        <v>0</v>
      </c>
      <c r="FY445" s="365">
        <v>0</v>
      </c>
      <c r="FZ445" s="436">
        <v>0</v>
      </c>
      <c r="GA445" s="436">
        <v>0</v>
      </c>
      <c r="GB445" s="436">
        <v>0</v>
      </c>
      <c r="GC445" s="436">
        <v>0</v>
      </c>
      <c r="GD445" s="365">
        <v>0</v>
      </c>
    </row>
    <row r="446" spans="1:186" ht="15" x14ac:dyDescent="0.25">
      <c r="A446" s="357">
        <v>119</v>
      </c>
      <c r="B446" s="357">
        <v>119</v>
      </c>
      <c r="C446" s="357" t="s">
        <v>1356</v>
      </c>
      <c r="D446" s="2">
        <v>99712</v>
      </c>
      <c r="E446" s="268" t="s">
        <v>19</v>
      </c>
      <c r="F446" s="358" t="s">
        <v>915</v>
      </c>
      <c r="G446" s="49">
        <v>0</v>
      </c>
      <c r="H446" s="49">
        <v>1</v>
      </c>
      <c r="I446" s="49">
        <v>0</v>
      </c>
      <c r="J446" s="49">
        <v>1</v>
      </c>
      <c r="K446" s="49">
        <v>0</v>
      </c>
      <c r="L446" s="49">
        <v>6</v>
      </c>
      <c r="M446" s="49">
        <v>6</v>
      </c>
      <c r="N446" s="49">
        <v>0</v>
      </c>
      <c r="O446" s="49">
        <v>0</v>
      </c>
      <c r="P446" s="49">
        <v>0</v>
      </c>
      <c r="Q446" s="49">
        <v>6</v>
      </c>
      <c r="R446" s="49">
        <v>0</v>
      </c>
      <c r="S446" s="49">
        <v>1134.8333333333333</v>
      </c>
      <c r="T446" s="49">
        <v>1134.8333333333333</v>
      </c>
      <c r="U446" s="49">
        <v>0</v>
      </c>
      <c r="V446" s="49">
        <v>0</v>
      </c>
      <c r="W446" s="49">
        <v>0</v>
      </c>
      <c r="X446" s="49">
        <v>1134.8333333333333</v>
      </c>
      <c r="Y446" s="434">
        <v>6809</v>
      </c>
      <c r="Z446" s="434">
        <v>0</v>
      </c>
      <c r="AA446" s="49">
        <v>0</v>
      </c>
      <c r="AB446" s="49">
        <v>1</v>
      </c>
      <c r="AC446" s="49">
        <v>0</v>
      </c>
      <c r="AD446" s="285">
        <v>0</v>
      </c>
      <c r="AE446" s="285">
        <v>0</v>
      </c>
      <c r="AF446" s="359">
        <v>1</v>
      </c>
      <c r="AG446" s="360">
        <v>0</v>
      </c>
      <c r="AH446" s="360">
        <v>0</v>
      </c>
      <c r="AI446" s="361">
        <v>0</v>
      </c>
      <c r="AJ446" s="360">
        <v>0</v>
      </c>
      <c r="AK446" s="360">
        <v>0</v>
      </c>
      <c r="AL446" s="360">
        <v>0.90911424514573824</v>
      </c>
      <c r="AM446" s="360">
        <v>0.90911424514573824</v>
      </c>
      <c r="AN446" s="360">
        <v>0</v>
      </c>
      <c r="AO446" s="360">
        <v>0</v>
      </c>
      <c r="AP446" s="360">
        <v>0</v>
      </c>
      <c r="AQ446" s="360">
        <v>0</v>
      </c>
      <c r="AR446" s="360">
        <v>0</v>
      </c>
      <c r="AS446" s="360">
        <v>0</v>
      </c>
      <c r="AT446" s="360">
        <v>0</v>
      </c>
      <c r="AU446" s="360">
        <v>0.82648871072690544</v>
      </c>
      <c r="AV446" s="360">
        <v>0.86681754733851879</v>
      </c>
      <c r="AW446" s="360">
        <v>0.90911424514573824</v>
      </c>
      <c r="AX446" s="360">
        <v>0.95347482669745309</v>
      </c>
      <c r="AY446" s="360">
        <v>1</v>
      </c>
      <c r="AZ446" s="360">
        <v>0</v>
      </c>
      <c r="BA446" s="360">
        <v>0</v>
      </c>
      <c r="BB446" s="360">
        <v>0</v>
      </c>
      <c r="BC446" s="360">
        <v>0</v>
      </c>
      <c r="BD446" s="360">
        <v>0</v>
      </c>
      <c r="BE446" s="360">
        <v>0</v>
      </c>
      <c r="BF446" s="360">
        <v>0</v>
      </c>
      <c r="BG446" s="360">
        <v>0</v>
      </c>
      <c r="BH446" s="360">
        <v>0</v>
      </c>
      <c r="BI446" s="360">
        <v>0</v>
      </c>
      <c r="BJ446" s="362">
        <v>1.0134066054705759</v>
      </c>
      <c r="BK446" s="362">
        <v>1.0269929480113955</v>
      </c>
      <c r="BL446" s="362">
        <v>1.040761437286448</v>
      </c>
      <c r="BM446" s="363">
        <v>1.0339188874653549</v>
      </c>
      <c r="BN446" s="363">
        <v>1.0271213244071997</v>
      </c>
      <c r="BO446" s="363">
        <v>1.0238413935606208</v>
      </c>
      <c r="BP446" s="363">
        <v>1.02057193659488</v>
      </c>
      <c r="BQ446" s="363">
        <v>1.0173129200634858</v>
      </c>
      <c r="BR446" s="363">
        <v>1.014064310626752</v>
      </c>
      <c r="BS446" s="363">
        <v>1.0108260750514568</v>
      </c>
      <c r="BT446" s="363">
        <v>1.018303123011822</v>
      </c>
      <c r="BU446" s="363">
        <v>1.0258354784554244</v>
      </c>
      <c r="BV446" s="363">
        <v>1.0334235504899383</v>
      </c>
      <c r="BW446" s="363">
        <v>1.0410677512491946</v>
      </c>
      <c r="BX446" s="363">
        <v>1.0487684959155639</v>
      </c>
      <c r="BY446" s="435">
        <v>1.05299588967814</v>
      </c>
      <c r="BZ446" s="435">
        <v>1.057223283440716</v>
      </c>
      <c r="CA446" s="435">
        <v>1.0614506772032923</v>
      </c>
      <c r="CB446" s="435">
        <v>1.0656780709658684</v>
      </c>
      <c r="CC446" s="363">
        <v>1.0699054647284445</v>
      </c>
      <c r="CD446" s="435">
        <v>1.0733706781377681</v>
      </c>
      <c r="CE446" s="435">
        <v>1.0768358915470915</v>
      </c>
      <c r="CF446" s="435">
        <v>1.0803011049564151</v>
      </c>
      <c r="CG446" s="435">
        <v>1.0837663183657384</v>
      </c>
      <c r="CH446" s="363">
        <v>1.087231531775062</v>
      </c>
      <c r="CI446" s="362">
        <v>0</v>
      </c>
      <c r="CJ446" s="362">
        <v>0</v>
      </c>
      <c r="CK446" s="362">
        <v>0</v>
      </c>
      <c r="CL446" s="363">
        <v>0</v>
      </c>
      <c r="CM446" s="363">
        <v>0</v>
      </c>
      <c r="CN446" s="363">
        <v>0</v>
      </c>
      <c r="CO446" s="363">
        <v>0</v>
      </c>
      <c r="CP446" s="363">
        <v>0</v>
      </c>
      <c r="CQ446" s="363">
        <v>0</v>
      </c>
      <c r="CR446" s="363">
        <v>0</v>
      </c>
      <c r="CS446" s="363">
        <v>0</v>
      </c>
      <c r="CT446" s="363">
        <v>0</v>
      </c>
      <c r="CU446" s="363">
        <v>0</v>
      </c>
      <c r="CV446" s="363">
        <v>0</v>
      </c>
      <c r="CW446" s="363">
        <v>0</v>
      </c>
      <c r="CX446" s="435">
        <v>0</v>
      </c>
      <c r="CY446" s="435">
        <v>0</v>
      </c>
      <c r="CZ446" s="435">
        <v>0</v>
      </c>
      <c r="DA446" s="435">
        <v>0</v>
      </c>
      <c r="DB446" s="363">
        <v>0</v>
      </c>
      <c r="DC446" s="435">
        <v>0</v>
      </c>
      <c r="DD446" s="435">
        <v>0</v>
      </c>
      <c r="DE446" s="435">
        <v>0</v>
      </c>
      <c r="DF446" s="435">
        <v>0</v>
      </c>
      <c r="DG446" s="363">
        <v>0</v>
      </c>
      <c r="DH446" s="362">
        <v>0</v>
      </c>
      <c r="DI446" s="362">
        <v>0</v>
      </c>
      <c r="DJ446" s="362">
        <v>0</v>
      </c>
      <c r="DK446" s="363">
        <v>0</v>
      </c>
      <c r="DL446" s="363">
        <v>0</v>
      </c>
      <c r="DM446" s="363">
        <v>0</v>
      </c>
      <c r="DN446" s="363">
        <v>0</v>
      </c>
      <c r="DO446" s="363">
        <v>0</v>
      </c>
      <c r="DP446" s="363">
        <v>0</v>
      </c>
      <c r="DQ446" s="363">
        <v>0</v>
      </c>
      <c r="DR446" s="363">
        <v>0</v>
      </c>
      <c r="DS446" s="363">
        <v>0</v>
      </c>
      <c r="DT446" s="363">
        <v>0</v>
      </c>
      <c r="DU446" s="363">
        <v>0</v>
      </c>
      <c r="DV446" s="363">
        <v>0</v>
      </c>
      <c r="DW446" s="435">
        <v>0</v>
      </c>
      <c r="DX446" s="435">
        <v>0</v>
      </c>
      <c r="DY446" s="435">
        <v>0</v>
      </c>
      <c r="DZ446" s="435">
        <v>0</v>
      </c>
      <c r="EA446" s="363">
        <v>0</v>
      </c>
      <c r="EB446" s="435">
        <v>0</v>
      </c>
      <c r="EC446" s="435">
        <v>0</v>
      </c>
      <c r="ED446" s="435">
        <v>0</v>
      </c>
      <c r="EE446" s="435">
        <v>0</v>
      </c>
      <c r="EF446" s="363">
        <v>0</v>
      </c>
      <c r="EG446" s="364">
        <v>0</v>
      </c>
      <c r="EH446" s="364">
        <v>0</v>
      </c>
      <c r="EI446" s="364">
        <v>0</v>
      </c>
      <c r="EJ446" s="365">
        <v>0</v>
      </c>
      <c r="EK446" s="365">
        <v>0</v>
      </c>
      <c r="EL446" s="365">
        <v>0</v>
      </c>
      <c r="EM446" s="365">
        <v>0</v>
      </c>
      <c r="EN446" s="365">
        <v>0</v>
      </c>
      <c r="EO446" s="365">
        <v>0</v>
      </c>
      <c r="EP446" s="365">
        <v>0</v>
      </c>
      <c r="EQ446" s="365">
        <v>0</v>
      </c>
      <c r="ER446" s="365">
        <v>0</v>
      </c>
      <c r="ES446" s="365">
        <v>0</v>
      </c>
      <c r="ET446" s="365">
        <v>0</v>
      </c>
      <c r="EU446" s="365">
        <v>0</v>
      </c>
      <c r="EV446" s="436">
        <v>0</v>
      </c>
      <c r="EW446" s="436">
        <v>0</v>
      </c>
      <c r="EX446" s="436">
        <v>0</v>
      </c>
      <c r="EY446" s="436">
        <v>0</v>
      </c>
      <c r="EZ446" s="365">
        <v>0</v>
      </c>
      <c r="FA446" s="436">
        <v>0</v>
      </c>
      <c r="FB446" s="436">
        <v>0</v>
      </c>
      <c r="FC446" s="436">
        <v>0</v>
      </c>
      <c r="FD446" s="436">
        <v>0</v>
      </c>
      <c r="FE446" s="365">
        <v>0</v>
      </c>
      <c r="FF446" s="364">
        <v>0</v>
      </c>
      <c r="FG446" s="364">
        <v>0</v>
      </c>
      <c r="FH446" s="364">
        <v>0</v>
      </c>
      <c r="FI446" s="365">
        <v>0</v>
      </c>
      <c r="FJ446" s="365">
        <v>0</v>
      </c>
      <c r="FK446" s="365">
        <v>0</v>
      </c>
      <c r="FL446" s="365">
        <v>0</v>
      </c>
      <c r="FM446" s="365">
        <v>0</v>
      </c>
      <c r="FN446" s="365">
        <v>0</v>
      </c>
      <c r="FO446" s="365">
        <v>0</v>
      </c>
      <c r="FP446" s="365">
        <v>0</v>
      </c>
      <c r="FQ446" s="365">
        <v>0</v>
      </c>
      <c r="FR446" s="365">
        <v>0</v>
      </c>
      <c r="FS446" s="365">
        <v>0</v>
      </c>
      <c r="FT446" s="365">
        <v>0</v>
      </c>
      <c r="FU446" s="436">
        <v>0</v>
      </c>
      <c r="FV446" s="436">
        <v>0</v>
      </c>
      <c r="FW446" s="436">
        <v>0</v>
      </c>
      <c r="FX446" s="436">
        <v>0</v>
      </c>
      <c r="FY446" s="365">
        <v>0</v>
      </c>
      <c r="FZ446" s="436">
        <v>0</v>
      </c>
      <c r="GA446" s="436">
        <v>0</v>
      </c>
      <c r="GB446" s="436">
        <v>0</v>
      </c>
      <c r="GC446" s="436">
        <v>0</v>
      </c>
      <c r="GD446" s="365">
        <v>0</v>
      </c>
    </row>
    <row r="447" spans="1:186" ht="15" x14ac:dyDescent="0.25">
      <c r="A447" s="357">
        <v>112</v>
      </c>
      <c r="B447" s="357">
        <v>120</v>
      </c>
      <c r="C447" s="357" t="s">
        <v>1357</v>
      </c>
      <c r="D447" s="2">
        <v>99712</v>
      </c>
      <c r="E447" s="268" t="s">
        <v>19</v>
      </c>
      <c r="F447" s="358" t="s">
        <v>915</v>
      </c>
      <c r="G447" s="49">
        <v>218</v>
      </c>
      <c r="H447" s="49">
        <v>141</v>
      </c>
      <c r="I447" s="49">
        <v>96</v>
      </c>
      <c r="J447" s="49">
        <v>45</v>
      </c>
      <c r="K447" s="49">
        <v>0</v>
      </c>
      <c r="L447" s="49">
        <v>0</v>
      </c>
      <c r="M447" s="49">
        <v>0</v>
      </c>
      <c r="N447" s="49">
        <v>0</v>
      </c>
      <c r="O447" s="49">
        <v>0</v>
      </c>
      <c r="P447" s="49">
        <v>0</v>
      </c>
      <c r="Q447" s="49">
        <v>0</v>
      </c>
      <c r="R447" s="49">
        <v>0</v>
      </c>
      <c r="S447" s="49">
        <v>834.49503068156923</v>
      </c>
      <c r="T447" s="49">
        <v>834.49503068156923</v>
      </c>
      <c r="U447" s="49">
        <v>1408.3846153846155</v>
      </c>
      <c r="V447" s="49">
        <v>0</v>
      </c>
      <c r="W447" s="49">
        <v>0</v>
      </c>
      <c r="X447" s="49">
        <v>1365.173957061457</v>
      </c>
      <c r="Y447" s="434">
        <v>0</v>
      </c>
      <c r="Z447" s="434">
        <v>0</v>
      </c>
      <c r="AA447" s="49">
        <v>3.2306392931392933</v>
      </c>
      <c r="AB447" s="49">
        <v>137.58614864864865</v>
      </c>
      <c r="AC447" s="49">
        <v>0.18321205821205822</v>
      </c>
      <c r="AD447" s="285">
        <v>0</v>
      </c>
      <c r="AE447" s="285">
        <v>0</v>
      </c>
      <c r="AF447" s="359">
        <v>141</v>
      </c>
      <c r="AG447" s="360">
        <v>2.1995841995841996</v>
      </c>
      <c r="AH447" s="360">
        <v>93.675675675675677</v>
      </c>
      <c r="AI447" s="361">
        <v>95.875259875259871</v>
      </c>
      <c r="AJ447" s="360">
        <v>0.12474012474012475</v>
      </c>
      <c r="AK447" s="360">
        <v>2.9370202023204901</v>
      </c>
      <c r="AL447" s="360">
        <v>125.08152767122554</v>
      </c>
      <c r="AM447" s="360">
        <v>128.01854787354603</v>
      </c>
      <c r="AN447" s="360">
        <v>0.16656069200305235</v>
      </c>
      <c r="AO447" s="360">
        <v>2.0070196440549024</v>
      </c>
      <c r="AP447" s="360">
        <v>85.474755313634958</v>
      </c>
      <c r="AQ447" s="360">
        <v>87.481774957689865</v>
      </c>
      <c r="AR447" s="360">
        <v>0.11381963954942735</v>
      </c>
      <c r="AS447" s="360">
        <v>0</v>
      </c>
      <c r="AT447" s="360">
        <v>0</v>
      </c>
      <c r="AU447" s="360">
        <v>116.38348551471235</v>
      </c>
      <c r="AV447" s="360">
        <v>122.06246274778891</v>
      </c>
      <c r="AW447" s="360">
        <v>128.01854787354603</v>
      </c>
      <c r="AX447" s="360">
        <v>134.26526247888825</v>
      </c>
      <c r="AY447" s="360">
        <v>140.81678794178794</v>
      </c>
      <c r="AZ447" s="360">
        <v>79.823105144174178</v>
      </c>
      <c r="BA447" s="360">
        <v>83.564746877176987</v>
      </c>
      <c r="BB447" s="360">
        <v>87.481774957689851</v>
      </c>
      <c r="BC447" s="360">
        <v>91.582410475033456</v>
      </c>
      <c r="BD447" s="360">
        <v>95.875259875259871</v>
      </c>
      <c r="BE447" s="360">
        <v>0</v>
      </c>
      <c r="BF447" s="360">
        <v>0</v>
      </c>
      <c r="BG447" s="360">
        <v>0</v>
      </c>
      <c r="BH447" s="360">
        <v>0</v>
      </c>
      <c r="BI447" s="360">
        <v>0</v>
      </c>
      <c r="BJ447" s="362">
        <v>142.70466306135725</v>
      </c>
      <c r="BK447" s="362">
        <v>144.61784817783231</v>
      </c>
      <c r="BL447" s="362">
        <v>146.55668261235618</v>
      </c>
      <c r="BM447" s="363">
        <v>145.59313672521822</v>
      </c>
      <c r="BN447" s="363">
        <v>144.63592572953704</v>
      </c>
      <c r="BO447" s="363">
        <v>144.17405640305057</v>
      </c>
      <c r="BP447" s="363">
        <v>143.71366197482106</v>
      </c>
      <c r="BQ447" s="363">
        <v>143.25473773502097</v>
      </c>
      <c r="BR447" s="363">
        <v>142.79727898886273</v>
      </c>
      <c r="BS447" s="363">
        <v>142.34128105655083</v>
      </c>
      <c r="BT447" s="363">
        <v>143.39417493361617</v>
      </c>
      <c r="BU447" s="363">
        <v>144.45485703282009</v>
      </c>
      <c r="BV447" s="363">
        <v>145.52338496339124</v>
      </c>
      <c r="BW447" s="363">
        <v>146.59981676069188</v>
      </c>
      <c r="BX447" s="363">
        <v>147.68421088936987</v>
      </c>
      <c r="BY447" s="435">
        <v>148.27949890038099</v>
      </c>
      <c r="BZ447" s="435">
        <v>148.87478691139211</v>
      </c>
      <c r="CA447" s="435">
        <v>149.47007492240323</v>
      </c>
      <c r="CB447" s="435">
        <v>150.06536293341435</v>
      </c>
      <c r="CC447" s="363">
        <v>150.66065094442547</v>
      </c>
      <c r="CD447" s="435">
        <v>151.14861116625923</v>
      </c>
      <c r="CE447" s="435">
        <v>151.63657138809296</v>
      </c>
      <c r="CF447" s="435">
        <v>152.12453160992672</v>
      </c>
      <c r="CG447" s="435">
        <v>152.61249183176045</v>
      </c>
      <c r="CH447" s="363">
        <v>153.10045205359421</v>
      </c>
      <c r="CI447" s="362">
        <v>97.160621658796416</v>
      </c>
      <c r="CJ447" s="362">
        <v>98.463215780651794</v>
      </c>
      <c r="CK447" s="362">
        <v>99.783273267987184</v>
      </c>
      <c r="CL447" s="363">
        <v>99.127242025680474</v>
      </c>
      <c r="CM447" s="363">
        <v>98.475523900961392</v>
      </c>
      <c r="CN447" s="363">
        <v>98.161059678672729</v>
      </c>
      <c r="CO447" s="363">
        <v>97.847599642431362</v>
      </c>
      <c r="CP447" s="363">
        <v>97.535140585546173</v>
      </c>
      <c r="CQ447" s="363">
        <v>97.223679311566102</v>
      </c>
      <c r="CR447" s="363">
        <v>96.913212634247373</v>
      </c>
      <c r="CS447" s="363">
        <v>97.630076550547173</v>
      </c>
      <c r="CT447" s="363">
        <v>98.352243086175363</v>
      </c>
      <c r="CU447" s="363">
        <v>99.079751464436583</v>
      </c>
      <c r="CV447" s="363">
        <v>99.812641198768929</v>
      </c>
      <c r="CW447" s="363">
        <v>100.55095209489012</v>
      </c>
      <c r="CX447" s="435">
        <v>100.95625457047215</v>
      </c>
      <c r="CY447" s="435">
        <v>101.3615570460542</v>
      </c>
      <c r="CZ447" s="435">
        <v>101.76685952163623</v>
      </c>
      <c r="DA447" s="435">
        <v>102.17216199721828</v>
      </c>
      <c r="DB447" s="363">
        <v>102.57746447280032</v>
      </c>
      <c r="DC447" s="435">
        <v>102.90969270894244</v>
      </c>
      <c r="DD447" s="435">
        <v>103.24192094508457</v>
      </c>
      <c r="DE447" s="435">
        <v>103.57414918122669</v>
      </c>
      <c r="DF447" s="435">
        <v>103.90637741736882</v>
      </c>
      <c r="DG447" s="363">
        <v>104.23860565351094</v>
      </c>
      <c r="DH447" s="362">
        <v>0</v>
      </c>
      <c r="DI447" s="362">
        <v>0</v>
      </c>
      <c r="DJ447" s="362">
        <v>0</v>
      </c>
      <c r="DK447" s="363">
        <v>0</v>
      </c>
      <c r="DL447" s="363">
        <v>0</v>
      </c>
      <c r="DM447" s="363">
        <v>0</v>
      </c>
      <c r="DN447" s="363">
        <v>0</v>
      </c>
      <c r="DO447" s="363">
        <v>0</v>
      </c>
      <c r="DP447" s="363">
        <v>0</v>
      </c>
      <c r="DQ447" s="363">
        <v>0</v>
      </c>
      <c r="DR447" s="363">
        <v>0</v>
      </c>
      <c r="DS447" s="363">
        <v>0</v>
      </c>
      <c r="DT447" s="363">
        <v>0</v>
      </c>
      <c r="DU447" s="363">
        <v>0</v>
      </c>
      <c r="DV447" s="363">
        <v>0</v>
      </c>
      <c r="DW447" s="435">
        <v>0</v>
      </c>
      <c r="DX447" s="435">
        <v>0</v>
      </c>
      <c r="DY447" s="435">
        <v>0</v>
      </c>
      <c r="DZ447" s="435">
        <v>0</v>
      </c>
      <c r="EA447" s="363">
        <v>0</v>
      </c>
      <c r="EB447" s="435">
        <v>0</v>
      </c>
      <c r="EC447" s="435">
        <v>0</v>
      </c>
      <c r="ED447" s="435">
        <v>0</v>
      </c>
      <c r="EE447" s="435">
        <v>0</v>
      </c>
      <c r="EF447" s="363">
        <v>0</v>
      </c>
      <c r="EG447" s="364">
        <v>0.18566830999395947</v>
      </c>
      <c r="EH447" s="364">
        <v>0.18815749177443708</v>
      </c>
      <c r="EI447" s="364">
        <v>0.19068004503299008</v>
      </c>
      <c r="EJ447" s="365">
        <v>0.18942640739684907</v>
      </c>
      <c r="EK447" s="365">
        <v>0.18818101187813821</v>
      </c>
      <c r="EL447" s="365">
        <v>0.18758008899694323</v>
      </c>
      <c r="EM447" s="365">
        <v>0.18698108505701413</v>
      </c>
      <c r="EN447" s="365">
        <v>0.18638399393055027</v>
      </c>
      <c r="EO447" s="365">
        <v>0.18578880950931917</v>
      </c>
      <c r="EP447" s="365">
        <v>0.18519552570459383</v>
      </c>
      <c r="EQ447" s="365">
        <v>0.1865654110507626</v>
      </c>
      <c r="ER447" s="365">
        <v>0.1879454293947698</v>
      </c>
      <c r="ES447" s="365">
        <v>0.18933565569007443</v>
      </c>
      <c r="ET447" s="365">
        <v>0.19073616544456398</v>
      </c>
      <c r="EU447" s="365">
        <v>0.19214703472465502</v>
      </c>
      <c r="EV447" s="436">
        <v>0.19292154423676941</v>
      </c>
      <c r="EW447" s="436">
        <v>0.1936960537488838</v>
      </c>
      <c r="EX447" s="436">
        <v>0.19447056326099821</v>
      </c>
      <c r="EY447" s="436">
        <v>0.19524507277311259</v>
      </c>
      <c r="EZ447" s="365">
        <v>0.19601958228522698</v>
      </c>
      <c r="FA447" s="436">
        <v>0.19665445116609315</v>
      </c>
      <c r="FB447" s="436">
        <v>0.19728932004695934</v>
      </c>
      <c r="FC447" s="436">
        <v>0.19792418892782551</v>
      </c>
      <c r="FD447" s="436">
        <v>0.19855905780869171</v>
      </c>
      <c r="FE447" s="365">
        <v>0.19919392668955788</v>
      </c>
      <c r="FF447" s="364">
        <v>0</v>
      </c>
      <c r="FG447" s="364">
        <v>0</v>
      </c>
      <c r="FH447" s="364">
        <v>0</v>
      </c>
      <c r="FI447" s="365">
        <v>0</v>
      </c>
      <c r="FJ447" s="365">
        <v>0</v>
      </c>
      <c r="FK447" s="365">
        <v>0</v>
      </c>
      <c r="FL447" s="365">
        <v>0</v>
      </c>
      <c r="FM447" s="365">
        <v>0</v>
      </c>
      <c r="FN447" s="365">
        <v>0</v>
      </c>
      <c r="FO447" s="365">
        <v>0</v>
      </c>
      <c r="FP447" s="365">
        <v>0</v>
      </c>
      <c r="FQ447" s="365">
        <v>0</v>
      </c>
      <c r="FR447" s="365">
        <v>0</v>
      </c>
      <c r="FS447" s="365">
        <v>0</v>
      </c>
      <c r="FT447" s="365">
        <v>0</v>
      </c>
      <c r="FU447" s="436">
        <v>0</v>
      </c>
      <c r="FV447" s="436">
        <v>0</v>
      </c>
      <c r="FW447" s="436">
        <v>0</v>
      </c>
      <c r="FX447" s="436">
        <v>0</v>
      </c>
      <c r="FY447" s="365">
        <v>0</v>
      </c>
      <c r="FZ447" s="436">
        <v>0</v>
      </c>
      <c r="GA447" s="436">
        <v>0</v>
      </c>
      <c r="GB447" s="436">
        <v>0</v>
      </c>
      <c r="GC447" s="436">
        <v>0</v>
      </c>
      <c r="GD447" s="365">
        <v>0</v>
      </c>
    </row>
    <row r="448" spans="1:186" ht="15" x14ac:dyDescent="0.25">
      <c r="A448" s="357">
        <v>122</v>
      </c>
      <c r="B448" s="357">
        <v>120</v>
      </c>
      <c r="C448" s="357" t="s">
        <v>1358</v>
      </c>
      <c r="D448" s="2">
        <v>99712</v>
      </c>
      <c r="E448" s="268" t="s">
        <v>19</v>
      </c>
      <c r="F448" s="358" t="s">
        <v>915</v>
      </c>
      <c r="G448" s="49">
        <v>3</v>
      </c>
      <c r="H448" s="49">
        <v>1</v>
      </c>
      <c r="I448" s="49">
        <v>1</v>
      </c>
      <c r="J448" s="49">
        <v>0</v>
      </c>
      <c r="K448" s="49">
        <v>0</v>
      </c>
      <c r="L448" s="49">
        <v>1</v>
      </c>
      <c r="M448" s="49">
        <v>1</v>
      </c>
      <c r="N448" s="49">
        <v>0</v>
      </c>
      <c r="O448" s="49">
        <v>0</v>
      </c>
      <c r="P448" s="49">
        <v>0</v>
      </c>
      <c r="Q448" s="49">
        <v>1</v>
      </c>
      <c r="R448" s="49">
        <v>0</v>
      </c>
      <c r="S448" s="49">
        <v>2080</v>
      </c>
      <c r="T448" s="49">
        <v>2080</v>
      </c>
      <c r="U448" s="49">
        <v>0</v>
      </c>
      <c r="V448" s="49">
        <v>0</v>
      </c>
      <c r="W448" s="49">
        <v>0</v>
      </c>
      <c r="X448" s="49">
        <v>2080</v>
      </c>
      <c r="Y448" s="434">
        <v>2080</v>
      </c>
      <c r="Z448" s="434">
        <v>0</v>
      </c>
      <c r="AA448" s="49">
        <v>0</v>
      </c>
      <c r="AB448" s="49">
        <v>1</v>
      </c>
      <c r="AC448" s="49">
        <v>0</v>
      </c>
      <c r="AD448" s="285">
        <v>0</v>
      </c>
      <c r="AE448" s="285">
        <v>0</v>
      </c>
      <c r="AF448" s="359">
        <v>1</v>
      </c>
      <c r="AG448" s="360">
        <v>0</v>
      </c>
      <c r="AH448" s="360">
        <v>1</v>
      </c>
      <c r="AI448" s="361">
        <v>1</v>
      </c>
      <c r="AJ448" s="360">
        <v>0</v>
      </c>
      <c r="AK448" s="360">
        <v>0</v>
      </c>
      <c r="AL448" s="360">
        <v>0.90911424514573824</v>
      </c>
      <c r="AM448" s="360">
        <v>0.90911424514573824</v>
      </c>
      <c r="AN448" s="360">
        <v>0</v>
      </c>
      <c r="AO448" s="360">
        <v>0</v>
      </c>
      <c r="AP448" s="360">
        <v>0.91245411038790925</v>
      </c>
      <c r="AQ448" s="360">
        <v>0.91245411038790925</v>
      </c>
      <c r="AR448" s="360">
        <v>0</v>
      </c>
      <c r="AS448" s="360">
        <v>0</v>
      </c>
      <c r="AT448" s="360">
        <v>0</v>
      </c>
      <c r="AU448" s="360">
        <v>0.82648871072690544</v>
      </c>
      <c r="AV448" s="360">
        <v>0.86681754733851879</v>
      </c>
      <c r="AW448" s="360">
        <v>0.90911424514573824</v>
      </c>
      <c r="AX448" s="360">
        <v>0.95347482669745309</v>
      </c>
      <c r="AY448" s="360">
        <v>1</v>
      </c>
      <c r="AZ448" s="360">
        <v>0.83257250356379087</v>
      </c>
      <c r="BA448" s="360">
        <v>0.87159864792961517</v>
      </c>
      <c r="BB448" s="360">
        <v>0.91245411038790925</v>
      </c>
      <c r="BC448" s="360">
        <v>0.9552246387043779</v>
      </c>
      <c r="BD448" s="360">
        <v>1</v>
      </c>
      <c r="BE448" s="360">
        <v>0</v>
      </c>
      <c r="BF448" s="360">
        <v>0</v>
      </c>
      <c r="BG448" s="360">
        <v>0</v>
      </c>
      <c r="BH448" s="360">
        <v>0</v>
      </c>
      <c r="BI448" s="360">
        <v>0</v>
      </c>
      <c r="BJ448" s="362">
        <v>1.0134066054705759</v>
      </c>
      <c r="BK448" s="362">
        <v>1.0269929480113955</v>
      </c>
      <c r="BL448" s="362">
        <v>1.040761437286448</v>
      </c>
      <c r="BM448" s="363">
        <v>1.0339188874653549</v>
      </c>
      <c r="BN448" s="363">
        <v>1.0271213244071997</v>
      </c>
      <c r="BO448" s="363">
        <v>1.0238413935606208</v>
      </c>
      <c r="BP448" s="363">
        <v>1.02057193659488</v>
      </c>
      <c r="BQ448" s="363">
        <v>1.0173129200634858</v>
      </c>
      <c r="BR448" s="363">
        <v>1.014064310626752</v>
      </c>
      <c r="BS448" s="363">
        <v>1.0108260750514568</v>
      </c>
      <c r="BT448" s="363">
        <v>1.018303123011822</v>
      </c>
      <c r="BU448" s="363">
        <v>1.0258354784554244</v>
      </c>
      <c r="BV448" s="363">
        <v>1.0334235504899383</v>
      </c>
      <c r="BW448" s="363">
        <v>1.0410677512491946</v>
      </c>
      <c r="BX448" s="363">
        <v>1.0487684959155639</v>
      </c>
      <c r="BY448" s="435">
        <v>1.05299588967814</v>
      </c>
      <c r="BZ448" s="435">
        <v>1.057223283440716</v>
      </c>
      <c r="CA448" s="435">
        <v>1.0614506772032923</v>
      </c>
      <c r="CB448" s="435">
        <v>1.0656780709658684</v>
      </c>
      <c r="CC448" s="363">
        <v>1.0699054647284445</v>
      </c>
      <c r="CD448" s="435">
        <v>1.0733706781377681</v>
      </c>
      <c r="CE448" s="435">
        <v>1.0768358915470915</v>
      </c>
      <c r="CF448" s="435">
        <v>1.0803011049564151</v>
      </c>
      <c r="CG448" s="435">
        <v>1.0837663183657384</v>
      </c>
      <c r="CH448" s="363">
        <v>1.087231531775062</v>
      </c>
      <c r="CI448" s="362">
        <v>1.0134066054705759</v>
      </c>
      <c r="CJ448" s="362">
        <v>1.0269929480113955</v>
      </c>
      <c r="CK448" s="362">
        <v>1.040761437286448</v>
      </c>
      <c r="CL448" s="363">
        <v>1.0339188874653549</v>
      </c>
      <c r="CM448" s="363">
        <v>1.0271213244071997</v>
      </c>
      <c r="CN448" s="363">
        <v>1.0238413935606208</v>
      </c>
      <c r="CO448" s="363">
        <v>1.02057193659488</v>
      </c>
      <c r="CP448" s="363">
        <v>1.0173129200634858</v>
      </c>
      <c r="CQ448" s="363">
        <v>1.014064310626752</v>
      </c>
      <c r="CR448" s="363">
        <v>1.0108260750514568</v>
      </c>
      <c r="CS448" s="363">
        <v>1.018303123011822</v>
      </c>
      <c r="CT448" s="363">
        <v>1.0258354784554244</v>
      </c>
      <c r="CU448" s="363">
        <v>1.0334235504899383</v>
      </c>
      <c r="CV448" s="363">
        <v>1.0410677512491946</v>
      </c>
      <c r="CW448" s="363">
        <v>1.0487684959155639</v>
      </c>
      <c r="CX448" s="435">
        <v>1.05299588967814</v>
      </c>
      <c r="CY448" s="435">
        <v>1.057223283440716</v>
      </c>
      <c r="CZ448" s="435">
        <v>1.0614506772032923</v>
      </c>
      <c r="DA448" s="435">
        <v>1.0656780709658684</v>
      </c>
      <c r="DB448" s="363">
        <v>1.0699054647284445</v>
      </c>
      <c r="DC448" s="435">
        <v>1.0733706781377681</v>
      </c>
      <c r="DD448" s="435">
        <v>1.0768358915470915</v>
      </c>
      <c r="DE448" s="435">
        <v>1.0803011049564151</v>
      </c>
      <c r="DF448" s="435">
        <v>1.0837663183657384</v>
      </c>
      <c r="DG448" s="363">
        <v>1.087231531775062</v>
      </c>
      <c r="DH448" s="362">
        <v>0</v>
      </c>
      <c r="DI448" s="362">
        <v>0</v>
      </c>
      <c r="DJ448" s="362">
        <v>0</v>
      </c>
      <c r="DK448" s="363">
        <v>0</v>
      </c>
      <c r="DL448" s="363">
        <v>0</v>
      </c>
      <c r="DM448" s="363">
        <v>0</v>
      </c>
      <c r="DN448" s="363">
        <v>0</v>
      </c>
      <c r="DO448" s="363">
        <v>0</v>
      </c>
      <c r="DP448" s="363">
        <v>0</v>
      </c>
      <c r="DQ448" s="363">
        <v>0</v>
      </c>
      <c r="DR448" s="363">
        <v>0</v>
      </c>
      <c r="DS448" s="363">
        <v>0</v>
      </c>
      <c r="DT448" s="363">
        <v>0</v>
      </c>
      <c r="DU448" s="363">
        <v>0</v>
      </c>
      <c r="DV448" s="363">
        <v>0</v>
      </c>
      <c r="DW448" s="435">
        <v>0</v>
      </c>
      <c r="DX448" s="435">
        <v>0</v>
      </c>
      <c r="DY448" s="435">
        <v>0</v>
      </c>
      <c r="DZ448" s="435">
        <v>0</v>
      </c>
      <c r="EA448" s="363">
        <v>0</v>
      </c>
      <c r="EB448" s="435">
        <v>0</v>
      </c>
      <c r="EC448" s="435">
        <v>0</v>
      </c>
      <c r="ED448" s="435">
        <v>0</v>
      </c>
      <c r="EE448" s="435">
        <v>0</v>
      </c>
      <c r="EF448" s="363">
        <v>0</v>
      </c>
      <c r="EG448" s="364">
        <v>0</v>
      </c>
      <c r="EH448" s="364">
        <v>0</v>
      </c>
      <c r="EI448" s="364">
        <v>0</v>
      </c>
      <c r="EJ448" s="365">
        <v>0</v>
      </c>
      <c r="EK448" s="365">
        <v>0</v>
      </c>
      <c r="EL448" s="365">
        <v>0</v>
      </c>
      <c r="EM448" s="365">
        <v>0</v>
      </c>
      <c r="EN448" s="365">
        <v>0</v>
      </c>
      <c r="EO448" s="365">
        <v>0</v>
      </c>
      <c r="EP448" s="365">
        <v>0</v>
      </c>
      <c r="EQ448" s="365">
        <v>0</v>
      </c>
      <c r="ER448" s="365">
        <v>0</v>
      </c>
      <c r="ES448" s="365">
        <v>0</v>
      </c>
      <c r="ET448" s="365">
        <v>0</v>
      </c>
      <c r="EU448" s="365">
        <v>0</v>
      </c>
      <c r="EV448" s="436">
        <v>0</v>
      </c>
      <c r="EW448" s="436">
        <v>0</v>
      </c>
      <c r="EX448" s="436">
        <v>0</v>
      </c>
      <c r="EY448" s="436">
        <v>0</v>
      </c>
      <c r="EZ448" s="365">
        <v>0</v>
      </c>
      <c r="FA448" s="436">
        <v>0</v>
      </c>
      <c r="FB448" s="436">
        <v>0</v>
      </c>
      <c r="FC448" s="436">
        <v>0</v>
      </c>
      <c r="FD448" s="436">
        <v>0</v>
      </c>
      <c r="FE448" s="365">
        <v>0</v>
      </c>
      <c r="FF448" s="364">
        <v>0</v>
      </c>
      <c r="FG448" s="364">
        <v>0</v>
      </c>
      <c r="FH448" s="364">
        <v>0</v>
      </c>
      <c r="FI448" s="365">
        <v>0</v>
      </c>
      <c r="FJ448" s="365">
        <v>0</v>
      </c>
      <c r="FK448" s="365">
        <v>0</v>
      </c>
      <c r="FL448" s="365">
        <v>0</v>
      </c>
      <c r="FM448" s="365">
        <v>0</v>
      </c>
      <c r="FN448" s="365">
        <v>0</v>
      </c>
      <c r="FO448" s="365">
        <v>0</v>
      </c>
      <c r="FP448" s="365">
        <v>0</v>
      </c>
      <c r="FQ448" s="365">
        <v>0</v>
      </c>
      <c r="FR448" s="365">
        <v>0</v>
      </c>
      <c r="FS448" s="365">
        <v>0</v>
      </c>
      <c r="FT448" s="365">
        <v>0</v>
      </c>
      <c r="FU448" s="436">
        <v>0</v>
      </c>
      <c r="FV448" s="436">
        <v>0</v>
      </c>
      <c r="FW448" s="436">
        <v>0</v>
      </c>
      <c r="FX448" s="436">
        <v>0</v>
      </c>
      <c r="FY448" s="365">
        <v>0</v>
      </c>
      <c r="FZ448" s="436">
        <v>0</v>
      </c>
      <c r="GA448" s="436">
        <v>0</v>
      </c>
      <c r="GB448" s="436">
        <v>0</v>
      </c>
      <c r="GC448" s="436">
        <v>0</v>
      </c>
      <c r="GD448" s="365">
        <v>0</v>
      </c>
    </row>
    <row r="449" spans="1:186" ht="15" x14ac:dyDescent="0.25">
      <c r="A449" s="357">
        <v>138</v>
      </c>
      <c r="B449" s="357">
        <v>121</v>
      </c>
      <c r="C449" s="357" t="s">
        <v>1359</v>
      </c>
      <c r="D449" s="2">
        <v>99712</v>
      </c>
      <c r="E449" s="268" t="s">
        <v>19</v>
      </c>
      <c r="F449" s="358" t="s">
        <v>915</v>
      </c>
      <c r="G449" s="49">
        <v>28</v>
      </c>
      <c r="H449" s="49">
        <v>29</v>
      </c>
      <c r="I449" s="49">
        <v>12</v>
      </c>
      <c r="J449" s="49">
        <v>17</v>
      </c>
      <c r="K449" s="49">
        <v>0</v>
      </c>
      <c r="L449" s="49">
        <v>0</v>
      </c>
      <c r="M449" s="49">
        <v>0</v>
      </c>
      <c r="N449" s="49">
        <v>0</v>
      </c>
      <c r="O449" s="49">
        <v>0</v>
      </c>
      <c r="P449" s="49">
        <v>0</v>
      </c>
      <c r="Q449" s="49">
        <v>0</v>
      </c>
      <c r="R449" s="49">
        <v>0</v>
      </c>
      <c r="S449" s="49">
        <v>834.49503068156923</v>
      </c>
      <c r="T449" s="49">
        <v>834.49503068156923</v>
      </c>
      <c r="U449" s="49">
        <v>1408.3846153846155</v>
      </c>
      <c r="V449" s="49">
        <v>0</v>
      </c>
      <c r="W449" s="49">
        <v>0</v>
      </c>
      <c r="X449" s="49">
        <v>1365.173957061457</v>
      </c>
      <c r="Y449" s="434">
        <v>0</v>
      </c>
      <c r="Z449" s="434">
        <v>0</v>
      </c>
      <c r="AA449" s="49">
        <v>0.66445772695772698</v>
      </c>
      <c r="AB449" s="49">
        <v>28.29786036036036</v>
      </c>
      <c r="AC449" s="49">
        <v>3.7681912681912684E-2</v>
      </c>
      <c r="AD449" s="285">
        <v>0</v>
      </c>
      <c r="AE449" s="285">
        <v>0</v>
      </c>
      <c r="AF449" s="359">
        <v>29</v>
      </c>
      <c r="AG449" s="360">
        <v>0.27494802494802495</v>
      </c>
      <c r="AH449" s="360">
        <v>11.70945945945946</v>
      </c>
      <c r="AI449" s="361">
        <v>11.984407484407484</v>
      </c>
      <c r="AJ449" s="360">
        <v>1.5592515592515595E-2</v>
      </c>
      <c r="AK449" s="360">
        <v>0.60406798487442703</v>
      </c>
      <c r="AL449" s="360">
        <v>25.725987960748515</v>
      </c>
      <c r="AM449" s="360">
        <v>26.330055945622941</v>
      </c>
      <c r="AN449" s="360">
        <v>3.4257163603464667E-2</v>
      </c>
      <c r="AO449" s="360">
        <v>0.2508774555068628</v>
      </c>
      <c r="AP449" s="360">
        <v>10.68434441420437</v>
      </c>
      <c r="AQ449" s="360">
        <v>10.935221869711233</v>
      </c>
      <c r="AR449" s="360">
        <v>1.4227454943678421E-2</v>
      </c>
      <c r="AS449" s="360">
        <v>0</v>
      </c>
      <c r="AT449" s="360">
        <v>0</v>
      </c>
      <c r="AU449" s="360">
        <v>23.937028935650062</v>
      </c>
      <c r="AV449" s="360">
        <v>25.105045529687086</v>
      </c>
      <c r="AW449" s="360">
        <v>26.330055945622945</v>
      </c>
      <c r="AX449" s="360">
        <v>27.614841219062125</v>
      </c>
      <c r="AY449" s="360">
        <v>28.962318087318089</v>
      </c>
      <c r="AZ449" s="360">
        <v>9.9778881430217723</v>
      </c>
      <c r="BA449" s="360">
        <v>10.445593359647123</v>
      </c>
      <c r="BB449" s="360">
        <v>10.935221869711231</v>
      </c>
      <c r="BC449" s="360">
        <v>11.447801309379182</v>
      </c>
      <c r="BD449" s="360">
        <v>11.984407484407484</v>
      </c>
      <c r="BE449" s="360">
        <v>0</v>
      </c>
      <c r="BF449" s="360">
        <v>0</v>
      </c>
      <c r="BG449" s="360">
        <v>0</v>
      </c>
      <c r="BH449" s="360">
        <v>0</v>
      </c>
      <c r="BI449" s="360">
        <v>0</v>
      </c>
      <c r="BJ449" s="362">
        <v>29.350604459428087</v>
      </c>
      <c r="BK449" s="362">
        <v>29.744096433738566</v>
      </c>
      <c r="BL449" s="362">
        <v>30.142863799704465</v>
      </c>
      <c r="BM449" s="363">
        <v>29.944687695257649</v>
      </c>
      <c r="BN449" s="363">
        <v>29.747814511748754</v>
      </c>
      <c r="BO449" s="363">
        <v>29.652820111265722</v>
      </c>
      <c r="BP449" s="363">
        <v>29.558129058651144</v>
      </c>
      <c r="BQ449" s="363">
        <v>29.463740385217076</v>
      </c>
      <c r="BR449" s="363">
        <v>29.369653125368931</v>
      </c>
      <c r="BS449" s="363">
        <v>29.275866316595561</v>
      </c>
      <c r="BT449" s="363">
        <v>29.492418957977794</v>
      </c>
      <c r="BU449" s="363">
        <v>29.710573432282146</v>
      </c>
      <c r="BV449" s="363">
        <v>29.930341588215217</v>
      </c>
      <c r="BW449" s="363">
        <v>30.151735362128118</v>
      </c>
      <c r="BX449" s="363">
        <v>30.374766778664725</v>
      </c>
      <c r="BY449" s="435">
        <v>30.497201901496801</v>
      </c>
      <c r="BZ449" s="435">
        <v>30.619637024328874</v>
      </c>
      <c r="CA449" s="435">
        <v>30.74207214716095</v>
      </c>
      <c r="CB449" s="435">
        <v>30.864507269993023</v>
      </c>
      <c r="CC449" s="363">
        <v>30.9869423928251</v>
      </c>
      <c r="CD449" s="435">
        <v>31.087303005826367</v>
      </c>
      <c r="CE449" s="435">
        <v>31.187663618827631</v>
      </c>
      <c r="CF449" s="435">
        <v>31.288024231828899</v>
      </c>
      <c r="CG449" s="435">
        <v>31.388384844830163</v>
      </c>
      <c r="CH449" s="363">
        <v>31.488745457831431</v>
      </c>
      <c r="CI449" s="362">
        <v>12.145077707349552</v>
      </c>
      <c r="CJ449" s="362">
        <v>12.307901972581474</v>
      </c>
      <c r="CK449" s="362">
        <v>12.472909158498398</v>
      </c>
      <c r="CL449" s="363">
        <v>12.390905253210059</v>
      </c>
      <c r="CM449" s="363">
        <v>12.309440487620174</v>
      </c>
      <c r="CN449" s="363">
        <v>12.270132459834091</v>
      </c>
      <c r="CO449" s="363">
        <v>12.23094995530392</v>
      </c>
      <c r="CP449" s="363">
        <v>12.191892573193272</v>
      </c>
      <c r="CQ449" s="363">
        <v>12.152959913945763</v>
      </c>
      <c r="CR449" s="363">
        <v>12.114151579280922</v>
      </c>
      <c r="CS449" s="363">
        <v>12.203759568818397</v>
      </c>
      <c r="CT449" s="363">
        <v>12.29403038577192</v>
      </c>
      <c r="CU449" s="363">
        <v>12.384968933054573</v>
      </c>
      <c r="CV449" s="363">
        <v>12.476580149846116</v>
      </c>
      <c r="CW449" s="363">
        <v>12.568869011861265</v>
      </c>
      <c r="CX449" s="435">
        <v>12.619531821309019</v>
      </c>
      <c r="CY449" s="435">
        <v>12.670194630756775</v>
      </c>
      <c r="CZ449" s="435">
        <v>12.720857440204529</v>
      </c>
      <c r="DA449" s="435">
        <v>12.771520249652285</v>
      </c>
      <c r="DB449" s="363">
        <v>12.822183059100039</v>
      </c>
      <c r="DC449" s="435">
        <v>12.863711588617806</v>
      </c>
      <c r="DD449" s="435">
        <v>12.905240118135572</v>
      </c>
      <c r="DE449" s="435">
        <v>12.946768647653336</v>
      </c>
      <c r="DF449" s="435">
        <v>12.988297177171102</v>
      </c>
      <c r="DG449" s="363">
        <v>13.029825706688868</v>
      </c>
      <c r="DH449" s="362">
        <v>0</v>
      </c>
      <c r="DI449" s="362">
        <v>0</v>
      </c>
      <c r="DJ449" s="362">
        <v>0</v>
      </c>
      <c r="DK449" s="363">
        <v>0</v>
      </c>
      <c r="DL449" s="363">
        <v>0</v>
      </c>
      <c r="DM449" s="363">
        <v>0</v>
      </c>
      <c r="DN449" s="363">
        <v>0</v>
      </c>
      <c r="DO449" s="363">
        <v>0</v>
      </c>
      <c r="DP449" s="363">
        <v>0</v>
      </c>
      <c r="DQ449" s="363">
        <v>0</v>
      </c>
      <c r="DR449" s="363">
        <v>0</v>
      </c>
      <c r="DS449" s="363">
        <v>0</v>
      </c>
      <c r="DT449" s="363">
        <v>0</v>
      </c>
      <c r="DU449" s="363">
        <v>0</v>
      </c>
      <c r="DV449" s="363">
        <v>0</v>
      </c>
      <c r="DW449" s="435">
        <v>0</v>
      </c>
      <c r="DX449" s="435">
        <v>0</v>
      </c>
      <c r="DY449" s="435">
        <v>0</v>
      </c>
      <c r="DZ449" s="435">
        <v>0</v>
      </c>
      <c r="EA449" s="363">
        <v>0</v>
      </c>
      <c r="EB449" s="435">
        <v>0</v>
      </c>
      <c r="EC449" s="435">
        <v>0</v>
      </c>
      <c r="ED449" s="435">
        <v>0</v>
      </c>
      <c r="EE449" s="435">
        <v>0</v>
      </c>
      <c r="EF449" s="363">
        <v>0</v>
      </c>
      <c r="EG449" s="364">
        <v>3.818709921861578E-2</v>
      </c>
      <c r="EH449" s="364">
        <v>3.8699058591905498E-2</v>
      </c>
      <c r="EI449" s="364">
        <v>3.9217881602529876E-2</v>
      </c>
      <c r="EJ449" s="365">
        <v>3.896004123764981E-2</v>
      </c>
      <c r="EK449" s="365">
        <v>3.8703896060042611E-2</v>
      </c>
      <c r="EL449" s="365">
        <v>3.858030199227911E-2</v>
      </c>
      <c r="EM449" s="365">
        <v>3.8457102600378795E-2</v>
      </c>
      <c r="EN449" s="365">
        <v>3.8334296624013893E-2</v>
      </c>
      <c r="EO449" s="365">
        <v>3.8211882806881252E-2</v>
      </c>
      <c r="EP449" s="365">
        <v>3.8089859896689511E-2</v>
      </c>
      <c r="EQ449" s="365">
        <v>3.837160936505047E-2</v>
      </c>
      <c r="ER449" s="365">
        <v>3.8655442925165422E-2</v>
      </c>
      <c r="ES449" s="365">
        <v>3.8941375992994035E-2</v>
      </c>
      <c r="ET449" s="365">
        <v>3.9229424098527345E-2</v>
      </c>
      <c r="EU449" s="365">
        <v>3.9519602886631179E-2</v>
      </c>
      <c r="EV449" s="436">
        <v>3.9678899169264634E-2</v>
      </c>
      <c r="EW449" s="436">
        <v>3.9838195451898088E-2</v>
      </c>
      <c r="EX449" s="436">
        <v>3.999749173453155E-2</v>
      </c>
      <c r="EY449" s="436">
        <v>4.0156788017165004E-2</v>
      </c>
      <c r="EZ449" s="365">
        <v>4.0316084299798459E-2</v>
      </c>
      <c r="FA449" s="436">
        <v>4.0446660168912782E-2</v>
      </c>
      <c r="FB449" s="436">
        <v>4.0577236038027098E-2</v>
      </c>
      <c r="FC449" s="436">
        <v>4.0707811907141421E-2</v>
      </c>
      <c r="FD449" s="436">
        <v>4.0838387776255737E-2</v>
      </c>
      <c r="FE449" s="365">
        <v>4.096896364537006E-2</v>
      </c>
      <c r="FF449" s="364">
        <v>0</v>
      </c>
      <c r="FG449" s="364">
        <v>0</v>
      </c>
      <c r="FH449" s="364">
        <v>0</v>
      </c>
      <c r="FI449" s="365">
        <v>0</v>
      </c>
      <c r="FJ449" s="365">
        <v>0</v>
      </c>
      <c r="FK449" s="365">
        <v>0</v>
      </c>
      <c r="FL449" s="365">
        <v>0</v>
      </c>
      <c r="FM449" s="365">
        <v>0</v>
      </c>
      <c r="FN449" s="365">
        <v>0</v>
      </c>
      <c r="FO449" s="365">
        <v>0</v>
      </c>
      <c r="FP449" s="365">
        <v>0</v>
      </c>
      <c r="FQ449" s="365">
        <v>0</v>
      </c>
      <c r="FR449" s="365">
        <v>0</v>
      </c>
      <c r="FS449" s="365">
        <v>0</v>
      </c>
      <c r="FT449" s="365">
        <v>0</v>
      </c>
      <c r="FU449" s="436">
        <v>0</v>
      </c>
      <c r="FV449" s="436">
        <v>0</v>
      </c>
      <c r="FW449" s="436">
        <v>0</v>
      </c>
      <c r="FX449" s="436">
        <v>0</v>
      </c>
      <c r="FY449" s="365">
        <v>0</v>
      </c>
      <c r="FZ449" s="436">
        <v>0</v>
      </c>
      <c r="GA449" s="436">
        <v>0</v>
      </c>
      <c r="GB449" s="436">
        <v>0</v>
      </c>
      <c r="GC449" s="436">
        <v>0</v>
      </c>
      <c r="GD449" s="365">
        <v>0</v>
      </c>
    </row>
    <row r="450" spans="1:186" ht="15" x14ac:dyDescent="0.25">
      <c r="A450" s="357">
        <v>160</v>
      </c>
      <c r="B450" s="357">
        <v>121</v>
      </c>
      <c r="C450" s="357" t="s">
        <v>1360</v>
      </c>
      <c r="D450" s="2">
        <v>99712</v>
      </c>
      <c r="E450" s="268" t="s">
        <v>19</v>
      </c>
      <c r="F450" s="358" t="s">
        <v>915</v>
      </c>
      <c r="G450" s="49">
        <v>8</v>
      </c>
      <c r="H450" s="49">
        <v>13</v>
      </c>
      <c r="I450" s="49">
        <v>5</v>
      </c>
      <c r="J450" s="49">
        <v>8</v>
      </c>
      <c r="K450" s="49">
        <v>0</v>
      </c>
      <c r="L450" s="49">
        <v>0</v>
      </c>
      <c r="M450" s="49">
        <v>0</v>
      </c>
      <c r="N450" s="49">
        <v>0</v>
      </c>
      <c r="O450" s="49">
        <v>0</v>
      </c>
      <c r="P450" s="49">
        <v>0</v>
      </c>
      <c r="Q450" s="49">
        <v>0</v>
      </c>
      <c r="R450" s="49">
        <v>0</v>
      </c>
      <c r="S450" s="49">
        <v>834.49503068156923</v>
      </c>
      <c r="T450" s="49">
        <v>834.49503068156923</v>
      </c>
      <c r="U450" s="49">
        <v>1408.3846153846155</v>
      </c>
      <c r="V450" s="49">
        <v>0</v>
      </c>
      <c r="W450" s="49">
        <v>0</v>
      </c>
      <c r="X450" s="49">
        <v>1365.173957061457</v>
      </c>
      <c r="Y450" s="434">
        <v>0</v>
      </c>
      <c r="Z450" s="434">
        <v>0</v>
      </c>
      <c r="AA450" s="49">
        <v>0.29786036036036034</v>
      </c>
      <c r="AB450" s="49">
        <v>12.685247747747749</v>
      </c>
      <c r="AC450" s="49">
        <v>1.6891891891891893E-2</v>
      </c>
      <c r="AD450" s="285">
        <v>0</v>
      </c>
      <c r="AE450" s="285">
        <v>0</v>
      </c>
      <c r="AF450" s="359">
        <v>13</v>
      </c>
      <c r="AG450" s="360">
        <v>0.11456167706167705</v>
      </c>
      <c r="AH450" s="360">
        <v>4.8789414414414418</v>
      </c>
      <c r="AI450" s="361">
        <v>4.9935031185031189</v>
      </c>
      <c r="AJ450" s="360">
        <v>6.4968814968814964E-3</v>
      </c>
      <c r="AK450" s="360">
        <v>0.27078909666784656</v>
      </c>
      <c r="AL450" s="360">
        <v>11.53233943068037</v>
      </c>
      <c r="AM450" s="360">
        <v>11.803128527348216</v>
      </c>
      <c r="AN450" s="360">
        <v>1.5356659546380713E-2</v>
      </c>
      <c r="AO450" s="360">
        <v>0.10453227312785948</v>
      </c>
      <c r="AP450" s="360">
        <v>4.4518101725851542</v>
      </c>
      <c r="AQ450" s="360">
        <v>4.5563424457130139</v>
      </c>
      <c r="AR450" s="360">
        <v>5.9281062265326744E-3</v>
      </c>
      <c r="AS450" s="360">
        <v>0</v>
      </c>
      <c r="AT450" s="360">
        <v>0</v>
      </c>
      <c r="AU450" s="360">
        <v>10.730392281498304</v>
      </c>
      <c r="AV450" s="360">
        <v>11.253985927101107</v>
      </c>
      <c r="AW450" s="360">
        <v>11.803128527348218</v>
      </c>
      <c r="AX450" s="360">
        <v>12.379066753372678</v>
      </c>
      <c r="AY450" s="360">
        <v>12.983108108108109</v>
      </c>
      <c r="AZ450" s="360">
        <v>4.1574533929257385</v>
      </c>
      <c r="BA450" s="360">
        <v>4.352330566519635</v>
      </c>
      <c r="BB450" s="360">
        <v>4.5563424457130139</v>
      </c>
      <c r="BC450" s="360">
        <v>4.7699172122413263</v>
      </c>
      <c r="BD450" s="360">
        <v>4.9935031185031189</v>
      </c>
      <c r="BE450" s="360">
        <v>0</v>
      </c>
      <c r="BF450" s="360">
        <v>0</v>
      </c>
      <c r="BG450" s="360">
        <v>0</v>
      </c>
      <c r="BH450" s="360">
        <v>0</v>
      </c>
      <c r="BI450" s="360">
        <v>0</v>
      </c>
      <c r="BJ450" s="362">
        <v>13.157167516295349</v>
      </c>
      <c r="BK450" s="362">
        <v>13.333560470296598</v>
      </c>
      <c r="BL450" s="362">
        <v>13.512318255039931</v>
      </c>
      <c r="BM450" s="363">
        <v>13.423480690977565</v>
      </c>
      <c r="BN450" s="363">
        <v>13.335227194921854</v>
      </c>
      <c r="BO450" s="363">
        <v>13.292643498153598</v>
      </c>
      <c r="BP450" s="363">
        <v>13.250195784912581</v>
      </c>
      <c r="BQ450" s="363">
        <v>13.207883620959379</v>
      </c>
      <c r="BR450" s="363">
        <v>13.165706573441243</v>
      </c>
      <c r="BS450" s="363">
        <v>13.123664210887664</v>
      </c>
      <c r="BT450" s="363">
        <v>13.220739532886595</v>
      </c>
      <c r="BU450" s="363">
        <v>13.318532917919581</v>
      </c>
      <c r="BV450" s="363">
        <v>13.417049677475786</v>
      </c>
      <c r="BW450" s="363">
        <v>13.516295162333293</v>
      </c>
      <c r="BX450" s="363">
        <v>13.616274762849702</v>
      </c>
      <c r="BY450" s="435">
        <v>13.671159473084771</v>
      </c>
      <c r="BZ450" s="435">
        <v>13.726044183319839</v>
      </c>
      <c r="CA450" s="435">
        <v>13.780928893554906</v>
      </c>
      <c r="CB450" s="435">
        <v>13.835813603789974</v>
      </c>
      <c r="CC450" s="363">
        <v>13.890698314025043</v>
      </c>
      <c r="CD450" s="435">
        <v>13.935687554335956</v>
      </c>
      <c r="CE450" s="435">
        <v>13.980676794646868</v>
      </c>
      <c r="CF450" s="435">
        <v>14.025666034957782</v>
      </c>
      <c r="CG450" s="435">
        <v>14.070655275268694</v>
      </c>
      <c r="CH450" s="363">
        <v>14.115644515579607</v>
      </c>
      <c r="CI450" s="362">
        <v>5.0604490447289807</v>
      </c>
      <c r="CJ450" s="362">
        <v>5.1282924885756147</v>
      </c>
      <c r="CK450" s="362">
        <v>5.197045482707666</v>
      </c>
      <c r="CL450" s="363">
        <v>5.1628771888375251</v>
      </c>
      <c r="CM450" s="363">
        <v>5.1289335365084057</v>
      </c>
      <c r="CN450" s="363">
        <v>5.1125551915975382</v>
      </c>
      <c r="CO450" s="363">
        <v>5.0962291480433004</v>
      </c>
      <c r="CP450" s="363">
        <v>5.0799552388305305</v>
      </c>
      <c r="CQ450" s="363">
        <v>5.063733297477401</v>
      </c>
      <c r="CR450" s="363">
        <v>5.047563158033717</v>
      </c>
      <c r="CS450" s="363">
        <v>5.0848998203409987</v>
      </c>
      <c r="CT450" s="363">
        <v>5.1225126607383009</v>
      </c>
      <c r="CU450" s="363">
        <v>5.1604037221060715</v>
      </c>
      <c r="CV450" s="363">
        <v>5.1985750624358822</v>
      </c>
      <c r="CW450" s="363">
        <v>5.2370287549421937</v>
      </c>
      <c r="CX450" s="435">
        <v>5.2581382588787582</v>
      </c>
      <c r="CY450" s="435">
        <v>5.2792477628153227</v>
      </c>
      <c r="CZ450" s="435">
        <v>5.3003572667518872</v>
      </c>
      <c r="DA450" s="435">
        <v>5.3214667706884518</v>
      </c>
      <c r="DB450" s="363">
        <v>5.3425762746250163</v>
      </c>
      <c r="DC450" s="435">
        <v>5.3598798285907518</v>
      </c>
      <c r="DD450" s="435">
        <v>5.3771833825564874</v>
      </c>
      <c r="DE450" s="435">
        <v>5.3944869365222239</v>
      </c>
      <c r="DF450" s="435">
        <v>5.4117904904879595</v>
      </c>
      <c r="DG450" s="363">
        <v>5.429094044453695</v>
      </c>
      <c r="DH450" s="362">
        <v>0</v>
      </c>
      <c r="DI450" s="362">
        <v>0</v>
      </c>
      <c r="DJ450" s="362">
        <v>0</v>
      </c>
      <c r="DK450" s="363">
        <v>0</v>
      </c>
      <c r="DL450" s="363">
        <v>0</v>
      </c>
      <c r="DM450" s="363">
        <v>0</v>
      </c>
      <c r="DN450" s="363">
        <v>0</v>
      </c>
      <c r="DO450" s="363">
        <v>0</v>
      </c>
      <c r="DP450" s="363">
        <v>0</v>
      </c>
      <c r="DQ450" s="363">
        <v>0</v>
      </c>
      <c r="DR450" s="363">
        <v>0</v>
      </c>
      <c r="DS450" s="363">
        <v>0</v>
      </c>
      <c r="DT450" s="363">
        <v>0</v>
      </c>
      <c r="DU450" s="363">
        <v>0</v>
      </c>
      <c r="DV450" s="363">
        <v>0</v>
      </c>
      <c r="DW450" s="435">
        <v>0</v>
      </c>
      <c r="DX450" s="435">
        <v>0</v>
      </c>
      <c r="DY450" s="435">
        <v>0</v>
      </c>
      <c r="DZ450" s="435">
        <v>0</v>
      </c>
      <c r="EA450" s="363">
        <v>0</v>
      </c>
      <c r="EB450" s="435">
        <v>0</v>
      </c>
      <c r="EC450" s="435">
        <v>0</v>
      </c>
      <c r="ED450" s="435">
        <v>0</v>
      </c>
      <c r="EE450" s="435">
        <v>0</v>
      </c>
      <c r="EF450" s="363">
        <v>0</v>
      </c>
      <c r="EG450" s="364">
        <v>1.7118354822138106E-2</v>
      </c>
      <c r="EH450" s="364">
        <v>1.7347853851543846E-2</v>
      </c>
      <c r="EI450" s="364">
        <v>1.7580429683892704E-2</v>
      </c>
      <c r="EJ450" s="365">
        <v>1.7464846072049917E-2</v>
      </c>
      <c r="EK450" s="365">
        <v>1.7350022371743243E-2</v>
      </c>
      <c r="EL450" s="365">
        <v>1.7294618134469947E-2</v>
      </c>
      <c r="EM450" s="365">
        <v>1.7239390820859461E-2</v>
      </c>
      <c r="EN450" s="365">
        <v>1.7184339865937263E-2</v>
      </c>
      <c r="EO450" s="365">
        <v>1.7129464706532975E-2</v>
      </c>
      <c r="EP450" s="365">
        <v>1.707476478127461E-2</v>
      </c>
      <c r="EQ450" s="365">
        <v>1.7201066267091593E-2</v>
      </c>
      <c r="ER450" s="365">
        <v>1.7328302000936224E-2</v>
      </c>
      <c r="ES450" s="365">
        <v>1.745647889341112E-2</v>
      </c>
      <c r="ET450" s="365">
        <v>1.7585603906236397E-2</v>
      </c>
      <c r="EU450" s="365">
        <v>1.7715684052627769E-2</v>
      </c>
      <c r="EV450" s="436">
        <v>1.7787092731049663E-2</v>
      </c>
      <c r="EW450" s="436">
        <v>1.7858501409471556E-2</v>
      </c>
      <c r="EX450" s="436">
        <v>1.7929910087893453E-2</v>
      </c>
      <c r="EY450" s="436">
        <v>1.8001318766315347E-2</v>
      </c>
      <c r="EZ450" s="365">
        <v>1.807272744473724E-2</v>
      </c>
      <c r="FA450" s="436">
        <v>1.8131261455029867E-2</v>
      </c>
      <c r="FB450" s="436">
        <v>1.8189795465322494E-2</v>
      </c>
      <c r="FC450" s="436">
        <v>1.8248329475615121E-2</v>
      </c>
      <c r="FD450" s="436">
        <v>1.8306863485907748E-2</v>
      </c>
      <c r="FE450" s="365">
        <v>1.8365397496200375E-2</v>
      </c>
      <c r="FF450" s="364">
        <v>0</v>
      </c>
      <c r="FG450" s="364">
        <v>0</v>
      </c>
      <c r="FH450" s="364">
        <v>0</v>
      </c>
      <c r="FI450" s="365">
        <v>0</v>
      </c>
      <c r="FJ450" s="365">
        <v>0</v>
      </c>
      <c r="FK450" s="365">
        <v>0</v>
      </c>
      <c r="FL450" s="365">
        <v>0</v>
      </c>
      <c r="FM450" s="365">
        <v>0</v>
      </c>
      <c r="FN450" s="365">
        <v>0</v>
      </c>
      <c r="FO450" s="365">
        <v>0</v>
      </c>
      <c r="FP450" s="365">
        <v>0</v>
      </c>
      <c r="FQ450" s="365">
        <v>0</v>
      </c>
      <c r="FR450" s="365">
        <v>0</v>
      </c>
      <c r="FS450" s="365">
        <v>0</v>
      </c>
      <c r="FT450" s="365">
        <v>0</v>
      </c>
      <c r="FU450" s="436">
        <v>0</v>
      </c>
      <c r="FV450" s="436">
        <v>0</v>
      </c>
      <c r="FW450" s="436">
        <v>0</v>
      </c>
      <c r="FX450" s="436">
        <v>0</v>
      </c>
      <c r="FY450" s="365">
        <v>0</v>
      </c>
      <c r="FZ450" s="436">
        <v>0</v>
      </c>
      <c r="GA450" s="436">
        <v>0</v>
      </c>
      <c r="GB450" s="436">
        <v>0</v>
      </c>
      <c r="GC450" s="436">
        <v>0</v>
      </c>
      <c r="GD450" s="365">
        <v>0</v>
      </c>
    </row>
    <row r="451" spans="1:186" ht="15" x14ac:dyDescent="0.25">
      <c r="A451" s="357">
        <v>103</v>
      </c>
      <c r="B451" s="357">
        <v>122</v>
      </c>
      <c r="C451" s="357" t="s">
        <v>1361</v>
      </c>
      <c r="D451" s="2">
        <v>99712</v>
      </c>
      <c r="E451" s="268" t="s">
        <v>19</v>
      </c>
      <c r="F451" s="358" t="s">
        <v>915</v>
      </c>
      <c r="G451" s="49">
        <v>0</v>
      </c>
      <c r="H451" s="49">
        <v>1</v>
      </c>
      <c r="I451" s="49">
        <v>0</v>
      </c>
      <c r="J451" s="49">
        <v>1</v>
      </c>
      <c r="K451" s="49">
        <v>0</v>
      </c>
      <c r="L451" s="49">
        <v>0</v>
      </c>
      <c r="M451" s="49">
        <v>0</v>
      </c>
      <c r="N451" s="49">
        <v>0</v>
      </c>
      <c r="O451" s="49">
        <v>0</v>
      </c>
      <c r="P451" s="49">
        <v>0</v>
      </c>
      <c r="Q451" s="49">
        <v>0</v>
      </c>
      <c r="R451" s="49">
        <v>0</v>
      </c>
      <c r="S451" s="49">
        <v>834.49503068156923</v>
      </c>
      <c r="T451" s="49">
        <v>834.49503068156923</v>
      </c>
      <c r="U451" s="49">
        <v>1408.3846153846155</v>
      </c>
      <c r="V451" s="49">
        <v>0</v>
      </c>
      <c r="W451" s="49">
        <v>0</v>
      </c>
      <c r="X451" s="49">
        <v>1365.173957061457</v>
      </c>
      <c r="Y451" s="434">
        <v>0</v>
      </c>
      <c r="Z451" s="434">
        <v>0</v>
      </c>
      <c r="AA451" s="49">
        <v>2.2912335412335411E-2</v>
      </c>
      <c r="AB451" s="49">
        <v>0.97578828828828834</v>
      </c>
      <c r="AC451" s="49">
        <v>1.2993762993762994E-3</v>
      </c>
      <c r="AD451" s="285">
        <v>0</v>
      </c>
      <c r="AE451" s="285">
        <v>0</v>
      </c>
      <c r="AF451" s="359">
        <v>1</v>
      </c>
      <c r="AG451" s="360">
        <v>0</v>
      </c>
      <c r="AH451" s="360">
        <v>0</v>
      </c>
      <c r="AI451" s="361">
        <v>0</v>
      </c>
      <c r="AJ451" s="360">
        <v>0</v>
      </c>
      <c r="AK451" s="360">
        <v>2.0829930512911272E-2</v>
      </c>
      <c r="AL451" s="360">
        <v>0.8871030331292592</v>
      </c>
      <c r="AM451" s="360">
        <v>0.90793296364217047</v>
      </c>
      <c r="AN451" s="360">
        <v>1.1812815035677471E-3</v>
      </c>
      <c r="AO451" s="360">
        <v>0</v>
      </c>
      <c r="AP451" s="360">
        <v>0</v>
      </c>
      <c r="AQ451" s="360">
        <v>0</v>
      </c>
      <c r="AR451" s="360">
        <v>0</v>
      </c>
      <c r="AS451" s="360">
        <v>0</v>
      </c>
      <c r="AT451" s="360">
        <v>0</v>
      </c>
      <c r="AU451" s="360">
        <v>0.82541479088448488</v>
      </c>
      <c r="AV451" s="360">
        <v>0.86569122516162356</v>
      </c>
      <c r="AW451" s="360">
        <v>0.90793296364217047</v>
      </c>
      <c r="AX451" s="360">
        <v>0.95223590410559056</v>
      </c>
      <c r="AY451" s="360">
        <v>0.99870062370062374</v>
      </c>
      <c r="AZ451" s="360">
        <v>0</v>
      </c>
      <c r="BA451" s="360">
        <v>0</v>
      </c>
      <c r="BB451" s="360">
        <v>0</v>
      </c>
      <c r="BC451" s="360">
        <v>0</v>
      </c>
      <c r="BD451" s="360">
        <v>0</v>
      </c>
      <c r="BE451" s="360">
        <v>0</v>
      </c>
      <c r="BF451" s="360">
        <v>0</v>
      </c>
      <c r="BG451" s="360">
        <v>0</v>
      </c>
      <c r="BH451" s="360">
        <v>0</v>
      </c>
      <c r="BI451" s="360">
        <v>0</v>
      </c>
      <c r="BJ451" s="362">
        <v>1.0120898089457961</v>
      </c>
      <c r="BK451" s="362">
        <v>1.0256584977151229</v>
      </c>
      <c r="BL451" s="362">
        <v>1.0394090965415332</v>
      </c>
      <c r="BM451" s="363">
        <v>1.0325754377675052</v>
      </c>
      <c r="BN451" s="363">
        <v>1.0257867073016811</v>
      </c>
      <c r="BO451" s="363">
        <v>1.0225110383195077</v>
      </c>
      <c r="BP451" s="363">
        <v>1.0192458296086602</v>
      </c>
      <c r="BQ451" s="363">
        <v>1.015991047766106</v>
      </c>
      <c r="BR451" s="363">
        <v>1.0127466594954804</v>
      </c>
      <c r="BS451" s="363">
        <v>1.0095126316067435</v>
      </c>
      <c r="BT451" s="363">
        <v>1.0169799640681998</v>
      </c>
      <c r="BU451" s="363">
        <v>1.0245025321476602</v>
      </c>
      <c r="BV451" s="363">
        <v>1.0320807444212143</v>
      </c>
      <c r="BW451" s="363">
        <v>1.0397150124871766</v>
      </c>
      <c r="BX451" s="363">
        <v>1.0474057509884387</v>
      </c>
      <c r="BY451" s="435">
        <v>1.0516276517757517</v>
      </c>
      <c r="BZ451" s="435">
        <v>1.0558495525630647</v>
      </c>
      <c r="CA451" s="435">
        <v>1.0600714533503774</v>
      </c>
      <c r="CB451" s="435">
        <v>1.0642933541376904</v>
      </c>
      <c r="CC451" s="363">
        <v>1.0685152549250034</v>
      </c>
      <c r="CD451" s="435">
        <v>1.0719759657181505</v>
      </c>
      <c r="CE451" s="435">
        <v>1.0754366765112977</v>
      </c>
      <c r="CF451" s="435">
        <v>1.0788973873044447</v>
      </c>
      <c r="CG451" s="435">
        <v>1.082358098097592</v>
      </c>
      <c r="CH451" s="363">
        <v>1.085818808890739</v>
      </c>
      <c r="CI451" s="362">
        <v>0</v>
      </c>
      <c r="CJ451" s="362">
        <v>0</v>
      </c>
      <c r="CK451" s="362">
        <v>0</v>
      </c>
      <c r="CL451" s="363">
        <v>0</v>
      </c>
      <c r="CM451" s="363">
        <v>0</v>
      </c>
      <c r="CN451" s="363">
        <v>0</v>
      </c>
      <c r="CO451" s="363">
        <v>0</v>
      </c>
      <c r="CP451" s="363">
        <v>0</v>
      </c>
      <c r="CQ451" s="363">
        <v>0</v>
      </c>
      <c r="CR451" s="363">
        <v>0</v>
      </c>
      <c r="CS451" s="363">
        <v>0</v>
      </c>
      <c r="CT451" s="363">
        <v>0</v>
      </c>
      <c r="CU451" s="363">
        <v>0</v>
      </c>
      <c r="CV451" s="363">
        <v>0</v>
      </c>
      <c r="CW451" s="363">
        <v>0</v>
      </c>
      <c r="CX451" s="435">
        <v>0</v>
      </c>
      <c r="CY451" s="435">
        <v>0</v>
      </c>
      <c r="CZ451" s="435">
        <v>0</v>
      </c>
      <c r="DA451" s="435">
        <v>0</v>
      </c>
      <c r="DB451" s="363">
        <v>0</v>
      </c>
      <c r="DC451" s="435">
        <v>0</v>
      </c>
      <c r="DD451" s="435">
        <v>0</v>
      </c>
      <c r="DE451" s="435">
        <v>0</v>
      </c>
      <c r="DF451" s="435">
        <v>0</v>
      </c>
      <c r="DG451" s="363">
        <v>0</v>
      </c>
      <c r="DH451" s="362">
        <v>0</v>
      </c>
      <c r="DI451" s="362">
        <v>0</v>
      </c>
      <c r="DJ451" s="362">
        <v>0</v>
      </c>
      <c r="DK451" s="363">
        <v>0</v>
      </c>
      <c r="DL451" s="363">
        <v>0</v>
      </c>
      <c r="DM451" s="363">
        <v>0</v>
      </c>
      <c r="DN451" s="363">
        <v>0</v>
      </c>
      <c r="DO451" s="363">
        <v>0</v>
      </c>
      <c r="DP451" s="363">
        <v>0</v>
      </c>
      <c r="DQ451" s="363">
        <v>0</v>
      </c>
      <c r="DR451" s="363">
        <v>0</v>
      </c>
      <c r="DS451" s="363">
        <v>0</v>
      </c>
      <c r="DT451" s="363">
        <v>0</v>
      </c>
      <c r="DU451" s="363">
        <v>0</v>
      </c>
      <c r="DV451" s="363">
        <v>0</v>
      </c>
      <c r="DW451" s="435">
        <v>0</v>
      </c>
      <c r="DX451" s="435">
        <v>0</v>
      </c>
      <c r="DY451" s="435">
        <v>0</v>
      </c>
      <c r="DZ451" s="435">
        <v>0</v>
      </c>
      <c r="EA451" s="363">
        <v>0</v>
      </c>
      <c r="EB451" s="435">
        <v>0</v>
      </c>
      <c r="EC451" s="435">
        <v>0</v>
      </c>
      <c r="ED451" s="435">
        <v>0</v>
      </c>
      <c r="EE451" s="435">
        <v>0</v>
      </c>
      <c r="EF451" s="363">
        <v>0</v>
      </c>
      <c r="EG451" s="364">
        <v>1.3167965247798544E-3</v>
      </c>
      <c r="EH451" s="364">
        <v>1.3344502962726033E-3</v>
      </c>
      <c r="EI451" s="364">
        <v>1.3523407449148232E-3</v>
      </c>
      <c r="EJ451" s="365">
        <v>1.3434496978499935E-3</v>
      </c>
      <c r="EK451" s="365">
        <v>1.3346171055187107E-3</v>
      </c>
      <c r="EL451" s="365">
        <v>1.3303552411130725E-3</v>
      </c>
      <c r="EM451" s="365">
        <v>1.3261069862199584E-3</v>
      </c>
      <c r="EN451" s="365">
        <v>1.3218722973797892E-3</v>
      </c>
      <c r="EO451" s="365">
        <v>1.3176511312717671E-3</v>
      </c>
      <c r="EP451" s="365">
        <v>1.3134434447134315E-3</v>
      </c>
      <c r="EQ451" s="365">
        <v>1.3231589436224298E-3</v>
      </c>
      <c r="ER451" s="365">
        <v>1.3329463077643249E-3</v>
      </c>
      <c r="ES451" s="365">
        <v>1.3428060687239321E-3</v>
      </c>
      <c r="ET451" s="365">
        <v>1.3527387620181843E-3</v>
      </c>
      <c r="EU451" s="365">
        <v>1.3627449271252129E-3</v>
      </c>
      <c r="EV451" s="436">
        <v>1.3682379023884355E-3</v>
      </c>
      <c r="EW451" s="436">
        <v>1.3737308776516583E-3</v>
      </c>
      <c r="EX451" s="436">
        <v>1.3792238529148808E-3</v>
      </c>
      <c r="EY451" s="436">
        <v>1.3847168281781036E-3</v>
      </c>
      <c r="EZ451" s="365">
        <v>1.3902098034413262E-3</v>
      </c>
      <c r="FA451" s="436">
        <v>1.394712419617682E-3</v>
      </c>
      <c r="FB451" s="436">
        <v>1.399215035794038E-3</v>
      </c>
      <c r="FC451" s="436">
        <v>1.4037176519703938E-3</v>
      </c>
      <c r="FD451" s="436">
        <v>1.4082202681467498E-3</v>
      </c>
      <c r="FE451" s="365">
        <v>1.4127228843231056E-3</v>
      </c>
      <c r="FF451" s="364">
        <v>0</v>
      </c>
      <c r="FG451" s="364">
        <v>0</v>
      </c>
      <c r="FH451" s="364">
        <v>0</v>
      </c>
      <c r="FI451" s="365">
        <v>0</v>
      </c>
      <c r="FJ451" s="365">
        <v>0</v>
      </c>
      <c r="FK451" s="365">
        <v>0</v>
      </c>
      <c r="FL451" s="365">
        <v>0</v>
      </c>
      <c r="FM451" s="365">
        <v>0</v>
      </c>
      <c r="FN451" s="365">
        <v>0</v>
      </c>
      <c r="FO451" s="365">
        <v>0</v>
      </c>
      <c r="FP451" s="365">
        <v>0</v>
      </c>
      <c r="FQ451" s="365">
        <v>0</v>
      </c>
      <c r="FR451" s="365">
        <v>0</v>
      </c>
      <c r="FS451" s="365">
        <v>0</v>
      </c>
      <c r="FT451" s="365">
        <v>0</v>
      </c>
      <c r="FU451" s="436">
        <v>0</v>
      </c>
      <c r="FV451" s="436">
        <v>0</v>
      </c>
      <c r="FW451" s="436">
        <v>0</v>
      </c>
      <c r="FX451" s="436">
        <v>0</v>
      </c>
      <c r="FY451" s="365">
        <v>0</v>
      </c>
      <c r="FZ451" s="436">
        <v>0</v>
      </c>
      <c r="GA451" s="436">
        <v>0</v>
      </c>
      <c r="GB451" s="436">
        <v>0</v>
      </c>
      <c r="GC451" s="436">
        <v>0</v>
      </c>
      <c r="GD451" s="365">
        <v>0</v>
      </c>
    </row>
    <row r="452" spans="1:186" ht="15" x14ac:dyDescent="0.25">
      <c r="A452" s="357">
        <v>99</v>
      </c>
      <c r="B452" s="357">
        <v>123</v>
      </c>
      <c r="C452" s="357" t="s">
        <v>1362</v>
      </c>
      <c r="D452" s="2">
        <v>99712</v>
      </c>
      <c r="E452" s="268" t="s">
        <v>19</v>
      </c>
      <c r="F452" s="358" t="s">
        <v>915</v>
      </c>
      <c r="G452" s="49">
        <v>0</v>
      </c>
      <c r="H452" s="49">
        <v>1</v>
      </c>
      <c r="I452" s="49">
        <v>0</v>
      </c>
      <c r="J452" s="49">
        <v>1</v>
      </c>
      <c r="K452" s="49">
        <v>0</v>
      </c>
      <c r="L452" s="49">
        <v>0</v>
      </c>
      <c r="M452" s="49">
        <v>0</v>
      </c>
      <c r="N452" s="49">
        <v>0</v>
      </c>
      <c r="O452" s="49">
        <v>0</v>
      </c>
      <c r="P452" s="49">
        <v>0</v>
      </c>
      <c r="Q452" s="49">
        <v>0</v>
      </c>
      <c r="R452" s="49">
        <v>0</v>
      </c>
      <c r="S452" s="49">
        <v>834.49503068156923</v>
      </c>
      <c r="T452" s="49">
        <v>834.49503068156923</v>
      </c>
      <c r="U452" s="49">
        <v>1408.3846153846155</v>
      </c>
      <c r="V452" s="49">
        <v>0</v>
      </c>
      <c r="W452" s="49">
        <v>0</v>
      </c>
      <c r="X452" s="49">
        <v>1365.173957061457</v>
      </c>
      <c r="Y452" s="434">
        <v>0</v>
      </c>
      <c r="Z452" s="434">
        <v>0</v>
      </c>
      <c r="AA452" s="49">
        <v>2.2912335412335411E-2</v>
      </c>
      <c r="AB452" s="49">
        <v>0.97578828828828834</v>
      </c>
      <c r="AC452" s="49">
        <v>1.2993762993762994E-3</v>
      </c>
      <c r="AD452" s="285">
        <v>0</v>
      </c>
      <c r="AE452" s="285">
        <v>0</v>
      </c>
      <c r="AF452" s="359">
        <v>1</v>
      </c>
      <c r="AG452" s="360">
        <v>0</v>
      </c>
      <c r="AH452" s="360">
        <v>0</v>
      </c>
      <c r="AI452" s="361">
        <v>0</v>
      </c>
      <c r="AJ452" s="360">
        <v>0</v>
      </c>
      <c r="AK452" s="360">
        <v>2.0829930512911272E-2</v>
      </c>
      <c r="AL452" s="360">
        <v>0.8871030331292592</v>
      </c>
      <c r="AM452" s="360">
        <v>0.90793296364217047</v>
      </c>
      <c r="AN452" s="360">
        <v>1.1812815035677471E-3</v>
      </c>
      <c r="AO452" s="360">
        <v>0</v>
      </c>
      <c r="AP452" s="360">
        <v>0</v>
      </c>
      <c r="AQ452" s="360">
        <v>0</v>
      </c>
      <c r="AR452" s="360">
        <v>0</v>
      </c>
      <c r="AS452" s="360">
        <v>0</v>
      </c>
      <c r="AT452" s="360">
        <v>0</v>
      </c>
      <c r="AU452" s="360">
        <v>0.82541479088448488</v>
      </c>
      <c r="AV452" s="360">
        <v>0.86569122516162356</v>
      </c>
      <c r="AW452" s="360">
        <v>0.90793296364217047</v>
      </c>
      <c r="AX452" s="360">
        <v>0.95223590410559056</v>
      </c>
      <c r="AY452" s="360">
        <v>0.99870062370062374</v>
      </c>
      <c r="AZ452" s="360">
        <v>0</v>
      </c>
      <c r="BA452" s="360">
        <v>0</v>
      </c>
      <c r="BB452" s="360">
        <v>0</v>
      </c>
      <c r="BC452" s="360">
        <v>0</v>
      </c>
      <c r="BD452" s="360">
        <v>0</v>
      </c>
      <c r="BE452" s="360">
        <v>0</v>
      </c>
      <c r="BF452" s="360">
        <v>0</v>
      </c>
      <c r="BG452" s="360">
        <v>0</v>
      </c>
      <c r="BH452" s="360">
        <v>0</v>
      </c>
      <c r="BI452" s="360">
        <v>0</v>
      </c>
      <c r="BJ452" s="362">
        <v>1.0120898089457961</v>
      </c>
      <c r="BK452" s="362">
        <v>1.0256584977151229</v>
      </c>
      <c r="BL452" s="362">
        <v>1.0394090965415332</v>
      </c>
      <c r="BM452" s="363">
        <v>1.0325754377675052</v>
      </c>
      <c r="BN452" s="363">
        <v>1.0257867073016811</v>
      </c>
      <c r="BO452" s="363">
        <v>1.0225110383195077</v>
      </c>
      <c r="BP452" s="363">
        <v>1.0192458296086602</v>
      </c>
      <c r="BQ452" s="363">
        <v>1.015991047766106</v>
      </c>
      <c r="BR452" s="363">
        <v>1.0127466594954804</v>
      </c>
      <c r="BS452" s="363">
        <v>1.0095126316067435</v>
      </c>
      <c r="BT452" s="363">
        <v>1.0169799640681998</v>
      </c>
      <c r="BU452" s="363">
        <v>1.0245025321476602</v>
      </c>
      <c r="BV452" s="363">
        <v>1.0320807444212143</v>
      </c>
      <c r="BW452" s="363">
        <v>1.0397150124871766</v>
      </c>
      <c r="BX452" s="363">
        <v>1.0474057509884387</v>
      </c>
      <c r="BY452" s="435">
        <v>1.0516276517757517</v>
      </c>
      <c r="BZ452" s="435">
        <v>1.0558495525630647</v>
      </c>
      <c r="CA452" s="435">
        <v>1.0600714533503774</v>
      </c>
      <c r="CB452" s="435">
        <v>1.0642933541376904</v>
      </c>
      <c r="CC452" s="363">
        <v>1.0685152549250034</v>
      </c>
      <c r="CD452" s="435">
        <v>1.0719759657181505</v>
      </c>
      <c r="CE452" s="435">
        <v>1.0754366765112977</v>
      </c>
      <c r="CF452" s="435">
        <v>1.0788973873044447</v>
      </c>
      <c r="CG452" s="435">
        <v>1.082358098097592</v>
      </c>
      <c r="CH452" s="363">
        <v>1.085818808890739</v>
      </c>
      <c r="CI452" s="362">
        <v>0</v>
      </c>
      <c r="CJ452" s="362">
        <v>0</v>
      </c>
      <c r="CK452" s="362">
        <v>0</v>
      </c>
      <c r="CL452" s="363">
        <v>0</v>
      </c>
      <c r="CM452" s="363">
        <v>0</v>
      </c>
      <c r="CN452" s="363">
        <v>0</v>
      </c>
      <c r="CO452" s="363">
        <v>0</v>
      </c>
      <c r="CP452" s="363">
        <v>0</v>
      </c>
      <c r="CQ452" s="363">
        <v>0</v>
      </c>
      <c r="CR452" s="363">
        <v>0</v>
      </c>
      <c r="CS452" s="363">
        <v>0</v>
      </c>
      <c r="CT452" s="363">
        <v>0</v>
      </c>
      <c r="CU452" s="363">
        <v>0</v>
      </c>
      <c r="CV452" s="363">
        <v>0</v>
      </c>
      <c r="CW452" s="363">
        <v>0</v>
      </c>
      <c r="CX452" s="435">
        <v>0</v>
      </c>
      <c r="CY452" s="435">
        <v>0</v>
      </c>
      <c r="CZ452" s="435">
        <v>0</v>
      </c>
      <c r="DA452" s="435">
        <v>0</v>
      </c>
      <c r="DB452" s="363">
        <v>0</v>
      </c>
      <c r="DC452" s="435">
        <v>0</v>
      </c>
      <c r="DD452" s="435">
        <v>0</v>
      </c>
      <c r="DE452" s="435">
        <v>0</v>
      </c>
      <c r="DF452" s="435">
        <v>0</v>
      </c>
      <c r="DG452" s="363">
        <v>0</v>
      </c>
      <c r="DH452" s="362">
        <v>0</v>
      </c>
      <c r="DI452" s="362">
        <v>0</v>
      </c>
      <c r="DJ452" s="362">
        <v>0</v>
      </c>
      <c r="DK452" s="363">
        <v>0</v>
      </c>
      <c r="DL452" s="363">
        <v>0</v>
      </c>
      <c r="DM452" s="363">
        <v>0</v>
      </c>
      <c r="DN452" s="363">
        <v>0</v>
      </c>
      <c r="DO452" s="363">
        <v>0</v>
      </c>
      <c r="DP452" s="363">
        <v>0</v>
      </c>
      <c r="DQ452" s="363">
        <v>0</v>
      </c>
      <c r="DR452" s="363">
        <v>0</v>
      </c>
      <c r="DS452" s="363">
        <v>0</v>
      </c>
      <c r="DT452" s="363">
        <v>0</v>
      </c>
      <c r="DU452" s="363">
        <v>0</v>
      </c>
      <c r="DV452" s="363">
        <v>0</v>
      </c>
      <c r="DW452" s="435">
        <v>0</v>
      </c>
      <c r="DX452" s="435">
        <v>0</v>
      </c>
      <c r="DY452" s="435">
        <v>0</v>
      </c>
      <c r="DZ452" s="435">
        <v>0</v>
      </c>
      <c r="EA452" s="363">
        <v>0</v>
      </c>
      <c r="EB452" s="435">
        <v>0</v>
      </c>
      <c r="EC452" s="435">
        <v>0</v>
      </c>
      <c r="ED452" s="435">
        <v>0</v>
      </c>
      <c r="EE452" s="435">
        <v>0</v>
      </c>
      <c r="EF452" s="363">
        <v>0</v>
      </c>
      <c r="EG452" s="364">
        <v>1.3167965247798544E-3</v>
      </c>
      <c r="EH452" s="364">
        <v>1.3344502962726033E-3</v>
      </c>
      <c r="EI452" s="364">
        <v>1.3523407449148232E-3</v>
      </c>
      <c r="EJ452" s="365">
        <v>1.3434496978499935E-3</v>
      </c>
      <c r="EK452" s="365">
        <v>1.3346171055187107E-3</v>
      </c>
      <c r="EL452" s="365">
        <v>1.3303552411130725E-3</v>
      </c>
      <c r="EM452" s="365">
        <v>1.3261069862199584E-3</v>
      </c>
      <c r="EN452" s="365">
        <v>1.3218722973797892E-3</v>
      </c>
      <c r="EO452" s="365">
        <v>1.3176511312717671E-3</v>
      </c>
      <c r="EP452" s="365">
        <v>1.3134434447134315E-3</v>
      </c>
      <c r="EQ452" s="365">
        <v>1.3231589436224298E-3</v>
      </c>
      <c r="ER452" s="365">
        <v>1.3329463077643249E-3</v>
      </c>
      <c r="ES452" s="365">
        <v>1.3428060687239321E-3</v>
      </c>
      <c r="ET452" s="365">
        <v>1.3527387620181843E-3</v>
      </c>
      <c r="EU452" s="365">
        <v>1.3627449271252129E-3</v>
      </c>
      <c r="EV452" s="436">
        <v>1.3682379023884355E-3</v>
      </c>
      <c r="EW452" s="436">
        <v>1.3737308776516583E-3</v>
      </c>
      <c r="EX452" s="436">
        <v>1.3792238529148808E-3</v>
      </c>
      <c r="EY452" s="436">
        <v>1.3847168281781036E-3</v>
      </c>
      <c r="EZ452" s="365">
        <v>1.3902098034413262E-3</v>
      </c>
      <c r="FA452" s="436">
        <v>1.394712419617682E-3</v>
      </c>
      <c r="FB452" s="436">
        <v>1.399215035794038E-3</v>
      </c>
      <c r="FC452" s="436">
        <v>1.4037176519703938E-3</v>
      </c>
      <c r="FD452" s="436">
        <v>1.4082202681467498E-3</v>
      </c>
      <c r="FE452" s="365">
        <v>1.4127228843231056E-3</v>
      </c>
      <c r="FF452" s="364">
        <v>0</v>
      </c>
      <c r="FG452" s="364">
        <v>0</v>
      </c>
      <c r="FH452" s="364">
        <v>0</v>
      </c>
      <c r="FI452" s="365">
        <v>0</v>
      </c>
      <c r="FJ452" s="365">
        <v>0</v>
      </c>
      <c r="FK452" s="365">
        <v>0</v>
      </c>
      <c r="FL452" s="365">
        <v>0</v>
      </c>
      <c r="FM452" s="365">
        <v>0</v>
      </c>
      <c r="FN452" s="365">
        <v>0</v>
      </c>
      <c r="FO452" s="365">
        <v>0</v>
      </c>
      <c r="FP452" s="365">
        <v>0</v>
      </c>
      <c r="FQ452" s="365">
        <v>0</v>
      </c>
      <c r="FR452" s="365">
        <v>0</v>
      </c>
      <c r="FS452" s="365">
        <v>0</v>
      </c>
      <c r="FT452" s="365">
        <v>0</v>
      </c>
      <c r="FU452" s="436">
        <v>0</v>
      </c>
      <c r="FV452" s="436">
        <v>0</v>
      </c>
      <c r="FW452" s="436">
        <v>0</v>
      </c>
      <c r="FX452" s="436">
        <v>0</v>
      </c>
      <c r="FY452" s="365">
        <v>0</v>
      </c>
      <c r="FZ452" s="436">
        <v>0</v>
      </c>
      <c r="GA452" s="436">
        <v>0</v>
      </c>
      <c r="GB452" s="436">
        <v>0</v>
      </c>
      <c r="GC452" s="436">
        <v>0</v>
      </c>
      <c r="GD452" s="365">
        <v>0</v>
      </c>
    </row>
    <row r="453" spans="1:186" ht="15" x14ac:dyDescent="0.25">
      <c r="A453" s="357">
        <v>126</v>
      </c>
      <c r="B453" s="357">
        <v>124</v>
      </c>
      <c r="C453" s="357" t="s">
        <v>1363</v>
      </c>
      <c r="D453" s="2">
        <v>99712</v>
      </c>
      <c r="E453" s="268" t="s">
        <v>19</v>
      </c>
      <c r="F453" s="358" t="s">
        <v>915</v>
      </c>
      <c r="G453" s="49">
        <v>1</v>
      </c>
      <c r="H453" s="49">
        <v>1</v>
      </c>
      <c r="I453" s="49">
        <v>1</v>
      </c>
      <c r="J453" s="49">
        <v>0</v>
      </c>
      <c r="K453" s="49">
        <v>0</v>
      </c>
      <c r="L453" s="49">
        <v>2</v>
      </c>
      <c r="M453" s="49">
        <v>2</v>
      </c>
      <c r="N453" s="49">
        <v>0</v>
      </c>
      <c r="O453" s="49">
        <v>0</v>
      </c>
      <c r="P453" s="49">
        <v>0</v>
      </c>
      <c r="Q453" s="49">
        <v>2</v>
      </c>
      <c r="R453" s="49">
        <v>0</v>
      </c>
      <c r="S453" s="49">
        <v>496</v>
      </c>
      <c r="T453" s="49">
        <v>496</v>
      </c>
      <c r="U453" s="49">
        <v>0</v>
      </c>
      <c r="V453" s="49">
        <v>0</v>
      </c>
      <c r="W453" s="49">
        <v>0</v>
      </c>
      <c r="X453" s="49">
        <v>496</v>
      </c>
      <c r="Y453" s="434">
        <v>992</v>
      </c>
      <c r="Z453" s="434">
        <v>0</v>
      </c>
      <c r="AA453" s="49">
        <v>0</v>
      </c>
      <c r="AB453" s="49">
        <v>1</v>
      </c>
      <c r="AC453" s="49">
        <v>0</v>
      </c>
      <c r="AD453" s="285">
        <v>0</v>
      </c>
      <c r="AE453" s="285">
        <v>0</v>
      </c>
      <c r="AF453" s="359">
        <v>1</v>
      </c>
      <c r="AG453" s="360">
        <v>0</v>
      </c>
      <c r="AH453" s="360">
        <v>1</v>
      </c>
      <c r="AI453" s="361">
        <v>1</v>
      </c>
      <c r="AJ453" s="360">
        <v>0</v>
      </c>
      <c r="AK453" s="360">
        <v>0</v>
      </c>
      <c r="AL453" s="360">
        <v>0.90911424514573824</v>
      </c>
      <c r="AM453" s="360">
        <v>0.90911424514573824</v>
      </c>
      <c r="AN453" s="360">
        <v>0</v>
      </c>
      <c r="AO453" s="360">
        <v>0</v>
      </c>
      <c r="AP453" s="360">
        <v>0.91245411038790925</v>
      </c>
      <c r="AQ453" s="360">
        <v>0.91245411038790925</v>
      </c>
      <c r="AR453" s="360">
        <v>0</v>
      </c>
      <c r="AS453" s="360">
        <v>0</v>
      </c>
      <c r="AT453" s="360">
        <v>0</v>
      </c>
      <c r="AU453" s="360">
        <v>0.82648871072690544</v>
      </c>
      <c r="AV453" s="360">
        <v>0.86681754733851879</v>
      </c>
      <c r="AW453" s="360">
        <v>0.90911424514573824</v>
      </c>
      <c r="AX453" s="360">
        <v>0.95347482669745309</v>
      </c>
      <c r="AY453" s="360">
        <v>1</v>
      </c>
      <c r="AZ453" s="360">
        <v>0.83257250356379087</v>
      </c>
      <c r="BA453" s="360">
        <v>0.87159864792961517</v>
      </c>
      <c r="BB453" s="360">
        <v>0.91245411038790925</v>
      </c>
      <c r="BC453" s="360">
        <v>0.9552246387043779</v>
      </c>
      <c r="BD453" s="360">
        <v>1</v>
      </c>
      <c r="BE453" s="360">
        <v>0</v>
      </c>
      <c r="BF453" s="360">
        <v>0</v>
      </c>
      <c r="BG453" s="360">
        <v>0</v>
      </c>
      <c r="BH453" s="360">
        <v>0</v>
      </c>
      <c r="BI453" s="360">
        <v>0</v>
      </c>
      <c r="BJ453" s="362">
        <v>1.0134066054705759</v>
      </c>
      <c r="BK453" s="362">
        <v>1.0269929480113955</v>
      </c>
      <c r="BL453" s="362">
        <v>1.040761437286448</v>
      </c>
      <c r="BM453" s="363">
        <v>1.0339188874653549</v>
      </c>
      <c r="BN453" s="363">
        <v>1.0271213244071997</v>
      </c>
      <c r="BO453" s="363">
        <v>1.0238413935606208</v>
      </c>
      <c r="BP453" s="363">
        <v>1.02057193659488</v>
      </c>
      <c r="BQ453" s="363">
        <v>1.0173129200634858</v>
      </c>
      <c r="BR453" s="363">
        <v>1.014064310626752</v>
      </c>
      <c r="BS453" s="363">
        <v>1.0108260750514568</v>
      </c>
      <c r="BT453" s="363">
        <v>1.018303123011822</v>
      </c>
      <c r="BU453" s="363">
        <v>1.0258354784554244</v>
      </c>
      <c r="BV453" s="363">
        <v>1.0334235504899383</v>
      </c>
      <c r="BW453" s="363">
        <v>1.0410677512491946</v>
      </c>
      <c r="BX453" s="363">
        <v>1.0487684959155639</v>
      </c>
      <c r="BY453" s="435">
        <v>1.05299588967814</v>
      </c>
      <c r="BZ453" s="435">
        <v>1.057223283440716</v>
      </c>
      <c r="CA453" s="435">
        <v>1.0614506772032923</v>
      </c>
      <c r="CB453" s="435">
        <v>1.0656780709658684</v>
      </c>
      <c r="CC453" s="363">
        <v>1.0699054647284445</v>
      </c>
      <c r="CD453" s="435">
        <v>1.0733706781377681</v>
      </c>
      <c r="CE453" s="435">
        <v>1.0768358915470915</v>
      </c>
      <c r="CF453" s="435">
        <v>1.0803011049564151</v>
      </c>
      <c r="CG453" s="435">
        <v>1.0837663183657384</v>
      </c>
      <c r="CH453" s="363">
        <v>1.087231531775062</v>
      </c>
      <c r="CI453" s="362">
        <v>1.0134066054705759</v>
      </c>
      <c r="CJ453" s="362">
        <v>1.0269929480113955</v>
      </c>
      <c r="CK453" s="362">
        <v>1.040761437286448</v>
      </c>
      <c r="CL453" s="363">
        <v>1.0339188874653549</v>
      </c>
      <c r="CM453" s="363">
        <v>1.0271213244071997</v>
      </c>
      <c r="CN453" s="363">
        <v>1.0238413935606208</v>
      </c>
      <c r="CO453" s="363">
        <v>1.02057193659488</v>
      </c>
      <c r="CP453" s="363">
        <v>1.0173129200634858</v>
      </c>
      <c r="CQ453" s="363">
        <v>1.014064310626752</v>
      </c>
      <c r="CR453" s="363">
        <v>1.0108260750514568</v>
      </c>
      <c r="CS453" s="363">
        <v>1.018303123011822</v>
      </c>
      <c r="CT453" s="363">
        <v>1.0258354784554244</v>
      </c>
      <c r="CU453" s="363">
        <v>1.0334235504899383</v>
      </c>
      <c r="CV453" s="363">
        <v>1.0410677512491946</v>
      </c>
      <c r="CW453" s="363">
        <v>1.0487684959155639</v>
      </c>
      <c r="CX453" s="435">
        <v>1.05299588967814</v>
      </c>
      <c r="CY453" s="435">
        <v>1.057223283440716</v>
      </c>
      <c r="CZ453" s="435">
        <v>1.0614506772032923</v>
      </c>
      <c r="DA453" s="435">
        <v>1.0656780709658684</v>
      </c>
      <c r="DB453" s="363">
        <v>1.0699054647284445</v>
      </c>
      <c r="DC453" s="435">
        <v>1.0733706781377681</v>
      </c>
      <c r="DD453" s="435">
        <v>1.0768358915470915</v>
      </c>
      <c r="DE453" s="435">
        <v>1.0803011049564151</v>
      </c>
      <c r="DF453" s="435">
        <v>1.0837663183657384</v>
      </c>
      <c r="DG453" s="363">
        <v>1.087231531775062</v>
      </c>
      <c r="DH453" s="362">
        <v>0</v>
      </c>
      <c r="DI453" s="362">
        <v>0</v>
      </c>
      <c r="DJ453" s="362">
        <v>0</v>
      </c>
      <c r="DK453" s="363">
        <v>0</v>
      </c>
      <c r="DL453" s="363">
        <v>0</v>
      </c>
      <c r="DM453" s="363">
        <v>0</v>
      </c>
      <c r="DN453" s="363">
        <v>0</v>
      </c>
      <c r="DO453" s="363">
        <v>0</v>
      </c>
      <c r="DP453" s="363">
        <v>0</v>
      </c>
      <c r="DQ453" s="363">
        <v>0</v>
      </c>
      <c r="DR453" s="363">
        <v>0</v>
      </c>
      <c r="DS453" s="363">
        <v>0</v>
      </c>
      <c r="DT453" s="363">
        <v>0</v>
      </c>
      <c r="DU453" s="363">
        <v>0</v>
      </c>
      <c r="DV453" s="363">
        <v>0</v>
      </c>
      <c r="DW453" s="435">
        <v>0</v>
      </c>
      <c r="DX453" s="435">
        <v>0</v>
      </c>
      <c r="DY453" s="435">
        <v>0</v>
      </c>
      <c r="DZ453" s="435">
        <v>0</v>
      </c>
      <c r="EA453" s="363">
        <v>0</v>
      </c>
      <c r="EB453" s="435">
        <v>0</v>
      </c>
      <c r="EC453" s="435">
        <v>0</v>
      </c>
      <c r="ED453" s="435">
        <v>0</v>
      </c>
      <c r="EE453" s="435">
        <v>0</v>
      </c>
      <c r="EF453" s="363">
        <v>0</v>
      </c>
      <c r="EG453" s="364">
        <v>0</v>
      </c>
      <c r="EH453" s="364">
        <v>0</v>
      </c>
      <c r="EI453" s="364">
        <v>0</v>
      </c>
      <c r="EJ453" s="365">
        <v>0</v>
      </c>
      <c r="EK453" s="365">
        <v>0</v>
      </c>
      <c r="EL453" s="365">
        <v>0</v>
      </c>
      <c r="EM453" s="365">
        <v>0</v>
      </c>
      <c r="EN453" s="365">
        <v>0</v>
      </c>
      <c r="EO453" s="365">
        <v>0</v>
      </c>
      <c r="EP453" s="365">
        <v>0</v>
      </c>
      <c r="EQ453" s="365">
        <v>0</v>
      </c>
      <c r="ER453" s="365">
        <v>0</v>
      </c>
      <c r="ES453" s="365">
        <v>0</v>
      </c>
      <c r="ET453" s="365">
        <v>0</v>
      </c>
      <c r="EU453" s="365">
        <v>0</v>
      </c>
      <c r="EV453" s="436">
        <v>0</v>
      </c>
      <c r="EW453" s="436">
        <v>0</v>
      </c>
      <c r="EX453" s="436">
        <v>0</v>
      </c>
      <c r="EY453" s="436">
        <v>0</v>
      </c>
      <c r="EZ453" s="365">
        <v>0</v>
      </c>
      <c r="FA453" s="436">
        <v>0</v>
      </c>
      <c r="FB453" s="436">
        <v>0</v>
      </c>
      <c r="FC453" s="436">
        <v>0</v>
      </c>
      <c r="FD453" s="436">
        <v>0</v>
      </c>
      <c r="FE453" s="365">
        <v>0</v>
      </c>
      <c r="FF453" s="364">
        <v>0</v>
      </c>
      <c r="FG453" s="364">
        <v>0</v>
      </c>
      <c r="FH453" s="364">
        <v>0</v>
      </c>
      <c r="FI453" s="365">
        <v>0</v>
      </c>
      <c r="FJ453" s="365">
        <v>0</v>
      </c>
      <c r="FK453" s="365">
        <v>0</v>
      </c>
      <c r="FL453" s="365">
        <v>0</v>
      </c>
      <c r="FM453" s="365">
        <v>0</v>
      </c>
      <c r="FN453" s="365">
        <v>0</v>
      </c>
      <c r="FO453" s="365">
        <v>0</v>
      </c>
      <c r="FP453" s="365">
        <v>0</v>
      </c>
      <c r="FQ453" s="365">
        <v>0</v>
      </c>
      <c r="FR453" s="365">
        <v>0</v>
      </c>
      <c r="FS453" s="365">
        <v>0</v>
      </c>
      <c r="FT453" s="365">
        <v>0</v>
      </c>
      <c r="FU453" s="436">
        <v>0</v>
      </c>
      <c r="FV453" s="436">
        <v>0</v>
      </c>
      <c r="FW453" s="436">
        <v>0</v>
      </c>
      <c r="FX453" s="436">
        <v>0</v>
      </c>
      <c r="FY453" s="365">
        <v>0</v>
      </c>
      <c r="FZ453" s="436">
        <v>0</v>
      </c>
      <c r="GA453" s="436">
        <v>0</v>
      </c>
      <c r="GB453" s="436">
        <v>0</v>
      </c>
      <c r="GC453" s="436">
        <v>0</v>
      </c>
      <c r="GD453" s="365">
        <v>0</v>
      </c>
    </row>
    <row r="454" spans="1:186" ht="15" x14ac:dyDescent="0.25">
      <c r="A454" s="357">
        <v>127</v>
      </c>
      <c r="B454" s="357">
        <v>124</v>
      </c>
      <c r="C454" s="357" t="s">
        <v>1364</v>
      </c>
      <c r="D454" s="2">
        <v>99712</v>
      </c>
      <c r="E454" s="268" t="s">
        <v>19</v>
      </c>
      <c r="F454" s="358" t="s">
        <v>915</v>
      </c>
      <c r="G454" s="49">
        <v>4</v>
      </c>
      <c r="H454" s="49">
        <v>1</v>
      </c>
      <c r="I454" s="49">
        <v>1</v>
      </c>
      <c r="J454" s="49">
        <v>0</v>
      </c>
      <c r="K454" s="49">
        <v>0</v>
      </c>
      <c r="L454" s="49">
        <v>1</v>
      </c>
      <c r="M454" s="49">
        <v>1</v>
      </c>
      <c r="N454" s="49">
        <v>0</v>
      </c>
      <c r="O454" s="49">
        <v>0</v>
      </c>
      <c r="P454" s="49">
        <v>0</v>
      </c>
      <c r="Q454" s="49">
        <v>1</v>
      </c>
      <c r="R454" s="49">
        <v>0</v>
      </c>
      <c r="S454" s="49">
        <v>1620</v>
      </c>
      <c r="T454" s="49">
        <v>1620</v>
      </c>
      <c r="U454" s="49">
        <v>0</v>
      </c>
      <c r="V454" s="49">
        <v>0</v>
      </c>
      <c r="W454" s="49">
        <v>0</v>
      </c>
      <c r="X454" s="49">
        <v>1620</v>
      </c>
      <c r="Y454" s="434">
        <v>1620</v>
      </c>
      <c r="Z454" s="434">
        <v>0</v>
      </c>
      <c r="AA454" s="49">
        <v>0</v>
      </c>
      <c r="AB454" s="49">
        <v>1</v>
      </c>
      <c r="AC454" s="49">
        <v>0</v>
      </c>
      <c r="AD454" s="285">
        <v>0</v>
      </c>
      <c r="AE454" s="285">
        <v>0</v>
      </c>
      <c r="AF454" s="359">
        <v>1</v>
      </c>
      <c r="AG454" s="360">
        <v>0</v>
      </c>
      <c r="AH454" s="360">
        <v>1</v>
      </c>
      <c r="AI454" s="361">
        <v>1</v>
      </c>
      <c r="AJ454" s="360">
        <v>0</v>
      </c>
      <c r="AK454" s="360">
        <v>0</v>
      </c>
      <c r="AL454" s="360">
        <v>0.90911424514573824</v>
      </c>
      <c r="AM454" s="360">
        <v>0.90911424514573824</v>
      </c>
      <c r="AN454" s="360">
        <v>0</v>
      </c>
      <c r="AO454" s="360">
        <v>0</v>
      </c>
      <c r="AP454" s="360">
        <v>0.91245411038790925</v>
      </c>
      <c r="AQ454" s="360">
        <v>0.91245411038790925</v>
      </c>
      <c r="AR454" s="360">
        <v>0</v>
      </c>
      <c r="AS454" s="360">
        <v>0</v>
      </c>
      <c r="AT454" s="360">
        <v>0</v>
      </c>
      <c r="AU454" s="360">
        <v>0.82648871072690544</v>
      </c>
      <c r="AV454" s="360">
        <v>0.86681754733851879</v>
      </c>
      <c r="AW454" s="360">
        <v>0.90911424514573824</v>
      </c>
      <c r="AX454" s="360">
        <v>0.95347482669745309</v>
      </c>
      <c r="AY454" s="360">
        <v>1</v>
      </c>
      <c r="AZ454" s="360">
        <v>0.83257250356379087</v>
      </c>
      <c r="BA454" s="360">
        <v>0.87159864792961517</v>
      </c>
      <c r="BB454" s="360">
        <v>0.91245411038790925</v>
      </c>
      <c r="BC454" s="360">
        <v>0.9552246387043779</v>
      </c>
      <c r="BD454" s="360">
        <v>1</v>
      </c>
      <c r="BE454" s="360">
        <v>0</v>
      </c>
      <c r="BF454" s="360">
        <v>0</v>
      </c>
      <c r="BG454" s="360">
        <v>0</v>
      </c>
      <c r="BH454" s="360">
        <v>0</v>
      </c>
      <c r="BI454" s="360">
        <v>0</v>
      </c>
      <c r="BJ454" s="362">
        <v>1.0134066054705759</v>
      </c>
      <c r="BK454" s="362">
        <v>1.0269929480113955</v>
      </c>
      <c r="BL454" s="362">
        <v>1.040761437286448</v>
      </c>
      <c r="BM454" s="363">
        <v>1.0339188874653549</v>
      </c>
      <c r="BN454" s="363">
        <v>1.0271213244071997</v>
      </c>
      <c r="BO454" s="363">
        <v>1.0238413935606208</v>
      </c>
      <c r="BP454" s="363">
        <v>1.02057193659488</v>
      </c>
      <c r="BQ454" s="363">
        <v>1.0173129200634858</v>
      </c>
      <c r="BR454" s="363">
        <v>1.014064310626752</v>
      </c>
      <c r="BS454" s="363">
        <v>1.0108260750514568</v>
      </c>
      <c r="BT454" s="363">
        <v>1.018303123011822</v>
      </c>
      <c r="BU454" s="363">
        <v>1.0258354784554244</v>
      </c>
      <c r="BV454" s="363">
        <v>1.0334235504899383</v>
      </c>
      <c r="BW454" s="363">
        <v>1.0410677512491946</v>
      </c>
      <c r="BX454" s="363">
        <v>1.0487684959155639</v>
      </c>
      <c r="BY454" s="435">
        <v>1.05299588967814</v>
      </c>
      <c r="BZ454" s="435">
        <v>1.057223283440716</v>
      </c>
      <c r="CA454" s="435">
        <v>1.0614506772032923</v>
      </c>
      <c r="CB454" s="435">
        <v>1.0656780709658684</v>
      </c>
      <c r="CC454" s="363">
        <v>1.0699054647284445</v>
      </c>
      <c r="CD454" s="435">
        <v>1.0733706781377681</v>
      </c>
      <c r="CE454" s="435">
        <v>1.0768358915470915</v>
      </c>
      <c r="CF454" s="435">
        <v>1.0803011049564151</v>
      </c>
      <c r="CG454" s="435">
        <v>1.0837663183657384</v>
      </c>
      <c r="CH454" s="363">
        <v>1.087231531775062</v>
      </c>
      <c r="CI454" s="362">
        <v>1.0134066054705759</v>
      </c>
      <c r="CJ454" s="362">
        <v>1.0269929480113955</v>
      </c>
      <c r="CK454" s="362">
        <v>1.040761437286448</v>
      </c>
      <c r="CL454" s="363">
        <v>1.0339188874653549</v>
      </c>
      <c r="CM454" s="363">
        <v>1.0271213244071997</v>
      </c>
      <c r="CN454" s="363">
        <v>1.0238413935606208</v>
      </c>
      <c r="CO454" s="363">
        <v>1.02057193659488</v>
      </c>
      <c r="CP454" s="363">
        <v>1.0173129200634858</v>
      </c>
      <c r="CQ454" s="363">
        <v>1.014064310626752</v>
      </c>
      <c r="CR454" s="363">
        <v>1.0108260750514568</v>
      </c>
      <c r="CS454" s="363">
        <v>1.018303123011822</v>
      </c>
      <c r="CT454" s="363">
        <v>1.0258354784554244</v>
      </c>
      <c r="CU454" s="363">
        <v>1.0334235504899383</v>
      </c>
      <c r="CV454" s="363">
        <v>1.0410677512491946</v>
      </c>
      <c r="CW454" s="363">
        <v>1.0487684959155639</v>
      </c>
      <c r="CX454" s="435">
        <v>1.05299588967814</v>
      </c>
      <c r="CY454" s="435">
        <v>1.057223283440716</v>
      </c>
      <c r="CZ454" s="435">
        <v>1.0614506772032923</v>
      </c>
      <c r="DA454" s="435">
        <v>1.0656780709658684</v>
      </c>
      <c r="DB454" s="363">
        <v>1.0699054647284445</v>
      </c>
      <c r="DC454" s="435">
        <v>1.0733706781377681</v>
      </c>
      <c r="DD454" s="435">
        <v>1.0768358915470915</v>
      </c>
      <c r="DE454" s="435">
        <v>1.0803011049564151</v>
      </c>
      <c r="DF454" s="435">
        <v>1.0837663183657384</v>
      </c>
      <c r="DG454" s="363">
        <v>1.087231531775062</v>
      </c>
      <c r="DH454" s="362">
        <v>0</v>
      </c>
      <c r="DI454" s="362">
        <v>0</v>
      </c>
      <c r="DJ454" s="362">
        <v>0</v>
      </c>
      <c r="DK454" s="363">
        <v>0</v>
      </c>
      <c r="DL454" s="363">
        <v>0</v>
      </c>
      <c r="DM454" s="363">
        <v>0</v>
      </c>
      <c r="DN454" s="363">
        <v>0</v>
      </c>
      <c r="DO454" s="363">
        <v>0</v>
      </c>
      <c r="DP454" s="363">
        <v>0</v>
      </c>
      <c r="DQ454" s="363">
        <v>0</v>
      </c>
      <c r="DR454" s="363">
        <v>0</v>
      </c>
      <c r="DS454" s="363">
        <v>0</v>
      </c>
      <c r="DT454" s="363">
        <v>0</v>
      </c>
      <c r="DU454" s="363">
        <v>0</v>
      </c>
      <c r="DV454" s="363">
        <v>0</v>
      </c>
      <c r="DW454" s="435">
        <v>0</v>
      </c>
      <c r="DX454" s="435">
        <v>0</v>
      </c>
      <c r="DY454" s="435">
        <v>0</v>
      </c>
      <c r="DZ454" s="435">
        <v>0</v>
      </c>
      <c r="EA454" s="363">
        <v>0</v>
      </c>
      <c r="EB454" s="435">
        <v>0</v>
      </c>
      <c r="EC454" s="435">
        <v>0</v>
      </c>
      <c r="ED454" s="435">
        <v>0</v>
      </c>
      <c r="EE454" s="435">
        <v>0</v>
      </c>
      <c r="EF454" s="363">
        <v>0</v>
      </c>
      <c r="EG454" s="364">
        <v>0</v>
      </c>
      <c r="EH454" s="364">
        <v>0</v>
      </c>
      <c r="EI454" s="364">
        <v>0</v>
      </c>
      <c r="EJ454" s="365">
        <v>0</v>
      </c>
      <c r="EK454" s="365">
        <v>0</v>
      </c>
      <c r="EL454" s="365">
        <v>0</v>
      </c>
      <c r="EM454" s="365">
        <v>0</v>
      </c>
      <c r="EN454" s="365">
        <v>0</v>
      </c>
      <c r="EO454" s="365">
        <v>0</v>
      </c>
      <c r="EP454" s="365">
        <v>0</v>
      </c>
      <c r="EQ454" s="365">
        <v>0</v>
      </c>
      <c r="ER454" s="365">
        <v>0</v>
      </c>
      <c r="ES454" s="365">
        <v>0</v>
      </c>
      <c r="ET454" s="365">
        <v>0</v>
      </c>
      <c r="EU454" s="365">
        <v>0</v>
      </c>
      <c r="EV454" s="436">
        <v>0</v>
      </c>
      <c r="EW454" s="436">
        <v>0</v>
      </c>
      <c r="EX454" s="436">
        <v>0</v>
      </c>
      <c r="EY454" s="436">
        <v>0</v>
      </c>
      <c r="EZ454" s="365">
        <v>0</v>
      </c>
      <c r="FA454" s="436">
        <v>0</v>
      </c>
      <c r="FB454" s="436">
        <v>0</v>
      </c>
      <c r="FC454" s="436">
        <v>0</v>
      </c>
      <c r="FD454" s="436">
        <v>0</v>
      </c>
      <c r="FE454" s="365">
        <v>0</v>
      </c>
      <c r="FF454" s="364">
        <v>0</v>
      </c>
      <c r="FG454" s="364">
        <v>0</v>
      </c>
      <c r="FH454" s="364">
        <v>0</v>
      </c>
      <c r="FI454" s="365">
        <v>0</v>
      </c>
      <c r="FJ454" s="365">
        <v>0</v>
      </c>
      <c r="FK454" s="365">
        <v>0</v>
      </c>
      <c r="FL454" s="365">
        <v>0</v>
      </c>
      <c r="FM454" s="365">
        <v>0</v>
      </c>
      <c r="FN454" s="365">
        <v>0</v>
      </c>
      <c r="FO454" s="365">
        <v>0</v>
      </c>
      <c r="FP454" s="365">
        <v>0</v>
      </c>
      <c r="FQ454" s="365">
        <v>0</v>
      </c>
      <c r="FR454" s="365">
        <v>0</v>
      </c>
      <c r="FS454" s="365">
        <v>0</v>
      </c>
      <c r="FT454" s="365">
        <v>0</v>
      </c>
      <c r="FU454" s="436">
        <v>0</v>
      </c>
      <c r="FV454" s="436">
        <v>0</v>
      </c>
      <c r="FW454" s="436">
        <v>0</v>
      </c>
      <c r="FX454" s="436">
        <v>0</v>
      </c>
      <c r="FY454" s="365">
        <v>0</v>
      </c>
      <c r="FZ454" s="436">
        <v>0</v>
      </c>
      <c r="GA454" s="436">
        <v>0</v>
      </c>
      <c r="GB454" s="436">
        <v>0</v>
      </c>
      <c r="GC454" s="436">
        <v>0</v>
      </c>
      <c r="GD454" s="365">
        <v>0</v>
      </c>
    </row>
    <row r="455" spans="1:186" ht="15" x14ac:dyDescent="0.25">
      <c r="A455" s="357">
        <v>122</v>
      </c>
      <c r="B455" s="357">
        <v>125</v>
      </c>
      <c r="C455" s="357" t="s">
        <v>1365</v>
      </c>
      <c r="D455" s="2">
        <v>99712</v>
      </c>
      <c r="E455" s="268" t="s">
        <v>19</v>
      </c>
      <c r="F455" s="358" t="s">
        <v>915</v>
      </c>
      <c r="G455" s="49">
        <v>8</v>
      </c>
      <c r="H455" s="49">
        <v>5</v>
      </c>
      <c r="I455" s="49">
        <v>3</v>
      </c>
      <c r="J455" s="49">
        <v>2</v>
      </c>
      <c r="K455" s="49">
        <v>0</v>
      </c>
      <c r="L455" s="49">
        <v>0</v>
      </c>
      <c r="M455" s="49">
        <v>0</v>
      </c>
      <c r="N455" s="49">
        <v>0</v>
      </c>
      <c r="O455" s="49">
        <v>0</v>
      </c>
      <c r="P455" s="49">
        <v>0</v>
      </c>
      <c r="Q455" s="49">
        <v>0</v>
      </c>
      <c r="R455" s="49">
        <v>0</v>
      </c>
      <c r="S455" s="49">
        <v>834.49503068156923</v>
      </c>
      <c r="T455" s="49">
        <v>834.49503068156923</v>
      </c>
      <c r="U455" s="49">
        <v>1408.3846153846155</v>
      </c>
      <c r="V455" s="49">
        <v>0</v>
      </c>
      <c r="W455" s="49">
        <v>0</v>
      </c>
      <c r="X455" s="49">
        <v>1365.173957061457</v>
      </c>
      <c r="Y455" s="434">
        <v>0</v>
      </c>
      <c r="Z455" s="434">
        <v>0</v>
      </c>
      <c r="AA455" s="49">
        <v>0.11456167706167707</v>
      </c>
      <c r="AB455" s="49">
        <v>4.8789414414414418</v>
      </c>
      <c r="AC455" s="49">
        <v>6.4968814968814972E-3</v>
      </c>
      <c r="AD455" s="285">
        <v>0</v>
      </c>
      <c r="AE455" s="285">
        <v>0</v>
      </c>
      <c r="AF455" s="359">
        <v>5</v>
      </c>
      <c r="AG455" s="360">
        <v>6.8737006237006237E-2</v>
      </c>
      <c r="AH455" s="360">
        <v>2.9273648648648654</v>
      </c>
      <c r="AI455" s="361">
        <v>2.9961018711018714</v>
      </c>
      <c r="AJ455" s="360">
        <v>3.8981288981288983E-3</v>
      </c>
      <c r="AK455" s="360">
        <v>0.10414965256455638</v>
      </c>
      <c r="AL455" s="360">
        <v>4.4355151656462963</v>
      </c>
      <c r="AM455" s="360">
        <v>4.539664818210853</v>
      </c>
      <c r="AN455" s="360">
        <v>5.9064075178387361E-3</v>
      </c>
      <c r="AO455" s="360">
        <v>6.27193638767157E-2</v>
      </c>
      <c r="AP455" s="360">
        <v>2.6710861035510929</v>
      </c>
      <c r="AQ455" s="360">
        <v>2.7338054674278087</v>
      </c>
      <c r="AR455" s="360">
        <v>3.5568637359196047E-3</v>
      </c>
      <c r="AS455" s="360">
        <v>0</v>
      </c>
      <c r="AT455" s="360">
        <v>0</v>
      </c>
      <c r="AU455" s="360">
        <v>4.127073954422424</v>
      </c>
      <c r="AV455" s="360">
        <v>4.3284561258081187</v>
      </c>
      <c r="AW455" s="360">
        <v>4.539664818210853</v>
      </c>
      <c r="AX455" s="360">
        <v>4.7611795205279535</v>
      </c>
      <c r="AY455" s="360">
        <v>4.9935031185031189</v>
      </c>
      <c r="AZ455" s="360">
        <v>2.4944720357554431</v>
      </c>
      <c r="BA455" s="360">
        <v>2.6113983399117813</v>
      </c>
      <c r="BB455" s="360">
        <v>2.7338054674278083</v>
      </c>
      <c r="BC455" s="360">
        <v>2.8619503273447959</v>
      </c>
      <c r="BD455" s="360">
        <v>2.9961018711018714</v>
      </c>
      <c r="BE455" s="360">
        <v>0</v>
      </c>
      <c r="BF455" s="360">
        <v>0</v>
      </c>
      <c r="BG455" s="360">
        <v>0</v>
      </c>
      <c r="BH455" s="360">
        <v>0</v>
      </c>
      <c r="BI455" s="360">
        <v>0</v>
      </c>
      <c r="BJ455" s="362">
        <v>5.0604490447289807</v>
      </c>
      <c r="BK455" s="362">
        <v>5.1282924885756147</v>
      </c>
      <c r="BL455" s="362">
        <v>5.197045482707666</v>
      </c>
      <c r="BM455" s="363">
        <v>5.1628771888375251</v>
      </c>
      <c r="BN455" s="363">
        <v>5.1289335365084057</v>
      </c>
      <c r="BO455" s="363">
        <v>5.1125551915975382</v>
      </c>
      <c r="BP455" s="363">
        <v>5.0962291480433004</v>
      </c>
      <c r="BQ455" s="363">
        <v>5.0799552388305305</v>
      </c>
      <c r="BR455" s="363">
        <v>5.063733297477401</v>
      </c>
      <c r="BS455" s="363">
        <v>5.047563158033717</v>
      </c>
      <c r="BT455" s="363">
        <v>5.0848998203409987</v>
      </c>
      <c r="BU455" s="363">
        <v>5.1225126607383009</v>
      </c>
      <c r="BV455" s="363">
        <v>5.1604037221060715</v>
      </c>
      <c r="BW455" s="363">
        <v>5.1985750624358822</v>
      </c>
      <c r="BX455" s="363">
        <v>5.2370287549421937</v>
      </c>
      <c r="BY455" s="435">
        <v>5.2581382588787582</v>
      </c>
      <c r="BZ455" s="435">
        <v>5.2792477628153227</v>
      </c>
      <c r="CA455" s="435">
        <v>5.3003572667518872</v>
      </c>
      <c r="CB455" s="435">
        <v>5.3214667706884518</v>
      </c>
      <c r="CC455" s="363">
        <v>5.3425762746250163</v>
      </c>
      <c r="CD455" s="435">
        <v>5.3598798285907518</v>
      </c>
      <c r="CE455" s="435">
        <v>5.3771833825564874</v>
      </c>
      <c r="CF455" s="435">
        <v>5.3944869365222239</v>
      </c>
      <c r="CG455" s="435">
        <v>5.4117904904879595</v>
      </c>
      <c r="CH455" s="363">
        <v>5.429094044453695</v>
      </c>
      <c r="CI455" s="362">
        <v>3.0362694268373884</v>
      </c>
      <c r="CJ455" s="362">
        <v>3.076975493145369</v>
      </c>
      <c r="CK455" s="362">
        <v>3.1182272896245999</v>
      </c>
      <c r="CL455" s="363">
        <v>3.0977263133025152</v>
      </c>
      <c r="CM455" s="363">
        <v>3.0773601219050439</v>
      </c>
      <c r="CN455" s="363">
        <v>3.0675331149585232</v>
      </c>
      <c r="CO455" s="363">
        <v>3.0577374888259805</v>
      </c>
      <c r="CP455" s="363">
        <v>3.0479731432983184</v>
      </c>
      <c r="CQ455" s="363">
        <v>3.0382399784864411</v>
      </c>
      <c r="CR455" s="363">
        <v>3.0285378948202308</v>
      </c>
      <c r="CS455" s="363">
        <v>3.0509398922045996</v>
      </c>
      <c r="CT455" s="363">
        <v>3.0735075964429805</v>
      </c>
      <c r="CU455" s="363">
        <v>3.0962422332636432</v>
      </c>
      <c r="CV455" s="363">
        <v>3.1191450374615295</v>
      </c>
      <c r="CW455" s="363">
        <v>3.1422172529653167</v>
      </c>
      <c r="CX455" s="435">
        <v>3.1548829553272553</v>
      </c>
      <c r="CY455" s="435">
        <v>3.1675486576891942</v>
      </c>
      <c r="CZ455" s="435">
        <v>3.1802143600511328</v>
      </c>
      <c r="DA455" s="435">
        <v>3.1928800624130718</v>
      </c>
      <c r="DB455" s="363">
        <v>3.2055457647750103</v>
      </c>
      <c r="DC455" s="435">
        <v>3.2159278971544518</v>
      </c>
      <c r="DD455" s="435">
        <v>3.2263100295338933</v>
      </c>
      <c r="DE455" s="435">
        <v>3.2366921619133344</v>
      </c>
      <c r="DF455" s="435">
        <v>3.2470742942927759</v>
      </c>
      <c r="DG455" s="363">
        <v>3.2574564266722175</v>
      </c>
      <c r="DH455" s="362">
        <v>0</v>
      </c>
      <c r="DI455" s="362">
        <v>0</v>
      </c>
      <c r="DJ455" s="362">
        <v>0</v>
      </c>
      <c r="DK455" s="363">
        <v>0</v>
      </c>
      <c r="DL455" s="363">
        <v>0</v>
      </c>
      <c r="DM455" s="363">
        <v>0</v>
      </c>
      <c r="DN455" s="363">
        <v>0</v>
      </c>
      <c r="DO455" s="363">
        <v>0</v>
      </c>
      <c r="DP455" s="363">
        <v>0</v>
      </c>
      <c r="DQ455" s="363">
        <v>0</v>
      </c>
      <c r="DR455" s="363">
        <v>0</v>
      </c>
      <c r="DS455" s="363">
        <v>0</v>
      </c>
      <c r="DT455" s="363">
        <v>0</v>
      </c>
      <c r="DU455" s="363">
        <v>0</v>
      </c>
      <c r="DV455" s="363">
        <v>0</v>
      </c>
      <c r="DW455" s="435">
        <v>0</v>
      </c>
      <c r="DX455" s="435">
        <v>0</v>
      </c>
      <c r="DY455" s="435">
        <v>0</v>
      </c>
      <c r="DZ455" s="435">
        <v>0</v>
      </c>
      <c r="EA455" s="363">
        <v>0</v>
      </c>
      <c r="EB455" s="435">
        <v>0</v>
      </c>
      <c r="EC455" s="435">
        <v>0</v>
      </c>
      <c r="ED455" s="435">
        <v>0</v>
      </c>
      <c r="EE455" s="435">
        <v>0</v>
      </c>
      <c r="EF455" s="363">
        <v>0</v>
      </c>
      <c r="EG455" s="364">
        <v>6.583982623899272E-3</v>
      </c>
      <c r="EH455" s="364">
        <v>6.6722514813630169E-3</v>
      </c>
      <c r="EI455" s="364">
        <v>6.7617037245741168E-3</v>
      </c>
      <c r="EJ455" s="365">
        <v>6.7172484892499681E-3</v>
      </c>
      <c r="EK455" s="365">
        <v>6.6730855275935544E-3</v>
      </c>
      <c r="EL455" s="365">
        <v>6.6517762055653632E-3</v>
      </c>
      <c r="EM455" s="365">
        <v>6.6305349310997923E-3</v>
      </c>
      <c r="EN455" s="365">
        <v>6.6093614868989467E-3</v>
      </c>
      <c r="EO455" s="365">
        <v>6.5882556563588365E-3</v>
      </c>
      <c r="EP455" s="365">
        <v>6.567217223567158E-3</v>
      </c>
      <c r="EQ455" s="365">
        <v>6.61579471811215E-3</v>
      </c>
      <c r="ER455" s="365">
        <v>6.6647315388216246E-3</v>
      </c>
      <c r="ES455" s="365">
        <v>6.7140303436196615E-3</v>
      </c>
      <c r="ET455" s="365">
        <v>6.7636938100909217E-3</v>
      </c>
      <c r="EU455" s="365">
        <v>6.813724635626065E-3</v>
      </c>
      <c r="EV455" s="436">
        <v>6.841189511942178E-3</v>
      </c>
      <c r="EW455" s="436">
        <v>6.868654388258291E-3</v>
      </c>
      <c r="EX455" s="436">
        <v>6.896119264574405E-3</v>
      </c>
      <c r="EY455" s="436">
        <v>6.923584140890518E-3</v>
      </c>
      <c r="EZ455" s="365">
        <v>6.951049017206631E-3</v>
      </c>
      <c r="FA455" s="436">
        <v>6.9735620980884106E-3</v>
      </c>
      <c r="FB455" s="436">
        <v>6.9960751789701903E-3</v>
      </c>
      <c r="FC455" s="436">
        <v>7.018588259851969E-3</v>
      </c>
      <c r="FD455" s="436">
        <v>7.0411013407337486E-3</v>
      </c>
      <c r="FE455" s="365">
        <v>7.0636144216155283E-3</v>
      </c>
      <c r="FF455" s="364">
        <v>0</v>
      </c>
      <c r="FG455" s="364">
        <v>0</v>
      </c>
      <c r="FH455" s="364">
        <v>0</v>
      </c>
      <c r="FI455" s="365">
        <v>0</v>
      </c>
      <c r="FJ455" s="365">
        <v>0</v>
      </c>
      <c r="FK455" s="365">
        <v>0</v>
      </c>
      <c r="FL455" s="365">
        <v>0</v>
      </c>
      <c r="FM455" s="365">
        <v>0</v>
      </c>
      <c r="FN455" s="365">
        <v>0</v>
      </c>
      <c r="FO455" s="365">
        <v>0</v>
      </c>
      <c r="FP455" s="365">
        <v>0</v>
      </c>
      <c r="FQ455" s="365">
        <v>0</v>
      </c>
      <c r="FR455" s="365">
        <v>0</v>
      </c>
      <c r="FS455" s="365">
        <v>0</v>
      </c>
      <c r="FT455" s="365">
        <v>0</v>
      </c>
      <c r="FU455" s="436">
        <v>0</v>
      </c>
      <c r="FV455" s="436">
        <v>0</v>
      </c>
      <c r="FW455" s="436">
        <v>0</v>
      </c>
      <c r="FX455" s="436">
        <v>0</v>
      </c>
      <c r="FY455" s="365">
        <v>0</v>
      </c>
      <c r="FZ455" s="436">
        <v>0</v>
      </c>
      <c r="GA455" s="436">
        <v>0</v>
      </c>
      <c r="GB455" s="436">
        <v>0</v>
      </c>
      <c r="GC455" s="436">
        <v>0</v>
      </c>
      <c r="GD455" s="365">
        <v>0</v>
      </c>
    </row>
    <row r="456" spans="1:186" ht="15" x14ac:dyDescent="0.25">
      <c r="A456" s="357">
        <v>128</v>
      </c>
      <c r="B456" s="357">
        <v>125</v>
      </c>
      <c r="C456" s="357" t="s">
        <v>1366</v>
      </c>
      <c r="D456" s="2">
        <v>99712</v>
      </c>
      <c r="E456" s="268" t="s">
        <v>19</v>
      </c>
      <c r="F456" s="358" t="s">
        <v>915</v>
      </c>
      <c r="G456" s="49">
        <v>2</v>
      </c>
      <c r="H456" s="49">
        <v>1</v>
      </c>
      <c r="I456" s="49">
        <v>1</v>
      </c>
      <c r="J456" s="49">
        <v>0</v>
      </c>
      <c r="K456" s="49">
        <v>0</v>
      </c>
      <c r="L456" s="49">
        <v>22</v>
      </c>
      <c r="M456" s="49">
        <v>22</v>
      </c>
      <c r="N456" s="49">
        <v>0</v>
      </c>
      <c r="O456" s="49">
        <v>0</v>
      </c>
      <c r="P456" s="49">
        <v>0</v>
      </c>
      <c r="Q456" s="49">
        <v>22</v>
      </c>
      <c r="R456" s="49">
        <v>0</v>
      </c>
      <c r="S456" s="49">
        <v>816.09090909090912</v>
      </c>
      <c r="T456" s="49">
        <v>816.09090909090912</v>
      </c>
      <c r="U456" s="49">
        <v>0</v>
      </c>
      <c r="V456" s="49">
        <v>0</v>
      </c>
      <c r="W456" s="49">
        <v>0</v>
      </c>
      <c r="X456" s="49">
        <v>816.09090909090912</v>
      </c>
      <c r="Y456" s="434">
        <v>17954</v>
      </c>
      <c r="Z456" s="434">
        <v>0</v>
      </c>
      <c r="AA456" s="49">
        <v>0</v>
      </c>
      <c r="AB456" s="49">
        <v>1</v>
      </c>
      <c r="AC456" s="49">
        <v>0</v>
      </c>
      <c r="AD456" s="285">
        <v>0</v>
      </c>
      <c r="AE456" s="285">
        <v>0</v>
      </c>
      <c r="AF456" s="359">
        <v>1</v>
      </c>
      <c r="AG456" s="360">
        <v>0</v>
      </c>
      <c r="AH456" s="360">
        <v>1</v>
      </c>
      <c r="AI456" s="361">
        <v>1</v>
      </c>
      <c r="AJ456" s="360">
        <v>0</v>
      </c>
      <c r="AK456" s="360">
        <v>0</v>
      </c>
      <c r="AL456" s="360">
        <v>0.90911424514573824</v>
      </c>
      <c r="AM456" s="360">
        <v>0.90911424514573824</v>
      </c>
      <c r="AN456" s="360">
        <v>0</v>
      </c>
      <c r="AO456" s="360">
        <v>0</v>
      </c>
      <c r="AP456" s="360">
        <v>0.91245411038790925</v>
      </c>
      <c r="AQ456" s="360">
        <v>0.91245411038790925</v>
      </c>
      <c r="AR456" s="360">
        <v>0</v>
      </c>
      <c r="AS456" s="360">
        <v>0</v>
      </c>
      <c r="AT456" s="360">
        <v>0</v>
      </c>
      <c r="AU456" s="360">
        <v>0.82648871072690544</v>
      </c>
      <c r="AV456" s="360">
        <v>0.86681754733851879</v>
      </c>
      <c r="AW456" s="360">
        <v>0.90911424514573824</v>
      </c>
      <c r="AX456" s="360">
        <v>0.95347482669745309</v>
      </c>
      <c r="AY456" s="360">
        <v>1</v>
      </c>
      <c r="AZ456" s="360">
        <v>0.83257250356379087</v>
      </c>
      <c r="BA456" s="360">
        <v>0.87159864792961517</v>
      </c>
      <c r="BB456" s="360">
        <v>0.91245411038790925</v>
      </c>
      <c r="BC456" s="360">
        <v>0.9552246387043779</v>
      </c>
      <c r="BD456" s="360">
        <v>1</v>
      </c>
      <c r="BE456" s="360">
        <v>0</v>
      </c>
      <c r="BF456" s="360">
        <v>0</v>
      </c>
      <c r="BG456" s="360">
        <v>0</v>
      </c>
      <c r="BH456" s="360">
        <v>0</v>
      </c>
      <c r="BI456" s="360">
        <v>0</v>
      </c>
      <c r="BJ456" s="362">
        <v>1.0134066054705759</v>
      </c>
      <c r="BK456" s="362">
        <v>1.0269929480113955</v>
      </c>
      <c r="BL456" s="362">
        <v>1.040761437286448</v>
      </c>
      <c r="BM456" s="363">
        <v>1.0339188874653549</v>
      </c>
      <c r="BN456" s="363">
        <v>1.0271213244071997</v>
      </c>
      <c r="BO456" s="363">
        <v>1.0238413935606208</v>
      </c>
      <c r="BP456" s="363">
        <v>1.02057193659488</v>
      </c>
      <c r="BQ456" s="363">
        <v>1.0173129200634858</v>
      </c>
      <c r="BR456" s="363">
        <v>1.014064310626752</v>
      </c>
      <c r="BS456" s="363">
        <v>1.0108260750514568</v>
      </c>
      <c r="BT456" s="363">
        <v>1.018303123011822</v>
      </c>
      <c r="BU456" s="363">
        <v>1.0258354784554244</v>
      </c>
      <c r="BV456" s="363">
        <v>1.0334235504899383</v>
      </c>
      <c r="BW456" s="363">
        <v>1.0410677512491946</v>
      </c>
      <c r="BX456" s="363">
        <v>1.0487684959155639</v>
      </c>
      <c r="BY456" s="435">
        <v>1.05299588967814</v>
      </c>
      <c r="BZ456" s="435">
        <v>1.057223283440716</v>
      </c>
      <c r="CA456" s="435">
        <v>1.0614506772032923</v>
      </c>
      <c r="CB456" s="435">
        <v>1.0656780709658684</v>
      </c>
      <c r="CC456" s="363">
        <v>1.0699054647284445</v>
      </c>
      <c r="CD456" s="435">
        <v>1.0733706781377681</v>
      </c>
      <c r="CE456" s="435">
        <v>1.0768358915470915</v>
      </c>
      <c r="CF456" s="435">
        <v>1.0803011049564151</v>
      </c>
      <c r="CG456" s="435">
        <v>1.0837663183657384</v>
      </c>
      <c r="CH456" s="363">
        <v>1.087231531775062</v>
      </c>
      <c r="CI456" s="362">
        <v>1.0134066054705759</v>
      </c>
      <c r="CJ456" s="362">
        <v>1.0269929480113955</v>
      </c>
      <c r="CK456" s="362">
        <v>1.040761437286448</v>
      </c>
      <c r="CL456" s="363">
        <v>1.0339188874653549</v>
      </c>
      <c r="CM456" s="363">
        <v>1.0271213244071997</v>
      </c>
      <c r="CN456" s="363">
        <v>1.0238413935606208</v>
      </c>
      <c r="CO456" s="363">
        <v>1.02057193659488</v>
      </c>
      <c r="CP456" s="363">
        <v>1.0173129200634858</v>
      </c>
      <c r="CQ456" s="363">
        <v>1.014064310626752</v>
      </c>
      <c r="CR456" s="363">
        <v>1.0108260750514568</v>
      </c>
      <c r="CS456" s="363">
        <v>1.018303123011822</v>
      </c>
      <c r="CT456" s="363">
        <v>1.0258354784554244</v>
      </c>
      <c r="CU456" s="363">
        <v>1.0334235504899383</v>
      </c>
      <c r="CV456" s="363">
        <v>1.0410677512491946</v>
      </c>
      <c r="CW456" s="363">
        <v>1.0487684959155639</v>
      </c>
      <c r="CX456" s="435">
        <v>1.05299588967814</v>
      </c>
      <c r="CY456" s="435">
        <v>1.057223283440716</v>
      </c>
      <c r="CZ456" s="435">
        <v>1.0614506772032923</v>
      </c>
      <c r="DA456" s="435">
        <v>1.0656780709658684</v>
      </c>
      <c r="DB456" s="363">
        <v>1.0699054647284445</v>
      </c>
      <c r="DC456" s="435">
        <v>1.0733706781377681</v>
      </c>
      <c r="DD456" s="435">
        <v>1.0768358915470915</v>
      </c>
      <c r="DE456" s="435">
        <v>1.0803011049564151</v>
      </c>
      <c r="DF456" s="435">
        <v>1.0837663183657384</v>
      </c>
      <c r="DG456" s="363">
        <v>1.087231531775062</v>
      </c>
      <c r="DH456" s="362">
        <v>0</v>
      </c>
      <c r="DI456" s="362">
        <v>0</v>
      </c>
      <c r="DJ456" s="362">
        <v>0</v>
      </c>
      <c r="DK456" s="363">
        <v>0</v>
      </c>
      <c r="DL456" s="363">
        <v>0</v>
      </c>
      <c r="DM456" s="363">
        <v>0</v>
      </c>
      <c r="DN456" s="363">
        <v>0</v>
      </c>
      <c r="DO456" s="363">
        <v>0</v>
      </c>
      <c r="DP456" s="363">
        <v>0</v>
      </c>
      <c r="DQ456" s="363">
        <v>0</v>
      </c>
      <c r="DR456" s="363">
        <v>0</v>
      </c>
      <c r="DS456" s="363">
        <v>0</v>
      </c>
      <c r="DT456" s="363">
        <v>0</v>
      </c>
      <c r="DU456" s="363">
        <v>0</v>
      </c>
      <c r="DV456" s="363">
        <v>0</v>
      </c>
      <c r="DW456" s="435">
        <v>0</v>
      </c>
      <c r="DX456" s="435">
        <v>0</v>
      </c>
      <c r="DY456" s="435">
        <v>0</v>
      </c>
      <c r="DZ456" s="435">
        <v>0</v>
      </c>
      <c r="EA456" s="363">
        <v>0</v>
      </c>
      <c r="EB456" s="435">
        <v>0</v>
      </c>
      <c r="EC456" s="435">
        <v>0</v>
      </c>
      <c r="ED456" s="435">
        <v>0</v>
      </c>
      <c r="EE456" s="435">
        <v>0</v>
      </c>
      <c r="EF456" s="363">
        <v>0</v>
      </c>
      <c r="EG456" s="364">
        <v>0</v>
      </c>
      <c r="EH456" s="364">
        <v>0</v>
      </c>
      <c r="EI456" s="364">
        <v>0</v>
      </c>
      <c r="EJ456" s="365">
        <v>0</v>
      </c>
      <c r="EK456" s="365">
        <v>0</v>
      </c>
      <c r="EL456" s="365">
        <v>0</v>
      </c>
      <c r="EM456" s="365">
        <v>0</v>
      </c>
      <c r="EN456" s="365">
        <v>0</v>
      </c>
      <c r="EO456" s="365">
        <v>0</v>
      </c>
      <c r="EP456" s="365">
        <v>0</v>
      </c>
      <c r="EQ456" s="365">
        <v>0</v>
      </c>
      <c r="ER456" s="365">
        <v>0</v>
      </c>
      <c r="ES456" s="365">
        <v>0</v>
      </c>
      <c r="ET456" s="365">
        <v>0</v>
      </c>
      <c r="EU456" s="365">
        <v>0</v>
      </c>
      <c r="EV456" s="436">
        <v>0</v>
      </c>
      <c r="EW456" s="436">
        <v>0</v>
      </c>
      <c r="EX456" s="436">
        <v>0</v>
      </c>
      <c r="EY456" s="436">
        <v>0</v>
      </c>
      <c r="EZ456" s="365">
        <v>0</v>
      </c>
      <c r="FA456" s="436">
        <v>0</v>
      </c>
      <c r="FB456" s="436">
        <v>0</v>
      </c>
      <c r="FC456" s="436">
        <v>0</v>
      </c>
      <c r="FD456" s="436">
        <v>0</v>
      </c>
      <c r="FE456" s="365">
        <v>0</v>
      </c>
      <c r="FF456" s="364">
        <v>0</v>
      </c>
      <c r="FG456" s="364">
        <v>0</v>
      </c>
      <c r="FH456" s="364">
        <v>0</v>
      </c>
      <c r="FI456" s="365">
        <v>0</v>
      </c>
      <c r="FJ456" s="365">
        <v>0</v>
      </c>
      <c r="FK456" s="365">
        <v>0</v>
      </c>
      <c r="FL456" s="365">
        <v>0</v>
      </c>
      <c r="FM456" s="365">
        <v>0</v>
      </c>
      <c r="FN456" s="365">
        <v>0</v>
      </c>
      <c r="FO456" s="365">
        <v>0</v>
      </c>
      <c r="FP456" s="365">
        <v>0</v>
      </c>
      <c r="FQ456" s="365">
        <v>0</v>
      </c>
      <c r="FR456" s="365">
        <v>0</v>
      </c>
      <c r="FS456" s="365">
        <v>0</v>
      </c>
      <c r="FT456" s="365">
        <v>0</v>
      </c>
      <c r="FU456" s="436">
        <v>0</v>
      </c>
      <c r="FV456" s="436">
        <v>0</v>
      </c>
      <c r="FW456" s="436">
        <v>0</v>
      </c>
      <c r="FX456" s="436">
        <v>0</v>
      </c>
      <c r="FY456" s="365">
        <v>0</v>
      </c>
      <c r="FZ456" s="436">
        <v>0</v>
      </c>
      <c r="GA456" s="436">
        <v>0</v>
      </c>
      <c r="GB456" s="436">
        <v>0</v>
      </c>
      <c r="GC456" s="436">
        <v>0</v>
      </c>
      <c r="GD456" s="365">
        <v>0</v>
      </c>
    </row>
    <row r="457" spans="1:186" ht="15" x14ac:dyDescent="0.25">
      <c r="A457" s="357">
        <v>130</v>
      </c>
      <c r="B457" s="357">
        <v>125</v>
      </c>
      <c r="C457" s="357" t="s">
        <v>1367</v>
      </c>
      <c r="D457" s="2">
        <v>99712</v>
      </c>
      <c r="E457" s="268" t="s">
        <v>19</v>
      </c>
      <c r="F457" s="358" t="s">
        <v>915</v>
      </c>
      <c r="G457" s="49">
        <v>1</v>
      </c>
      <c r="H457" s="49">
        <v>1</v>
      </c>
      <c r="I457" s="49">
        <v>1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0</v>
      </c>
      <c r="P457" s="49">
        <v>0</v>
      </c>
      <c r="Q457" s="49">
        <v>0</v>
      </c>
      <c r="R457" s="49">
        <v>0</v>
      </c>
      <c r="S457" s="49">
        <v>834.49503068156923</v>
      </c>
      <c r="T457" s="49">
        <v>834.49503068156923</v>
      </c>
      <c r="U457" s="49">
        <v>1408.3846153846155</v>
      </c>
      <c r="V457" s="49">
        <v>0</v>
      </c>
      <c r="W457" s="49">
        <v>0</v>
      </c>
      <c r="X457" s="49">
        <v>1365.173957061457</v>
      </c>
      <c r="Y457" s="434">
        <v>0</v>
      </c>
      <c r="Z457" s="434">
        <v>0</v>
      </c>
      <c r="AA457" s="49">
        <v>2.2912335412335411E-2</v>
      </c>
      <c r="AB457" s="49">
        <v>0.97578828828828834</v>
      </c>
      <c r="AC457" s="49">
        <v>1.2993762993762994E-3</v>
      </c>
      <c r="AD457" s="285">
        <v>0</v>
      </c>
      <c r="AE457" s="285">
        <v>0</v>
      </c>
      <c r="AF457" s="359">
        <v>1</v>
      </c>
      <c r="AG457" s="360">
        <v>2.2912335412335411E-2</v>
      </c>
      <c r="AH457" s="360">
        <v>0.97578828828828834</v>
      </c>
      <c r="AI457" s="361">
        <v>0.99870062370062374</v>
      </c>
      <c r="AJ457" s="360">
        <v>1.2993762993762994E-3</v>
      </c>
      <c r="AK457" s="360">
        <v>2.0829930512911272E-2</v>
      </c>
      <c r="AL457" s="360">
        <v>0.8871030331292592</v>
      </c>
      <c r="AM457" s="360">
        <v>0.90793296364217047</v>
      </c>
      <c r="AN457" s="360">
        <v>1.1812815035677471E-3</v>
      </c>
      <c r="AO457" s="360">
        <v>2.0906454625571898E-2</v>
      </c>
      <c r="AP457" s="360">
        <v>0.89036203451703089</v>
      </c>
      <c r="AQ457" s="360">
        <v>0.91126848914260283</v>
      </c>
      <c r="AR457" s="360">
        <v>1.1856212453065351E-3</v>
      </c>
      <c r="AS457" s="360">
        <v>0</v>
      </c>
      <c r="AT457" s="360">
        <v>0</v>
      </c>
      <c r="AU457" s="360">
        <v>0.82541479088448488</v>
      </c>
      <c r="AV457" s="360">
        <v>0.86569122516162356</v>
      </c>
      <c r="AW457" s="360">
        <v>0.90793296364217047</v>
      </c>
      <c r="AX457" s="360">
        <v>0.95223590410559056</v>
      </c>
      <c r="AY457" s="360">
        <v>0.99870062370062374</v>
      </c>
      <c r="AZ457" s="360">
        <v>0.83149067858514769</v>
      </c>
      <c r="BA457" s="360">
        <v>0.87046611330392698</v>
      </c>
      <c r="BB457" s="360">
        <v>0.91126848914260272</v>
      </c>
      <c r="BC457" s="360">
        <v>0.95398344244826516</v>
      </c>
      <c r="BD457" s="360">
        <v>0.99870062370062374</v>
      </c>
      <c r="BE457" s="360">
        <v>0</v>
      </c>
      <c r="BF457" s="360">
        <v>0</v>
      </c>
      <c r="BG457" s="360">
        <v>0</v>
      </c>
      <c r="BH457" s="360">
        <v>0</v>
      </c>
      <c r="BI457" s="360">
        <v>0</v>
      </c>
      <c r="BJ457" s="362">
        <v>1.0120898089457961</v>
      </c>
      <c r="BK457" s="362">
        <v>1.0256584977151229</v>
      </c>
      <c r="BL457" s="362">
        <v>1.0394090965415332</v>
      </c>
      <c r="BM457" s="363">
        <v>1.0325754377675052</v>
      </c>
      <c r="BN457" s="363">
        <v>1.0257867073016811</v>
      </c>
      <c r="BO457" s="363">
        <v>1.0225110383195077</v>
      </c>
      <c r="BP457" s="363">
        <v>1.0192458296086602</v>
      </c>
      <c r="BQ457" s="363">
        <v>1.015991047766106</v>
      </c>
      <c r="BR457" s="363">
        <v>1.0127466594954804</v>
      </c>
      <c r="BS457" s="363">
        <v>1.0095126316067435</v>
      </c>
      <c r="BT457" s="363">
        <v>1.0169799640681998</v>
      </c>
      <c r="BU457" s="363">
        <v>1.0245025321476602</v>
      </c>
      <c r="BV457" s="363">
        <v>1.0320807444212143</v>
      </c>
      <c r="BW457" s="363">
        <v>1.0397150124871766</v>
      </c>
      <c r="BX457" s="363">
        <v>1.0474057509884387</v>
      </c>
      <c r="BY457" s="435">
        <v>1.0516276517757517</v>
      </c>
      <c r="BZ457" s="435">
        <v>1.0558495525630647</v>
      </c>
      <c r="CA457" s="435">
        <v>1.0600714533503774</v>
      </c>
      <c r="CB457" s="435">
        <v>1.0642933541376904</v>
      </c>
      <c r="CC457" s="363">
        <v>1.0685152549250034</v>
      </c>
      <c r="CD457" s="435">
        <v>1.0719759657181505</v>
      </c>
      <c r="CE457" s="435">
        <v>1.0754366765112977</v>
      </c>
      <c r="CF457" s="435">
        <v>1.0788973873044447</v>
      </c>
      <c r="CG457" s="435">
        <v>1.082358098097592</v>
      </c>
      <c r="CH457" s="363">
        <v>1.085818808890739</v>
      </c>
      <c r="CI457" s="362">
        <v>1.0120898089457961</v>
      </c>
      <c r="CJ457" s="362">
        <v>1.0256584977151229</v>
      </c>
      <c r="CK457" s="362">
        <v>1.0394090965415332</v>
      </c>
      <c r="CL457" s="363">
        <v>1.0325754377675052</v>
      </c>
      <c r="CM457" s="363">
        <v>1.0257867073016811</v>
      </c>
      <c r="CN457" s="363">
        <v>1.0225110383195077</v>
      </c>
      <c r="CO457" s="363">
        <v>1.0192458296086602</v>
      </c>
      <c r="CP457" s="363">
        <v>1.015991047766106</v>
      </c>
      <c r="CQ457" s="363">
        <v>1.0127466594954804</v>
      </c>
      <c r="CR457" s="363">
        <v>1.0095126316067435</v>
      </c>
      <c r="CS457" s="363">
        <v>1.0169799640681998</v>
      </c>
      <c r="CT457" s="363">
        <v>1.0245025321476602</v>
      </c>
      <c r="CU457" s="363">
        <v>1.0320807444212143</v>
      </c>
      <c r="CV457" s="363">
        <v>1.0397150124871766</v>
      </c>
      <c r="CW457" s="363">
        <v>1.0474057509884387</v>
      </c>
      <c r="CX457" s="435">
        <v>1.0516276517757517</v>
      </c>
      <c r="CY457" s="435">
        <v>1.0558495525630647</v>
      </c>
      <c r="CZ457" s="435">
        <v>1.0600714533503774</v>
      </c>
      <c r="DA457" s="435">
        <v>1.0642933541376904</v>
      </c>
      <c r="DB457" s="363">
        <v>1.0685152549250034</v>
      </c>
      <c r="DC457" s="435">
        <v>1.0719759657181505</v>
      </c>
      <c r="DD457" s="435">
        <v>1.0754366765112977</v>
      </c>
      <c r="DE457" s="435">
        <v>1.0788973873044447</v>
      </c>
      <c r="DF457" s="435">
        <v>1.082358098097592</v>
      </c>
      <c r="DG457" s="363">
        <v>1.085818808890739</v>
      </c>
      <c r="DH457" s="362">
        <v>0</v>
      </c>
      <c r="DI457" s="362">
        <v>0</v>
      </c>
      <c r="DJ457" s="362">
        <v>0</v>
      </c>
      <c r="DK457" s="363">
        <v>0</v>
      </c>
      <c r="DL457" s="363">
        <v>0</v>
      </c>
      <c r="DM457" s="363">
        <v>0</v>
      </c>
      <c r="DN457" s="363">
        <v>0</v>
      </c>
      <c r="DO457" s="363">
        <v>0</v>
      </c>
      <c r="DP457" s="363">
        <v>0</v>
      </c>
      <c r="DQ457" s="363">
        <v>0</v>
      </c>
      <c r="DR457" s="363">
        <v>0</v>
      </c>
      <c r="DS457" s="363">
        <v>0</v>
      </c>
      <c r="DT457" s="363">
        <v>0</v>
      </c>
      <c r="DU457" s="363">
        <v>0</v>
      </c>
      <c r="DV457" s="363">
        <v>0</v>
      </c>
      <c r="DW457" s="435">
        <v>0</v>
      </c>
      <c r="DX457" s="435">
        <v>0</v>
      </c>
      <c r="DY457" s="435">
        <v>0</v>
      </c>
      <c r="DZ457" s="435">
        <v>0</v>
      </c>
      <c r="EA457" s="363">
        <v>0</v>
      </c>
      <c r="EB457" s="435">
        <v>0</v>
      </c>
      <c r="EC457" s="435">
        <v>0</v>
      </c>
      <c r="ED457" s="435">
        <v>0</v>
      </c>
      <c r="EE457" s="435">
        <v>0</v>
      </c>
      <c r="EF457" s="363">
        <v>0</v>
      </c>
      <c r="EG457" s="364">
        <v>1.3167965247798544E-3</v>
      </c>
      <c r="EH457" s="364">
        <v>1.3344502962726033E-3</v>
      </c>
      <c r="EI457" s="364">
        <v>1.3523407449148232E-3</v>
      </c>
      <c r="EJ457" s="365">
        <v>1.3434496978499935E-3</v>
      </c>
      <c r="EK457" s="365">
        <v>1.3346171055187107E-3</v>
      </c>
      <c r="EL457" s="365">
        <v>1.3303552411130725E-3</v>
      </c>
      <c r="EM457" s="365">
        <v>1.3261069862199584E-3</v>
      </c>
      <c r="EN457" s="365">
        <v>1.3218722973797892E-3</v>
      </c>
      <c r="EO457" s="365">
        <v>1.3176511312717671E-3</v>
      </c>
      <c r="EP457" s="365">
        <v>1.3134434447134315E-3</v>
      </c>
      <c r="EQ457" s="365">
        <v>1.3231589436224298E-3</v>
      </c>
      <c r="ER457" s="365">
        <v>1.3329463077643249E-3</v>
      </c>
      <c r="ES457" s="365">
        <v>1.3428060687239321E-3</v>
      </c>
      <c r="ET457" s="365">
        <v>1.3527387620181843E-3</v>
      </c>
      <c r="EU457" s="365">
        <v>1.3627449271252129E-3</v>
      </c>
      <c r="EV457" s="436">
        <v>1.3682379023884355E-3</v>
      </c>
      <c r="EW457" s="436">
        <v>1.3737308776516583E-3</v>
      </c>
      <c r="EX457" s="436">
        <v>1.3792238529148808E-3</v>
      </c>
      <c r="EY457" s="436">
        <v>1.3847168281781036E-3</v>
      </c>
      <c r="EZ457" s="365">
        <v>1.3902098034413262E-3</v>
      </c>
      <c r="FA457" s="436">
        <v>1.394712419617682E-3</v>
      </c>
      <c r="FB457" s="436">
        <v>1.399215035794038E-3</v>
      </c>
      <c r="FC457" s="436">
        <v>1.4037176519703938E-3</v>
      </c>
      <c r="FD457" s="436">
        <v>1.4082202681467498E-3</v>
      </c>
      <c r="FE457" s="365">
        <v>1.4127228843231056E-3</v>
      </c>
      <c r="FF457" s="364">
        <v>0</v>
      </c>
      <c r="FG457" s="364">
        <v>0</v>
      </c>
      <c r="FH457" s="364">
        <v>0</v>
      </c>
      <c r="FI457" s="365">
        <v>0</v>
      </c>
      <c r="FJ457" s="365">
        <v>0</v>
      </c>
      <c r="FK457" s="365">
        <v>0</v>
      </c>
      <c r="FL457" s="365">
        <v>0</v>
      </c>
      <c r="FM457" s="365">
        <v>0</v>
      </c>
      <c r="FN457" s="365">
        <v>0</v>
      </c>
      <c r="FO457" s="365">
        <v>0</v>
      </c>
      <c r="FP457" s="365">
        <v>0</v>
      </c>
      <c r="FQ457" s="365">
        <v>0</v>
      </c>
      <c r="FR457" s="365">
        <v>0</v>
      </c>
      <c r="FS457" s="365">
        <v>0</v>
      </c>
      <c r="FT457" s="365">
        <v>0</v>
      </c>
      <c r="FU457" s="436">
        <v>0</v>
      </c>
      <c r="FV457" s="436">
        <v>0</v>
      </c>
      <c r="FW457" s="436">
        <v>0</v>
      </c>
      <c r="FX457" s="436">
        <v>0</v>
      </c>
      <c r="FY457" s="365">
        <v>0</v>
      </c>
      <c r="FZ457" s="436">
        <v>0</v>
      </c>
      <c r="GA457" s="436">
        <v>0</v>
      </c>
      <c r="GB457" s="436">
        <v>0</v>
      </c>
      <c r="GC457" s="436">
        <v>0</v>
      </c>
      <c r="GD457" s="365">
        <v>0</v>
      </c>
    </row>
    <row r="458" spans="1:186" ht="15" x14ac:dyDescent="0.25">
      <c r="A458" s="357">
        <v>135</v>
      </c>
      <c r="B458" s="357">
        <v>129</v>
      </c>
      <c r="C458" s="357" t="s">
        <v>1368</v>
      </c>
      <c r="D458" s="2">
        <v>99712</v>
      </c>
      <c r="E458" s="268" t="s">
        <v>19</v>
      </c>
      <c r="F458" s="358" t="s">
        <v>915</v>
      </c>
      <c r="G458" s="49">
        <v>20</v>
      </c>
      <c r="H458" s="49">
        <v>30</v>
      </c>
      <c r="I458" s="49">
        <v>13</v>
      </c>
      <c r="J458" s="49">
        <v>17</v>
      </c>
      <c r="K458" s="49">
        <v>0</v>
      </c>
      <c r="L458" s="49">
        <v>0</v>
      </c>
      <c r="M458" s="49">
        <v>0</v>
      </c>
      <c r="N458" s="49">
        <v>0</v>
      </c>
      <c r="O458" s="49">
        <v>0</v>
      </c>
      <c r="P458" s="49">
        <v>0</v>
      </c>
      <c r="Q458" s="49">
        <v>0</v>
      </c>
      <c r="R458" s="49">
        <v>0</v>
      </c>
      <c r="S458" s="49">
        <v>834.49503068156923</v>
      </c>
      <c r="T458" s="49">
        <v>834.49503068156923</v>
      </c>
      <c r="U458" s="49">
        <v>1408.3846153846155</v>
      </c>
      <c r="V458" s="49">
        <v>0</v>
      </c>
      <c r="W458" s="49">
        <v>0</v>
      </c>
      <c r="X458" s="49">
        <v>1365.173957061457</v>
      </c>
      <c r="Y458" s="434">
        <v>0</v>
      </c>
      <c r="Z458" s="434">
        <v>0</v>
      </c>
      <c r="AA458" s="49">
        <v>0.68737006237006237</v>
      </c>
      <c r="AB458" s="49">
        <v>29.273648648648649</v>
      </c>
      <c r="AC458" s="49">
        <v>3.8981288981288983E-2</v>
      </c>
      <c r="AD458" s="285">
        <v>0</v>
      </c>
      <c r="AE458" s="285">
        <v>0</v>
      </c>
      <c r="AF458" s="359">
        <v>30</v>
      </c>
      <c r="AG458" s="360">
        <v>0.29786036036036034</v>
      </c>
      <c r="AH458" s="360">
        <v>12.685247747747749</v>
      </c>
      <c r="AI458" s="361">
        <v>12.983108108108109</v>
      </c>
      <c r="AJ458" s="360">
        <v>1.6891891891891893E-2</v>
      </c>
      <c r="AK458" s="360">
        <v>0.6248979153873383</v>
      </c>
      <c r="AL458" s="360">
        <v>26.613090993877776</v>
      </c>
      <c r="AM458" s="360">
        <v>27.237988909265116</v>
      </c>
      <c r="AN458" s="360">
        <v>3.5438445107032417E-2</v>
      </c>
      <c r="AO458" s="360">
        <v>0.27178391013243469</v>
      </c>
      <c r="AP458" s="360">
        <v>11.574706448721402</v>
      </c>
      <c r="AQ458" s="360">
        <v>11.846490358853837</v>
      </c>
      <c r="AR458" s="360">
        <v>1.5413076188984954E-2</v>
      </c>
      <c r="AS458" s="360">
        <v>0</v>
      </c>
      <c r="AT458" s="360">
        <v>0</v>
      </c>
      <c r="AU458" s="360">
        <v>24.762443726534542</v>
      </c>
      <c r="AV458" s="360">
        <v>25.970736754848705</v>
      </c>
      <c r="AW458" s="360">
        <v>27.237988909265113</v>
      </c>
      <c r="AX458" s="360">
        <v>28.567077123167714</v>
      </c>
      <c r="AY458" s="360">
        <v>29.96101871101871</v>
      </c>
      <c r="AZ458" s="360">
        <v>10.80937882160692</v>
      </c>
      <c r="BA458" s="360">
        <v>11.316059472951052</v>
      </c>
      <c r="BB458" s="360">
        <v>11.846490358853837</v>
      </c>
      <c r="BC458" s="360">
        <v>12.401784751827448</v>
      </c>
      <c r="BD458" s="360">
        <v>12.983108108108109</v>
      </c>
      <c r="BE458" s="360">
        <v>0</v>
      </c>
      <c r="BF458" s="360">
        <v>0</v>
      </c>
      <c r="BG458" s="360">
        <v>0</v>
      </c>
      <c r="BH458" s="360">
        <v>0</v>
      </c>
      <c r="BI458" s="360">
        <v>0</v>
      </c>
      <c r="BJ458" s="362">
        <v>30.362694268373883</v>
      </c>
      <c r="BK458" s="362">
        <v>30.769754931453686</v>
      </c>
      <c r="BL458" s="362">
        <v>31.182272896245994</v>
      </c>
      <c r="BM458" s="363">
        <v>30.977263133025147</v>
      </c>
      <c r="BN458" s="363">
        <v>30.77360121905043</v>
      </c>
      <c r="BO458" s="363">
        <v>30.675331149585229</v>
      </c>
      <c r="BP458" s="363">
        <v>30.577374888259801</v>
      </c>
      <c r="BQ458" s="363">
        <v>30.479731432983179</v>
      </c>
      <c r="BR458" s="363">
        <v>30.382399784864408</v>
      </c>
      <c r="BS458" s="363">
        <v>30.2853789482023</v>
      </c>
      <c r="BT458" s="363">
        <v>30.509398922045989</v>
      </c>
      <c r="BU458" s="363">
        <v>30.7350759644298</v>
      </c>
      <c r="BV458" s="363">
        <v>30.962422332636429</v>
      </c>
      <c r="BW458" s="363">
        <v>31.191450374615293</v>
      </c>
      <c r="BX458" s="363">
        <v>31.42217252965316</v>
      </c>
      <c r="BY458" s="435">
        <v>31.548829553272547</v>
      </c>
      <c r="BZ458" s="435">
        <v>31.675486576891934</v>
      </c>
      <c r="CA458" s="435">
        <v>31.802143600511322</v>
      </c>
      <c r="CB458" s="435">
        <v>31.928800624130709</v>
      </c>
      <c r="CC458" s="363">
        <v>32.055457647750096</v>
      </c>
      <c r="CD458" s="435">
        <v>32.159278971544509</v>
      </c>
      <c r="CE458" s="435">
        <v>32.263100295338923</v>
      </c>
      <c r="CF458" s="435">
        <v>32.366921619133343</v>
      </c>
      <c r="CG458" s="435">
        <v>32.470742942927757</v>
      </c>
      <c r="CH458" s="363">
        <v>32.57456426672217</v>
      </c>
      <c r="CI458" s="362">
        <v>13.157167516295349</v>
      </c>
      <c r="CJ458" s="362">
        <v>13.333560470296598</v>
      </c>
      <c r="CK458" s="362">
        <v>13.512318255039931</v>
      </c>
      <c r="CL458" s="363">
        <v>13.423480690977565</v>
      </c>
      <c r="CM458" s="363">
        <v>13.335227194921854</v>
      </c>
      <c r="CN458" s="363">
        <v>13.292643498153598</v>
      </c>
      <c r="CO458" s="363">
        <v>13.250195784912581</v>
      </c>
      <c r="CP458" s="363">
        <v>13.207883620959379</v>
      </c>
      <c r="CQ458" s="363">
        <v>13.165706573441243</v>
      </c>
      <c r="CR458" s="363">
        <v>13.123664210887664</v>
      </c>
      <c r="CS458" s="363">
        <v>13.220739532886595</v>
      </c>
      <c r="CT458" s="363">
        <v>13.318532917919581</v>
      </c>
      <c r="CU458" s="363">
        <v>13.417049677475786</v>
      </c>
      <c r="CV458" s="363">
        <v>13.516295162333293</v>
      </c>
      <c r="CW458" s="363">
        <v>13.616274762849702</v>
      </c>
      <c r="CX458" s="435">
        <v>13.671159473084771</v>
      </c>
      <c r="CY458" s="435">
        <v>13.726044183319839</v>
      </c>
      <c r="CZ458" s="435">
        <v>13.780928893554906</v>
      </c>
      <c r="DA458" s="435">
        <v>13.835813603789974</v>
      </c>
      <c r="DB458" s="363">
        <v>13.890698314025043</v>
      </c>
      <c r="DC458" s="435">
        <v>13.935687554335956</v>
      </c>
      <c r="DD458" s="435">
        <v>13.980676794646868</v>
      </c>
      <c r="DE458" s="435">
        <v>14.025666034957782</v>
      </c>
      <c r="DF458" s="435">
        <v>14.070655275268694</v>
      </c>
      <c r="DG458" s="363">
        <v>14.115644515579607</v>
      </c>
      <c r="DH458" s="362">
        <v>0</v>
      </c>
      <c r="DI458" s="362">
        <v>0</v>
      </c>
      <c r="DJ458" s="362">
        <v>0</v>
      </c>
      <c r="DK458" s="363">
        <v>0</v>
      </c>
      <c r="DL458" s="363">
        <v>0</v>
      </c>
      <c r="DM458" s="363">
        <v>0</v>
      </c>
      <c r="DN458" s="363">
        <v>0</v>
      </c>
      <c r="DO458" s="363">
        <v>0</v>
      </c>
      <c r="DP458" s="363">
        <v>0</v>
      </c>
      <c r="DQ458" s="363">
        <v>0</v>
      </c>
      <c r="DR458" s="363">
        <v>0</v>
      </c>
      <c r="DS458" s="363">
        <v>0</v>
      </c>
      <c r="DT458" s="363">
        <v>0</v>
      </c>
      <c r="DU458" s="363">
        <v>0</v>
      </c>
      <c r="DV458" s="363">
        <v>0</v>
      </c>
      <c r="DW458" s="435">
        <v>0</v>
      </c>
      <c r="DX458" s="435">
        <v>0</v>
      </c>
      <c r="DY458" s="435">
        <v>0</v>
      </c>
      <c r="DZ458" s="435">
        <v>0</v>
      </c>
      <c r="EA458" s="363">
        <v>0</v>
      </c>
      <c r="EB458" s="435">
        <v>0</v>
      </c>
      <c r="EC458" s="435">
        <v>0</v>
      </c>
      <c r="ED458" s="435">
        <v>0</v>
      </c>
      <c r="EE458" s="435">
        <v>0</v>
      </c>
      <c r="EF458" s="363">
        <v>0</v>
      </c>
      <c r="EG458" s="364">
        <v>3.9503895743395634E-2</v>
      </c>
      <c r="EH458" s="364">
        <v>4.0033508888178103E-2</v>
      </c>
      <c r="EI458" s="364">
        <v>4.0570222347444701E-2</v>
      </c>
      <c r="EJ458" s="365">
        <v>4.0303490935499807E-2</v>
      </c>
      <c r="EK458" s="365">
        <v>4.0038513165561326E-2</v>
      </c>
      <c r="EL458" s="365">
        <v>3.9910657233392183E-2</v>
      </c>
      <c r="EM458" s="365">
        <v>3.9783209586598756E-2</v>
      </c>
      <c r="EN458" s="365">
        <v>3.9656168921393682E-2</v>
      </c>
      <c r="EO458" s="365">
        <v>3.9529533938153019E-2</v>
      </c>
      <c r="EP458" s="365">
        <v>3.9403303341402948E-2</v>
      </c>
      <c r="EQ458" s="365">
        <v>3.9694768308672898E-2</v>
      </c>
      <c r="ER458" s="365">
        <v>3.9988389232929751E-2</v>
      </c>
      <c r="ES458" s="365">
        <v>4.0284182061717973E-2</v>
      </c>
      <c r="ET458" s="365">
        <v>4.0582162860545529E-2</v>
      </c>
      <c r="EU458" s="365">
        <v>4.0882347813756395E-2</v>
      </c>
      <c r="EV458" s="436">
        <v>4.1047137071653077E-2</v>
      </c>
      <c r="EW458" s="436">
        <v>4.1211926329549751E-2</v>
      </c>
      <c r="EX458" s="436">
        <v>4.1376715587446433E-2</v>
      </c>
      <c r="EY458" s="436">
        <v>4.1541504845343108E-2</v>
      </c>
      <c r="EZ458" s="365">
        <v>4.170629410323979E-2</v>
      </c>
      <c r="FA458" s="436">
        <v>4.1841372588530469E-2</v>
      </c>
      <c r="FB458" s="436">
        <v>4.1976451073821142E-2</v>
      </c>
      <c r="FC458" s="436">
        <v>4.2111529559111821E-2</v>
      </c>
      <c r="FD458" s="436">
        <v>4.2246608044402494E-2</v>
      </c>
      <c r="FE458" s="365">
        <v>4.2381686529693173E-2</v>
      </c>
      <c r="FF458" s="364">
        <v>0</v>
      </c>
      <c r="FG458" s="364">
        <v>0</v>
      </c>
      <c r="FH458" s="364">
        <v>0</v>
      </c>
      <c r="FI458" s="365">
        <v>0</v>
      </c>
      <c r="FJ458" s="365">
        <v>0</v>
      </c>
      <c r="FK458" s="365">
        <v>0</v>
      </c>
      <c r="FL458" s="365">
        <v>0</v>
      </c>
      <c r="FM458" s="365">
        <v>0</v>
      </c>
      <c r="FN458" s="365">
        <v>0</v>
      </c>
      <c r="FO458" s="365">
        <v>0</v>
      </c>
      <c r="FP458" s="365">
        <v>0</v>
      </c>
      <c r="FQ458" s="365">
        <v>0</v>
      </c>
      <c r="FR458" s="365">
        <v>0</v>
      </c>
      <c r="FS458" s="365">
        <v>0</v>
      </c>
      <c r="FT458" s="365">
        <v>0</v>
      </c>
      <c r="FU458" s="436">
        <v>0</v>
      </c>
      <c r="FV458" s="436">
        <v>0</v>
      </c>
      <c r="FW458" s="436">
        <v>0</v>
      </c>
      <c r="FX458" s="436">
        <v>0</v>
      </c>
      <c r="FY458" s="365">
        <v>0</v>
      </c>
      <c r="FZ458" s="436">
        <v>0</v>
      </c>
      <c r="GA458" s="436">
        <v>0</v>
      </c>
      <c r="GB458" s="436">
        <v>0</v>
      </c>
      <c r="GC458" s="436">
        <v>0</v>
      </c>
      <c r="GD458" s="365">
        <v>0</v>
      </c>
    </row>
    <row r="459" spans="1:186" ht="15" x14ac:dyDescent="0.25">
      <c r="A459" s="367">
        <v>157</v>
      </c>
      <c r="B459" s="367">
        <v>134</v>
      </c>
      <c r="C459" s="367" t="s">
        <v>1369</v>
      </c>
      <c r="D459" s="15">
        <v>99712</v>
      </c>
      <c r="E459" s="437" t="s">
        <v>19</v>
      </c>
      <c r="F459" s="368" t="s">
        <v>915</v>
      </c>
      <c r="G459" s="94">
        <v>2</v>
      </c>
      <c r="H459" s="94">
        <v>2</v>
      </c>
      <c r="I459" s="94">
        <v>1</v>
      </c>
      <c r="J459" s="94">
        <v>1</v>
      </c>
      <c r="K459" s="94">
        <v>0</v>
      </c>
      <c r="L459" s="94">
        <v>0</v>
      </c>
      <c r="M459" s="94">
        <v>0</v>
      </c>
      <c r="N459" s="94">
        <v>0</v>
      </c>
      <c r="O459" s="94">
        <v>0</v>
      </c>
      <c r="P459" s="94">
        <v>0</v>
      </c>
      <c r="Q459" s="94">
        <v>0</v>
      </c>
      <c r="R459" s="94">
        <v>0</v>
      </c>
      <c r="S459" s="94">
        <v>834.49503068156923</v>
      </c>
      <c r="T459" s="94">
        <v>834.49503068156923</v>
      </c>
      <c r="U459" s="94">
        <v>1408.3846153846155</v>
      </c>
      <c r="V459" s="94">
        <v>0</v>
      </c>
      <c r="W459" s="94">
        <v>0</v>
      </c>
      <c r="X459" s="94">
        <v>1365.173957061457</v>
      </c>
      <c r="Y459" s="438">
        <v>0</v>
      </c>
      <c r="Z459" s="438">
        <v>0</v>
      </c>
      <c r="AA459" s="94">
        <v>4.5824670824670823E-2</v>
      </c>
      <c r="AB459" s="94">
        <v>1.9515765765765767</v>
      </c>
      <c r="AC459" s="94">
        <v>2.5987525987525989E-3</v>
      </c>
      <c r="AD459" s="369">
        <v>0</v>
      </c>
      <c r="AE459" s="369">
        <v>0</v>
      </c>
      <c r="AF459" s="370">
        <v>2</v>
      </c>
      <c r="AG459" s="371">
        <v>2.2912335412335411E-2</v>
      </c>
      <c r="AH459" s="371">
        <v>0.97578828828828834</v>
      </c>
      <c r="AI459" s="372">
        <v>0.99870062370062374</v>
      </c>
      <c r="AJ459" s="371">
        <v>1.2993762993762994E-3</v>
      </c>
      <c r="AK459" s="371">
        <v>4.1659861025822545E-2</v>
      </c>
      <c r="AL459" s="371">
        <v>1.7742060662585184</v>
      </c>
      <c r="AM459" s="371">
        <v>1.8158659272843409</v>
      </c>
      <c r="AN459" s="371">
        <v>2.3625630071354943E-3</v>
      </c>
      <c r="AO459" s="371">
        <v>2.0906454625571898E-2</v>
      </c>
      <c r="AP459" s="371">
        <v>0.89036203451703089</v>
      </c>
      <c r="AQ459" s="371">
        <v>0.91126848914260283</v>
      </c>
      <c r="AR459" s="371">
        <v>1.1856212453065351E-3</v>
      </c>
      <c r="AS459" s="371">
        <v>0</v>
      </c>
      <c r="AT459" s="371">
        <v>0</v>
      </c>
      <c r="AU459" s="371">
        <v>1.6508295817689698</v>
      </c>
      <c r="AV459" s="371">
        <v>1.7313824503232471</v>
      </c>
      <c r="AW459" s="371">
        <v>1.8158659272843409</v>
      </c>
      <c r="AX459" s="371">
        <v>1.9044718082111811</v>
      </c>
      <c r="AY459" s="371">
        <v>1.9974012474012475</v>
      </c>
      <c r="AZ459" s="371">
        <v>0.83149067858514769</v>
      </c>
      <c r="BA459" s="371">
        <v>0.87046611330392698</v>
      </c>
      <c r="BB459" s="371">
        <v>0.91126848914260272</v>
      </c>
      <c r="BC459" s="371">
        <v>0.95398344244826516</v>
      </c>
      <c r="BD459" s="371">
        <v>0.99870062370062374</v>
      </c>
      <c r="BE459" s="371">
        <v>0</v>
      </c>
      <c r="BF459" s="371">
        <v>0</v>
      </c>
      <c r="BG459" s="371">
        <v>0</v>
      </c>
      <c r="BH459" s="371">
        <v>0</v>
      </c>
      <c r="BI459" s="371">
        <v>0</v>
      </c>
      <c r="BJ459" s="373">
        <v>2.0241796178915923</v>
      </c>
      <c r="BK459" s="373">
        <v>2.0513169954302457</v>
      </c>
      <c r="BL459" s="373">
        <v>2.0788181930830665</v>
      </c>
      <c r="BM459" s="374">
        <v>2.0651508755350103</v>
      </c>
      <c r="BN459" s="374">
        <v>2.0515734146033622</v>
      </c>
      <c r="BO459" s="374">
        <v>2.0450220766390155</v>
      </c>
      <c r="BP459" s="374">
        <v>2.0384916592173203</v>
      </c>
      <c r="BQ459" s="374">
        <v>2.0319820955322121</v>
      </c>
      <c r="BR459" s="374">
        <v>2.0254933189909607</v>
      </c>
      <c r="BS459" s="374">
        <v>2.0190252632134871</v>
      </c>
      <c r="BT459" s="374">
        <v>2.0339599281363996</v>
      </c>
      <c r="BU459" s="374">
        <v>2.0490050642953204</v>
      </c>
      <c r="BV459" s="374">
        <v>2.0641614888424287</v>
      </c>
      <c r="BW459" s="374">
        <v>2.0794300249743531</v>
      </c>
      <c r="BX459" s="374">
        <v>2.0948115019768774</v>
      </c>
      <c r="BY459" s="439">
        <v>2.1032553035515034</v>
      </c>
      <c r="BZ459" s="439">
        <v>2.1116991051261293</v>
      </c>
      <c r="CA459" s="439">
        <v>2.1201429067007549</v>
      </c>
      <c r="CB459" s="439">
        <v>2.1285867082753809</v>
      </c>
      <c r="CC459" s="374">
        <v>2.1370305098500069</v>
      </c>
      <c r="CD459" s="439">
        <v>2.1439519314363009</v>
      </c>
      <c r="CE459" s="439">
        <v>2.1508733530225954</v>
      </c>
      <c r="CF459" s="439">
        <v>2.1577947746088895</v>
      </c>
      <c r="CG459" s="439">
        <v>2.164716196195184</v>
      </c>
      <c r="CH459" s="374">
        <v>2.171637617781478</v>
      </c>
      <c r="CI459" s="373">
        <v>1.0120898089457961</v>
      </c>
      <c r="CJ459" s="373">
        <v>1.0256584977151229</v>
      </c>
      <c r="CK459" s="373">
        <v>1.0394090965415332</v>
      </c>
      <c r="CL459" s="374">
        <v>1.0325754377675052</v>
      </c>
      <c r="CM459" s="374">
        <v>1.0257867073016811</v>
      </c>
      <c r="CN459" s="374">
        <v>1.0225110383195077</v>
      </c>
      <c r="CO459" s="374">
        <v>1.0192458296086602</v>
      </c>
      <c r="CP459" s="374">
        <v>1.015991047766106</v>
      </c>
      <c r="CQ459" s="374">
        <v>1.0127466594954804</v>
      </c>
      <c r="CR459" s="374">
        <v>1.0095126316067435</v>
      </c>
      <c r="CS459" s="374">
        <v>1.0169799640681998</v>
      </c>
      <c r="CT459" s="374">
        <v>1.0245025321476602</v>
      </c>
      <c r="CU459" s="374">
        <v>1.0320807444212143</v>
      </c>
      <c r="CV459" s="374">
        <v>1.0397150124871766</v>
      </c>
      <c r="CW459" s="374">
        <v>1.0474057509884387</v>
      </c>
      <c r="CX459" s="439">
        <v>1.0516276517757517</v>
      </c>
      <c r="CY459" s="439">
        <v>1.0558495525630647</v>
      </c>
      <c r="CZ459" s="439">
        <v>1.0600714533503774</v>
      </c>
      <c r="DA459" s="439">
        <v>1.0642933541376904</v>
      </c>
      <c r="DB459" s="374">
        <v>1.0685152549250034</v>
      </c>
      <c r="DC459" s="439">
        <v>1.0719759657181505</v>
      </c>
      <c r="DD459" s="439">
        <v>1.0754366765112977</v>
      </c>
      <c r="DE459" s="439">
        <v>1.0788973873044447</v>
      </c>
      <c r="DF459" s="439">
        <v>1.082358098097592</v>
      </c>
      <c r="DG459" s="374">
        <v>1.085818808890739</v>
      </c>
      <c r="DH459" s="373">
        <v>0</v>
      </c>
      <c r="DI459" s="373">
        <v>0</v>
      </c>
      <c r="DJ459" s="373">
        <v>0</v>
      </c>
      <c r="DK459" s="374">
        <v>0</v>
      </c>
      <c r="DL459" s="374">
        <v>0</v>
      </c>
      <c r="DM459" s="374">
        <v>0</v>
      </c>
      <c r="DN459" s="374">
        <v>0</v>
      </c>
      <c r="DO459" s="374">
        <v>0</v>
      </c>
      <c r="DP459" s="374">
        <v>0</v>
      </c>
      <c r="DQ459" s="374">
        <v>0</v>
      </c>
      <c r="DR459" s="374">
        <v>0</v>
      </c>
      <c r="DS459" s="374">
        <v>0</v>
      </c>
      <c r="DT459" s="374">
        <v>0</v>
      </c>
      <c r="DU459" s="374">
        <v>0</v>
      </c>
      <c r="DV459" s="374">
        <v>0</v>
      </c>
      <c r="DW459" s="439">
        <v>0</v>
      </c>
      <c r="DX459" s="439">
        <v>0</v>
      </c>
      <c r="DY459" s="439">
        <v>0</v>
      </c>
      <c r="DZ459" s="439">
        <v>0</v>
      </c>
      <c r="EA459" s="374">
        <v>0</v>
      </c>
      <c r="EB459" s="439">
        <v>0</v>
      </c>
      <c r="EC459" s="439">
        <v>0</v>
      </c>
      <c r="ED459" s="439">
        <v>0</v>
      </c>
      <c r="EE459" s="439">
        <v>0</v>
      </c>
      <c r="EF459" s="374">
        <v>0</v>
      </c>
      <c r="EG459" s="375">
        <v>2.6335930495597088E-3</v>
      </c>
      <c r="EH459" s="375">
        <v>2.6689005925452066E-3</v>
      </c>
      <c r="EI459" s="375">
        <v>2.7046814898296465E-3</v>
      </c>
      <c r="EJ459" s="376">
        <v>2.6868993956999871E-3</v>
      </c>
      <c r="EK459" s="376">
        <v>2.6692342110374214E-3</v>
      </c>
      <c r="EL459" s="376">
        <v>2.660710482226145E-3</v>
      </c>
      <c r="EM459" s="376">
        <v>2.6522139724399168E-3</v>
      </c>
      <c r="EN459" s="376">
        <v>2.6437445947595783E-3</v>
      </c>
      <c r="EO459" s="376">
        <v>2.6353022625435342E-3</v>
      </c>
      <c r="EP459" s="376">
        <v>2.626886889426863E-3</v>
      </c>
      <c r="EQ459" s="376">
        <v>2.6463178872448596E-3</v>
      </c>
      <c r="ER459" s="376">
        <v>2.6658926155286498E-3</v>
      </c>
      <c r="ES459" s="376">
        <v>2.6856121374478643E-3</v>
      </c>
      <c r="ET459" s="376">
        <v>2.7054775240363685E-3</v>
      </c>
      <c r="EU459" s="376">
        <v>2.7254898542504258E-3</v>
      </c>
      <c r="EV459" s="440">
        <v>2.7364758047768709E-3</v>
      </c>
      <c r="EW459" s="440">
        <v>2.7474617553033165E-3</v>
      </c>
      <c r="EX459" s="440">
        <v>2.7584477058297616E-3</v>
      </c>
      <c r="EY459" s="440">
        <v>2.7694336563562072E-3</v>
      </c>
      <c r="EZ459" s="376">
        <v>2.7804196068826523E-3</v>
      </c>
      <c r="FA459" s="440">
        <v>2.7894248392353639E-3</v>
      </c>
      <c r="FB459" s="440">
        <v>2.7984300715880759E-3</v>
      </c>
      <c r="FC459" s="440">
        <v>2.8074353039407875E-3</v>
      </c>
      <c r="FD459" s="440">
        <v>2.8164405362934995E-3</v>
      </c>
      <c r="FE459" s="376">
        <v>2.8254457686462111E-3</v>
      </c>
      <c r="FF459" s="375">
        <v>0</v>
      </c>
      <c r="FG459" s="375">
        <v>0</v>
      </c>
      <c r="FH459" s="375">
        <v>0</v>
      </c>
      <c r="FI459" s="376">
        <v>0</v>
      </c>
      <c r="FJ459" s="376">
        <v>0</v>
      </c>
      <c r="FK459" s="376">
        <v>0</v>
      </c>
      <c r="FL459" s="376">
        <v>0</v>
      </c>
      <c r="FM459" s="376">
        <v>0</v>
      </c>
      <c r="FN459" s="376">
        <v>0</v>
      </c>
      <c r="FO459" s="376">
        <v>0</v>
      </c>
      <c r="FP459" s="376">
        <v>0</v>
      </c>
      <c r="FQ459" s="376">
        <v>0</v>
      </c>
      <c r="FR459" s="376">
        <v>0</v>
      </c>
      <c r="FS459" s="376">
        <v>0</v>
      </c>
      <c r="FT459" s="376">
        <v>0</v>
      </c>
      <c r="FU459" s="440">
        <v>0</v>
      </c>
      <c r="FV459" s="440">
        <v>0</v>
      </c>
      <c r="FW459" s="440">
        <v>0</v>
      </c>
      <c r="FX459" s="440">
        <v>0</v>
      </c>
      <c r="FY459" s="376">
        <v>0</v>
      </c>
      <c r="FZ459" s="440">
        <v>0</v>
      </c>
      <c r="GA459" s="440">
        <v>0</v>
      </c>
      <c r="GB459" s="440">
        <v>0</v>
      </c>
      <c r="GC459" s="440">
        <v>0</v>
      </c>
      <c r="GD459" s="376">
        <v>0</v>
      </c>
    </row>
    <row r="460" spans="1:186" ht="15" x14ac:dyDescent="0.25">
      <c r="A460"/>
      <c r="B460"/>
      <c r="C460" s="17" t="s">
        <v>219</v>
      </c>
      <c r="D460" s="17"/>
      <c r="E460" s="17"/>
      <c r="F460" s="431">
        <v>244</v>
      </c>
      <c r="G460" s="93">
        <v>97581</v>
      </c>
      <c r="H460" s="93">
        <v>41783</v>
      </c>
      <c r="I460" s="93">
        <v>36441</v>
      </c>
      <c r="J460" s="93">
        <v>5342</v>
      </c>
      <c r="K460" s="93">
        <v>529</v>
      </c>
      <c r="L460" s="93">
        <v>22529</v>
      </c>
      <c r="M460" s="93">
        <v>23058</v>
      </c>
      <c r="N460" s="93">
        <v>1668</v>
      </c>
      <c r="O460" s="93">
        <v>30</v>
      </c>
      <c r="P460" s="93">
        <v>45</v>
      </c>
      <c r="Q460" s="93">
        <v>24801</v>
      </c>
      <c r="R460" s="93">
        <v>8059.2098298676747</v>
      </c>
      <c r="S460" s="93">
        <v>2191.4200807847665</v>
      </c>
      <c r="T460" s="93">
        <v>2273.1421409939667</v>
      </c>
      <c r="U460" s="93">
        <v>9867.815347721822</v>
      </c>
      <c r="V460" s="93">
        <v>4421.5</v>
      </c>
      <c r="W460" s="93">
        <v>22620.711111111112</v>
      </c>
      <c r="X460" s="93">
        <v>2796.2527475896877</v>
      </c>
      <c r="Y460" s="441">
        <f>SUM(Y6:Y459)</f>
        <v>52546756.487038888</v>
      </c>
      <c r="Z460" s="441">
        <f>SUM(Z6:Z459)</f>
        <v>17477448</v>
      </c>
      <c r="AA460" s="93">
        <v>1723.0790522968232</v>
      </c>
      <c r="AB460" s="93">
        <v>39958.78813928843</v>
      </c>
      <c r="AC460" s="93">
        <v>101.13280841474675</v>
      </c>
      <c r="AD460" s="377">
        <v>1668</v>
      </c>
      <c r="AE460" s="377">
        <v>45</v>
      </c>
      <c r="AF460" s="378">
        <v>43496</v>
      </c>
      <c r="AG460" s="93">
        <v>1455.6729814296343</v>
      </c>
      <c r="AH460" s="93">
        <v>34899.769602710629</v>
      </c>
      <c r="AI460" s="379">
        <v>36355.442584140263</v>
      </c>
      <c r="AJ460" s="93">
        <v>85.557415859728692</v>
      </c>
      <c r="AK460" s="93">
        <v>1643.9067438153506</v>
      </c>
      <c r="AL460" s="93">
        <v>38014.835934217743</v>
      </c>
      <c r="AM460" s="93">
        <v>39658.742678033093</v>
      </c>
      <c r="AN460" s="93">
        <v>99.92567161211872</v>
      </c>
      <c r="AO460" s="93">
        <v>1398.3635072844274</v>
      </c>
      <c r="AP460" s="93">
        <v>33353.505137145046</v>
      </c>
      <c r="AQ460" s="93">
        <v>34751.868644429473</v>
      </c>
      <c r="AR460" s="93">
        <v>84.779842969035542</v>
      </c>
      <c r="AS460" s="93">
        <v>1617.0074941395769</v>
      </c>
      <c r="AT460" s="93">
        <v>44.767575530227653</v>
      </c>
      <c r="AU460" s="93">
        <v>37787.114195794493</v>
      </c>
      <c r="AV460" s="93">
        <v>38704.569597861955</v>
      </c>
      <c r="AW460" s="93">
        <v>39658.742678033064</v>
      </c>
      <c r="AX460" s="93">
        <v>40650.774187393195</v>
      </c>
      <c r="AY460" s="93">
        <v>41681.867191585196</v>
      </c>
      <c r="AZ460" s="93">
        <v>33274.729572709875</v>
      </c>
      <c r="BA460" s="93">
        <v>33997.809701671242</v>
      </c>
      <c r="BB460" s="93">
        <v>34751.86864442948</v>
      </c>
      <c r="BC460" s="93">
        <v>35537.520282353558</v>
      </c>
      <c r="BD460" s="93">
        <v>36355.442584140248</v>
      </c>
      <c r="BE460" s="93">
        <v>1568.4694983924705</v>
      </c>
      <c r="BF460" s="93">
        <v>1592.4401435542591</v>
      </c>
      <c r="BG460" s="93">
        <v>1617.0074941395769</v>
      </c>
      <c r="BH460" s="93">
        <v>1642.1883466948743</v>
      </c>
      <c r="BI460" s="93">
        <v>1668</v>
      </c>
      <c r="BJ460" s="93">
        <v>42184.122437038641</v>
      </c>
      <c r="BK460" s="93">
        <v>42693.961884089709</v>
      </c>
      <c r="BL460" s="93">
        <v>43211.520118765708</v>
      </c>
      <c r="BM460" s="259">
        <f>SUM(BM6:BM459)</f>
        <v>42927.423332831007</v>
      </c>
      <c r="BN460" s="259">
        <f t="shared" ref="BN460:CH460" si="5">SUM(BN6:BN459)</f>
        <v>42645.194358617722</v>
      </c>
      <c r="BO460" s="259">
        <f t="shared" si="5"/>
        <v>42509.014449670831</v>
      </c>
      <c r="BP460" s="259">
        <f t="shared" si="5"/>
        <v>42373.269407251755</v>
      </c>
      <c r="BQ460" s="259">
        <f t="shared" si="5"/>
        <v>42237.957842691052</v>
      </c>
      <c r="BR460" s="259">
        <f t="shared" si="5"/>
        <v>42103.078371753516</v>
      </c>
      <c r="BS460" s="259">
        <f t="shared" si="5"/>
        <v>41968.629614624311</v>
      </c>
      <c r="BT460" s="259">
        <f t="shared" si="5"/>
        <v>42279.070217814493</v>
      </c>
      <c r="BU460" s="259">
        <f t="shared" si="5"/>
        <v>42591.807140160061</v>
      </c>
      <c r="BV460" s="259">
        <f t="shared" si="5"/>
        <v>42906.857367459932</v>
      </c>
      <c r="BW460" s="259">
        <f t="shared" si="5"/>
        <v>43224.238011156434</v>
      </c>
      <c r="BX460" s="259">
        <f t="shared" si="5"/>
        <v>43543.966309264666</v>
      </c>
      <c r="BY460" s="98">
        <f t="shared" si="5"/>
        <v>43719.484063936521</v>
      </c>
      <c r="BZ460" s="98">
        <f t="shared" si="5"/>
        <v>43895.001818608245</v>
      </c>
      <c r="CA460" s="98">
        <f t="shared" si="5"/>
        <v>44070.519573280086</v>
      </c>
      <c r="CB460" s="98">
        <f t="shared" si="5"/>
        <v>44246.03732795189</v>
      </c>
      <c r="CC460" s="259">
        <f t="shared" si="5"/>
        <v>44421.555082623716</v>
      </c>
      <c r="CD460" s="98">
        <f t="shared" si="5"/>
        <v>44565.42776428572</v>
      </c>
      <c r="CE460" s="98">
        <f t="shared" si="5"/>
        <v>44709.300445947585</v>
      </c>
      <c r="CF460" s="98">
        <f t="shared" si="5"/>
        <v>44853.173127609683</v>
      </c>
      <c r="CG460" s="98">
        <f t="shared" si="5"/>
        <v>44997.045809271527</v>
      </c>
      <c r="CH460" s="259">
        <f t="shared" si="5"/>
        <v>45140.918490933618</v>
      </c>
      <c r="CI460" s="93">
        <v>36799.021318671854</v>
      </c>
      <c r="CJ460" s="93">
        <v>37249.374060835311</v>
      </c>
      <c r="CK460" s="93">
        <v>37706.621947830106</v>
      </c>
      <c r="CL460" s="259">
        <f>SUM(CL6:CL459)</f>
        <v>37458.717452121731</v>
      </c>
      <c r="CM460" s="259">
        <f t="shared" ref="CM460:DG460" si="6">SUM(CM6:CM459)</f>
        <v>37212.442819705822</v>
      </c>
      <c r="CN460" s="259">
        <f t="shared" si="6"/>
        <v>37093.611444891023</v>
      </c>
      <c r="CO460" s="259">
        <f t="shared" si="6"/>
        <v>36975.159537119158</v>
      </c>
      <c r="CP460" s="259">
        <f t="shared" si="6"/>
        <v>36857.085884629407</v>
      </c>
      <c r="CQ460" s="259">
        <f t="shared" si="6"/>
        <v>36739.389279529962</v>
      </c>
      <c r="CR460" s="259">
        <f t="shared" si="6"/>
        <v>36622.068517786458</v>
      </c>
      <c r="CS460" s="259">
        <f t="shared" si="6"/>
        <v>36892.960780534369</v>
      </c>
      <c r="CT460" s="259">
        <f t="shared" si="6"/>
        <v>37165.856824635579</v>
      </c>
      <c r="CU460" s="259">
        <f t="shared" si="6"/>
        <v>37440.771471996399</v>
      </c>
      <c r="CV460" s="259">
        <f t="shared" si="6"/>
        <v>37717.719654160122</v>
      </c>
      <c r="CW460" s="259">
        <f t="shared" si="6"/>
        <v>37996.71641311828</v>
      </c>
      <c r="CX460" s="98">
        <f t="shared" si="6"/>
        <v>38149.874219239231</v>
      </c>
      <c r="CY460" s="98">
        <f t="shared" si="6"/>
        <v>38303.032025360168</v>
      </c>
      <c r="CZ460" s="98">
        <f t="shared" si="6"/>
        <v>38456.189831481162</v>
      </c>
      <c r="DA460" s="98">
        <f t="shared" si="6"/>
        <v>38609.347637602063</v>
      </c>
      <c r="DB460" s="259">
        <f t="shared" si="6"/>
        <v>38762.505443723014</v>
      </c>
      <c r="DC460" s="98">
        <f t="shared" si="6"/>
        <v>38888.049576425103</v>
      </c>
      <c r="DD460" s="98">
        <f t="shared" si="6"/>
        <v>39013.59370912717</v>
      </c>
      <c r="DE460" s="98">
        <f t="shared" si="6"/>
        <v>39139.137841829361</v>
      </c>
      <c r="DF460" s="98">
        <f t="shared" si="6"/>
        <v>39264.681974531333</v>
      </c>
      <c r="DG460" s="259">
        <f t="shared" si="6"/>
        <v>39390.226107233451</v>
      </c>
      <c r="DH460" s="93">
        <v>1692.4690545722417</v>
      </c>
      <c r="DI460" s="93">
        <v>1717.3556270726835</v>
      </c>
      <c r="DJ460" s="93">
        <v>1742.6675394014253</v>
      </c>
      <c r="DK460" s="259">
        <f>SUM(DK6:DK459)</f>
        <v>1731.2102649168492</v>
      </c>
      <c r="DL460" s="259">
        <f t="shared" ref="DL460:EF460" si="7">SUM(DL6:DL459)</f>
        <v>1719.828316985182</v>
      </c>
      <c r="DM460" s="259">
        <f t="shared" si="7"/>
        <v>1714.3363484964966</v>
      </c>
      <c r="DN460" s="259">
        <f t="shared" si="7"/>
        <v>1708.8619176408324</v>
      </c>
      <c r="DO460" s="259">
        <f t="shared" si="7"/>
        <v>1703.4049684148499</v>
      </c>
      <c r="DP460" s="259">
        <f t="shared" si="7"/>
        <v>1697.9654449940465</v>
      </c>
      <c r="DQ460" s="259">
        <f t="shared" si="7"/>
        <v>1692.5432917321859</v>
      </c>
      <c r="DR460" s="259">
        <f t="shared" si="7"/>
        <v>1705.062980014495</v>
      </c>
      <c r="DS460" s="259">
        <f t="shared" si="7"/>
        <v>1717.6752760282936</v>
      </c>
      <c r="DT460" s="259">
        <f t="shared" si="7"/>
        <v>1730.3808647899821</v>
      </c>
      <c r="DU460" s="259">
        <f t="shared" si="7"/>
        <v>1743.1804363830204</v>
      </c>
      <c r="DV460" s="259">
        <f t="shared" si="7"/>
        <v>1756.0746859953911</v>
      </c>
      <c r="DW460" s="98">
        <f t="shared" si="7"/>
        <v>1763.1531014923353</v>
      </c>
      <c r="DX460" s="98">
        <f t="shared" si="7"/>
        <v>1770.2315169892797</v>
      </c>
      <c r="DY460" s="98">
        <f t="shared" si="7"/>
        <v>1777.3099324862224</v>
      </c>
      <c r="DZ460" s="98">
        <f t="shared" si="7"/>
        <v>1784.3883479831652</v>
      </c>
      <c r="EA460" s="259">
        <f t="shared" si="7"/>
        <v>1791.4667634801085</v>
      </c>
      <c r="EB460" s="98">
        <f t="shared" si="7"/>
        <v>1797.2689720450903</v>
      </c>
      <c r="EC460" s="98">
        <f t="shared" si="7"/>
        <v>1803.071180610073</v>
      </c>
      <c r="ED460" s="98">
        <f t="shared" si="7"/>
        <v>1808.8733891750549</v>
      </c>
      <c r="EE460" s="98">
        <f t="shared" si="7"/>
        <v>1814.6755977400364</v>
      </c>
      <c r="EF460" s="259">
        <f t="shared" si="7"/>
        <v>1820.477806305021</v>
      </c>
      <c r="EG460" s="93">
        <v>102.43246808374707</v>
      </c>
      <c r="EH460" s="93">
        <v>103.74927950089808</v>
      </c>
      <c r="EI460" s="93">
        <v>105.08347126371459</v>
      </c>
      <c r="EJ460" s="259">
        <f>SUM(EJ6:EJ459)</f>
        <v>104.39259354502228</v>
      </c>
      <c r="EK460" s="259">
        <f t="shared" ref="EK460:FE460" si="8">SUM(EK6:EK459)</f>
        <v>103.70625804421107</v>
      </c>
      <c r="EL460" s="259">
        <f t="shared" si="8"/>
        <v>103.37509039472353</v>
      </c>
      <c r="EM460" s="259">
        <f t="shared" si="8"/>
        <v>103.04498027073291</v>
      </c>
      <c r="EN460" s="259">
        <f t="shared" si="8"/>
        <v>102.71592429521783</v>
      </c>
      <c r="EO460" s="259">
        <f t="shared" si="8"/>
        <v>102.38791910194111</v>
      </c>
      <c r="EP460" s="259">
        <f t="shared" si="8"/>
        <v>102.06096133541504</v>
      </c>
      <c r="EQ460" s="259">
        <f t="shared" si="8"/>
        <v>102.81590298326178</v>
      </c>
      <c r="ER460" s="259">
        <f t="shared" si="8"/>
        <v>103.57642891019242</v>
      </c>
      <c r="ES460" s="259">
        <f t="shared" si="8"/>
        <v>104.34258042293941</v>
      </c>
      <c r="ET460" s="259">
        <f t="shared" si="8"/>
        <v>105.11439913378041</v>
      </c>
      <c r="EU460" s="259">
        <f t="shared" si="8"/>
        <v>105.8919269627971</v>
      </c>
      <c r="EV460" s="98">
        <f t="shared" si="8"/>
        <v>106.31875793006304</v>
      </c>
      <c r="EW460" s="98">
        <f t="shared" si="8"/>
        <v>106.74558889732901</v>
      </c>
      <c r="EX460" s="98">
        <f t="shared" si="8"/>
        <v>107.17241986459486</v>
      </c>
      <c r="EY460" s="98">
        <f t="shared" si="8"/>
        <v>107.59925083186091</v>
      </c>
      <c r="EZ460" s="259">
        <f t="shared" si="8"/>
        <v>108.02608179912696</v>
      </c>
      <c r="FA460" s="98">
        <f t="shared" si="8"/>
        <v>108.3759570353487</v>
      </c>
      <c r="FB460" s="98">
        <f t="shared" si="8"/>
        <v>108.72583227157077</v>
      </c>
      <c r="FC460" s="98">
        <f t="shared" si="8"/>
        <v>109.07570750779266</v>
      </c>
      <c r="FD460" s="98">
        <f t="shared" si="8"/>
        <v>109.4255827440146</v>
      </c>
      <c r="FE460" s="259">
        <f t="shared" si="8"/>
        <v>109.77545798023658</v>
      </c>
      <c r="FF460" s="93">
        <v>45.541755641191791</v>
      </c>
      <c r="FG460" s="93">
        <v>46.090498420310297</v>
      </c>
      <c r="FH460" s="93">
        <v>46.646320809758933</v>
      </c>
      <c r="FI460" s="259">
        <f>SUM(FI6:FI459)</f>
        <v>46.339641716283246</v>
      </c>
      <c r="FJ460" s="259">
        <f t="shared" ref="FJ460:GD460" si="9">SUM(FJ6:FJ459)</f>
        <v>46.034978903293187</v>
      </c>
      <c r="FK460" s="259">
        <f t="shared" si="9"/>
        <v>45.887974315092585</v>
      </c>
      <c r="FL460" s="259">
        <f t="shared" si="9"/>
        <v>45.741439160124436</v>
      </c>
      <c r="FM460" s="259">
        <f t="shared" si="9"/>
        <v>45.595371939336474</v>
      </c>
      <c r="FN460" s="259">
        <f t="shared" si="9"/>
        <v>45.449771158463399</v>
      </c>
      <c r="FO460" s="259">
        <f t="shared" si="9"/>
        <v>45.304635328011585</v>
      </c>
      <c r="FP460" s="259">
        <f t="shared" si="9"/>
        <v>45.639752258149294</v>
      </c>
      <c r="FQ460" s="259">
        <f t="shared" si="9"/>
        <v>45.977348037439015</v>
      </c>
      <c r="FR460" s="259">
        <f t="shared" si="9"/>
        <v>46.317441001848181</v>
      </c>
      <c r="FS460" s="259">
        <f t="shared" si="9"/>
        <v>46.66004962297481</v>
      </c>
      <c r="FT460" s="259">
        <f t="shared" si="9"/>
        <v>47.005192509050666</v>
      </c>
      <c r="FU460" s="98">
        <f t="shared" si="9"/>
        <v>47.194661832733942</v>
      </c>
      <c r="FV460" s="98">
        <f t="shared" si="9"/>
        <v>47.384131156417219</v>
      </c>
      <c r="FW460" s="98">
        <f t="shared" si="9"/>
        <v>47.573600480100502</v>
      </c>
      <c r="FX460" s="98">
        <f t="shared" si="9"/>
        <v>47.763069803783779</v>
      </c>
      <c r="FY460" s="259">
        <f t="shared" si="9"/>
        <v>47.952539127467055</v>
      </c>
      <c r="FZ460" s="98">
        <f t="shared" si="9"/>
        <v>48.107847972102014</v>
      </c>
      <c r="GA460" s="98">
        <f t="shared" si="9"/>
        <v>48.263156816736988</v>
      </c>
      <c r="GB460" s="98">
        <f t="shared" si="9"/>
        <v>48.418465661371947</v>
      </c>
      <c r="GC460" s="98">
        <f t="shared" si="9"/>
        <v>48.573774506006913</v>
      </c>
      <c r="GD460" s="259">
        <f t="shared" si="9"/>
        <v>48.729083350641872</v>
      </c>
    </row>
    <row r="461" spans="1:186" ht="15" x14ac:dyDescent="0.25">
      <c r="AB461" s="93">
        <v>41783</v>
      </c>
      <c r="AF461" s="380"/>
      <c r="AI461" s="93">
        <v>36440.999999999993</v>
      </c>
      <c r="AQ461" s="380"/>
      <c r="BX461" s="381">
        <f>BX460/BL460</f>
        <v>1.0076934620579243</v>
      </c>
      <c r="CB461" s="442">
        <f>CB462/CB460</f>
        <v>0.85485254794624332</v>
      </c>
      <c r="CC461" s="381">
        <f>CC460/BQ460</f>
        <v>1.0516975098101367</v>
      </c>
      <c r="CH461" s="381">
        <f>CH460/BV460</f>
        <v>1.0520676940830436</v>
      </c>
      <c r="CW461" s="381">
        <f>CW460/CK460</f>
        <v>1.0076934620579256</v>
      </c>
      <c r="DB461" s="381">
        <f>DB460/CP460</f>
        <v>1.0516975098101347</v>
      </c>
      <c r="DG461" s="381">
        <f>DG460/CU460</f>
        <v>1.0520676940830436</v>
      </c>
      <c r="DV461" s="381">
        <f>DV460/DJ460</f>
        <v>1.007693462057927</v>
      </c>
      <c r="EA461" s="381">
        <f>EA460/DO460</f>
        <v>1.0516975098101344</v>
      </c>
      <c r="EF461" s="381">
        <f>EF460/DT460</f>
        <v>1.0520676940830447</v>
      </c>
      <c r="EU461" s="381">
        <f>EU460/EI460</f>
        <v>1.0076934620579256</v>
      </c>
      <c r="EZ461" s="381">
        <f>EZ460/EN460</f>
        <v>1.0516975098101351</v>
      </c>
      <c r="FE461" s="381">
        <f>FE460/ES460</f>
        <v>1.0520676940830453</v>
      </c>
      <c r="FT461" s="381">
        <f>FT460/FH460</f>
        <v>1.0076934620579261</v>
      </c>
      <c r="FY461" s="381">
        <f>FY460/FM460</f>
        <v>1.0516975098101347</v>
      </c>
      <c r="GD461" s="381">
        <f>GD460/FR460</f>
        <v>1.0520676940830445</v>
      </c>
    </row>
    <row r="462" spans="1:186" ht="15" x14ac:dyDescent="0.25">
      <c r="C462" s="382" t="s">
        <v>1370</v>
      </c>
      <c r="G462" s="93">
        <f>SUMIFS(G6:G459,$F6:$F459,"Y")</f>
        <v>85961</v>
      </c>
      <c r="H462" s="93">
        <f t="shared" ref="H462:BU462" si="10">SUMIFS(H6:H459,$F6:$F459,"Y")</f>
        <v>35685</v>
      </c>
      <c r="I462" s="93">
        <f t="shared" si="10"/>
        <v>32093</v>
      </c>
      <c r="J462" s="93">
        <f t="shared" si="10"/>
        <v>3592</v>
      </c>
      <c r="K462" s="93">
        <f t="shared" si="10"/>
        <v>511</v>
      </c>
      <c r="L462" s="93">
        <f t="shared" si="10"/>
        <v>20198</v>
      </c>
      <c r="M462" s="93">
        <f t="shared" si="10"/>
        <v>20709</v>
      </c>
      <c r="N462" s="93">
        <f t="shared" si="10"/>
        <v>1609</v>
      </c>
      <c r="O462" s="93">
        <f t="shared" si="10"/>
        <v>30</v>
      </c>
      <c r="P462" s="93">
        <f t="shared" si="10"/>
        <v>45</v>
      </c>
      <c r="Q462" s="93">
        <f t="shared" si="10"/>
        <v>22393</v>
      </c>
      <c r="R462" s="93">
        <f t="shared" si="10"/>
        <v>774104.65070895897</v>
      </c>
      <c r="S462" s="93">
        <f t="shared" si="10"/>
        <v>496285.48631449911</v>
      </c>
      <c r="T462" s="93">
        <f t="shared" si="10"/>
        <v>506880.16903114202</v>
      </c>
      <c r="U462" s="93">
        <f t="shared" si="10"/>
        <v>1038454.0093164516</v>
      </c>
      <c r="V462" s="93">
        <f t="shared" si="10"/>
        <v>42947.482758620688</v>
      </c>
      <c r="W462" s="93">
        <f t="shared" si="10"/>
        <v>57842.808270676687</v>
      </c>
      <c r="X462" s="93">
        <f t="shared" si="10"/>
        <v>681270.88641935075</v>
      </c>
      <c r="Y462" s="93"/>
      <c r="Z462" s="93"/>
      <c r="AA462" s="93">
        <f t="shared" si="10"/>
        <v>1614.7303807280366</v>
      </c>
      <c r="AB462" s="93">
        <f t="shared" si="10"/>
        <v>33973.070022915424</v>
      </c>
      <c r="AC462" s="93">
        <f t="shared" si="10"/>
        <v>97.199596356534698</v>
      </c>
      <c r="AD462" s="93">
        <f t="shared" si="10"/>
        <v>1609</v>
      </c>
      <c r="AE462" s="93">
        <f t="shared" si="10"/>
        <v>45</v>
      </c>
      <c r="AF462" s="93">
        <f t="shared" si="10"/>
        <v>37339</v>
      </c>
      <c r="AG462" s="93">
        <f t="shared" si="10"/>
        <v>1375.7899408732408</v>
      </c>
      <c r="AH462" s="93">
        <f t="shared" si="10"/>
        <v>30634.166936406324</v>
      </c>
      <c r="AI462" s="93">
        <f t="shared" si="10"/>
        <v>32009.956877279561</v>
      </c>
      <c r="AJ462" s="93">
        <f t="shared" si="10"/>
        <v>83.043122720435534</v>
      </c>
      <c r="AK462" s="93">
        <f t="shared" si="10"/>
        <v>1539.7239581564361</v>
      </c>
      <c r="AL462" s="93">
        <f t="shared" si="10"/>
        <v>32299.303057306934</v>
      </c>
      <c r="AM462" s="93">
        <f t="shared" si="10"/>
        <v>33839.027015463354</v>
      </c>
      <c r="AN462" s="93">
        <f t="shared" si="10"/>
        <v>96.069119500122966</v>
      </c>
      <c r="AO462" s="93">
        <f t="shared" si="10"/>
        <v>1320.487652482529</v>
      </c>
      <c r="AP462" s="93">
        <f t="shared" si="10"/>
        <v>29225.099575527911</v>
      </c>
      <c r="AQ462" s="93">
        <f t="shared" si="10"/>
        <v>30545.587228010445</v>
      </c>
      <c r="AR462" s="93">
        <f t="shared" si="10"/>
        <v>82.243376244827985</v>
      </c>
      <c r="AS462" s="93">
        <f t="shared" si="10"/>
        <v>1561.484430255754</v>
      </c>
      <c r="AT462" s="93">
        <f t="shared" si="10"/>
        <v>44.767575530227653</v>
      </c>
      <c r="AU462" s="93">
        <f t="shared" si="10"/>
        <v>32202.168529267714</v>
      </c>
      <c r="AV462" s="93">
        <f t="shared" si="10"/>
        <v>33007.122377380947</v>
      </c>
      <c r="AW462" s="93">
        <f t="shared" si="10"/>
        <v>33839.027015463354</v>
      </c>
      <c r="AX462" s="93">
        <f t="shared" si="10"/>
        <v>34698.900101202169</v>
      </c>
      <c r="AY462" s="93">
        <f t="shared" si="10"/>
        <v>35587.800403643458</v>
      </c>
      <c r="AZ462" s="93">
        <f t="shared" si="10"/>
        <v>29172.306855156905</v>
      </c>
      <c r="BA462" s="93">
        <f t="shared" si="10"/>
        <v>29847.960737788013</v>
      </c>
      <c r="BB462" s="93">
        <f t="shared" si="10"/>
        <v>30545.587228010441</v>
      </c>
      <c r="BC462" s="93">
        <f t="shared" si="10"/>
        <v>31265.978412635606</v>
      </c>
      <c r="BD462" s="93">
        <f t="shared" si="10"/>
        <v>32009.956877279561</v>
      </c>
      <c r="BE462" s="93">
        <f t="shared" si="10"/>
        <v>1516.2064183560797</v>
      </c>
      <c r="BF462" s="93">
        <f t="shared" si="10"/>
        <v>1538.5732906351541</v>
      </c>
      <c r="BG462" s="93">
        <f t="shared" si="10"/>
        <v>1561.484430255754</v>
      </c>
      <c r="BH462" s="93">
        <f t="shared" si="10"/>
        <v>1584.9548493321872</v>
      </c>
      <c r="BI462" s="93">
        <f t="shared" si="10"/>
        <v>1609</v>
      </c>
      <c r="BJ462" s="93">
        <f t="shared" si="10"/>
        <v>36031.408028875012</v>
      </c>
      <c r="BK462" s="93">
        <f t="shared" si="10"/>
        <v>36481.925371155972</v>
      </c>
      <c r="BL462" s="93">
        <f t="shared" si="10"/>
        <v>36939.478074157225</v>
      </c>
      <c r="BM462" s="93">
        <f t="shared" si="10"/>
        <v>36696.61721283762</v>
      </c>
      <c r="BN462" s="93">
        <f t="shared" si="10"/>
        <v>36455.353055127183</v>
      </c>
      <c r="BO462" s="93">
        <f t="shared" si="10"/>
        <v>36338.939312984861</v>
      </c>
      <c r="BP462" s="93">
        <f t="shared" si="10"/>
        <v>36222.897317601848</v>
      </c>
      <c r="BQ462" s="93">
        <f t="shared" si="10"/>
        <v>36107.225881870516</v>
      </c>
      <c r="BR462" s="93">
        <f t="shared" si="10"/>
        <v>35991.92382247388</v>
      </c>
      <c r="BS462" s="93">
        <f t="shared" si="10"/>
        <v>35876.989959873797</v>
      </c>
      <c r="BT462" s="93">
        <f t="shared" si="10"/>
        <v>36142.370900496855</v>
      </c>
      <c r="BU462" s="93">
        <f t="shared" si="10"/>
        <v>36409.714855400853</v>
      </c>
      <c r="BV462" s="93">
        <f t="shared" ref="BV462:FT462" si="11">SUMIFS(BV6:BV459,$F6:$F459,"Y")</f>
        <v>36679.036344939181</v>
      </c>
      <c r="BW462" s="93">
        <f t="shared" si="11"/>
        <v>36950.349996872006</v>
      </c>
      <c r="BX462" s="93">
        <f t="shared" si="11"/>
        <v>37223.670547160364</v>
      </c>
      <c r="BY462" s="93">
        <f t="shared" si="11"/>
        <v>37373.712346951346</v>
      </c>
      <c r="BZ462" s="93">
        <f t="shared" si="11"/>
        <v>37523.754146742285</v>
      </c>
      <c r="CA462" s="93">
        <f t="shared" si="11"/>
        <v>37673.795946533282</v>
      </c>
      <c r="CB462" s="93">
        <f t="shared" si="11"/>
        <v>37823.837746324265</v>
      </c>
      <c r="CC462" s="93">
        <f t="shared" si="11"/>
        <v>37973.879546115255</v>
      </c>
      <c r="CD462" s="93">
        <f t="shared" si="11"/>
        <v>38096.869474613894</v>
      </c>
      <c r="CE462" s="93">
        <f t="shared" si="11"/>
        <v>38219.859403112459</v>
      </c>
      <c r="CF462" s="93">
        <f t="shared" si="11"/>
        <v>38342.84933161112</v>
      </c>
      <c r="CG462" s="93">
        <f t="shared" si="11"/>
        <v>38465.839260109722</v>
      </c>
      <c r="CH462" s="93">
        <f t="shared" si="11"/>
        <v>38588.829188608324</v>
      </c>
      <c r="CI462" s="93">
        <f t="shared" si="11"/>
        <v>32410.710036832301</v>
      </c>
      <c r="CJ462" s="93">
        <f t="shared" si="11"/>
        <v>32817.725965581965</v>
      </c>
      <c r="CK462" s="93">
        <f t="shared" si="11"/>
        <v>33231.118725223052</v>
      </c>
      <c r="CL462" s="93">
        <f t="shared" si="11"/>
        <v>33012.638699597919</v>
      </c>
      <c r="CM462" s="93">
        <f t="shared" si="11"/>
        <v>32795.595084284185</v>
      </c>
      <c r="CN462" s="93">
        <f t="shared" si="11"/>
        <v>32690.868133930078</v>
      </c>
      <c r="CO462" s="93">
        <f t="shared" si="11"/>
        <v>32586.475610626327</v>
      </c>
      <c r="CP462" s="93">
        <f t="shared" si="11"/>
        <v>32482.416446439191</v>
      </c>
      <c r="CQ462" s="383">
        <f t="shared" si="11"/>
        <v>32378.689576845132</v>
      </c>
      <c r="CR462" s="93">
        <f t="shared" si="11"/>
        <v>32275.293940719857</v>
      </c>
      <c r="CS462" s="93">
        <f t="shared" si="11"/>
        <v>32514.033251750552</v>
      </c>
      <c r="CT462" s="93">
        <f t="shared" si="11"/>
        <v>32754.538509785052</v>
      </c>
      <c r="CU462" s="93">
        <f t="shared" si="11"/>
        <v>32996.822777476547</v>
      </c>
      <c r="CV462" s="93">
        <f t="shared" si="11"/>
        <v>33240.899214102188</v>
      </c>
      <c r="CW462" s="93">
        <f t="shared" si="11"/>
        <v>33486.781076277992</v>
      </c>
      <c r="CX462" s="93">
        <f t="shared" si="11"/>
        <v>33621.760158889578</v>
      </c>
      <c r="CY462" s="93">
        <f t="shared" si="11"/>
        <v>33756.739241501156</v>
      </c>
      <c r="CZ462" s="93">
        <f t="shared" si="11"/>
        <v>33891.718324112764</v>
      </c>
      <c r="DA462" s="93">
        <f t="shared" si="11"/>
        <v>34026.697406724321</v>
      </c>
      <c r="DB462" s="93">
        <f t="shared" si="11"/>
        <v>34161.676489335892</v>
      </c>
      <c r="DC462" s="93">
        <f t="shared" si="11"/>
        <v>34272.319441782063</v>
      </c>
      <c r="DD462" s="93">
        <f t="shared" si="11"/>
        <v>34382.962394228176</v>
      </c>
      <c r="DE462" s="93">
        <f t="shared" si="11"/>
        <v>34493.605346674347</v>
      </c>
      <c r="DF462" s="93">
        <f t="shared" si="11"/>
        <v>34604.248299120482</v>
      </c>
      <c r="DG462" s="93">
        <f t="shared" si="11"/>
        <v>34714.891251566609</v>
      </c>
      <c r="DH462" s="93">
        <f t="shared" si="11"/>
        <v>1632.7483813699484</v>
      </c>
      <c r="DI462" s="93">
        <f t="shared" si="11"/>
        <v>1656.9045855039067</v>
      </c>
      <c r="DJ462" s="93">
        <f t="shared" si="11"/>
        <v>1681.476291599585</v>
      </c>
      <c r="DK462" s="93">
        <f t="shared" si="11"/>
        <v>1670.42132272194</v>
      </c>
      <c r="DL462" s="93">
        <f t="shared" si="11"/>
        <v>1659.4390354143495</v>
      </c>
      <c r="DM462" s="93">
        <f t="shared" si="11"/>
        <v>1654.13990944847</v>
      </c>
      <c r="DN462" s="93">
        <f t="shared" si="11"/>
        <v>1648.857705307018</v>
      </c>
      <c r="DO462" s="93">
        <f t="shared" si="11"/>
        <v>1643.5923689531303</v>
      </c>
      <c r="DP462" s="93">
        <f t="shared" si="11"/>
        <v>1638.3438465224983</v>
      </c>
      <c r="DQ462" s="93">
        <f t="shared" si="11"/>
        <v>1633.1120843228246</v>
      </c>
      <c r="DR462" s="93">
        <f t="shared" si="11"/>
        <v>1645.1921618757415</v>
      </c>
      <c r="DS462" s="93">
        <f t="shared" si="11"/>
        <v>1657.3615953737233</v>
      </c>
      <c r="DT462" s="93">
        <f t="shared" si="11"/>
        <v>1669.6210457798124</v>
      </c>
      <c r="DU462" s="93">
        <f t="shared" si="11"/>
        <v>1681.9711789461878</v>
      </c>
      <c r="DV462" s="93">
        <f t="shared" si="11"/>
        <v>1694.4126656503104</v>
      </c>
      <c r="DW462" s="93">
        <f t="shared" si="11"/>
        <v>1701.2425328344368</v>
      </c>
      <c r="DX462" s="93">
        <f t="shared" si="11"/>
        <v>1708.0724000185653</v>
      </c>
      <c r="DY462" s="93">
        <f t="shared" si="11"/>
        <v>1714.9022672026929</v>
      </c>
      <c r="DZ462" s="93">
        <f t="shared" si="11"/>
        <v>1721.7321343868182</v>
      </c>
      <c r="EA462" s="93">
        <f t="shared" si="11"/>
        <v>1728.5620015709458</v>
      </c>
      <c r="EB462" s="93">
        <f t="shared" si="11"/>
        <v>1734.1604739819743</v>
      </c>
      <c r="EC462" s="93">
        <f t="shared" si="11"/>
        <v>1739.7589463930026</v>
      </c>
      <c r="ED462" s="93">
        <f t="shared" si="11"/>
        <v>1745.3574188040311</v>
      </c>
      <c r="EE462" s="93">
        <f t="shared" si="11"/>
        <v>1750.955891215059</v>
      </c>
      <c r="EF462" s="93">
        <f t="shared" si="11"/>
        <v>1756.5543636260886</v>
      </c>
      <c r="EG462" s="93">
        <f t="shared" si="11"/>
        <v>98.468818497451934</v>
      </c>
      <c r="EH462" s="93">
        <f t="shared" si="11"/>
        <v>99.754906666117947</v>
      </c>
      <c r="EI462" s="93">
        <f t="shared" si="11"/>
        <v>101.05808637483767</v>
      </c>
      <c r="EJ462" s="93">
        <f t="shared" si="11"/>
        <v>100.39367379567153</v>
      </c>
      <c r="EK462" s="93">
        <f t="shared" si="11"/>
        <v>99.733629437705559</v>
      </c>
      <c r="EL462" s="93">
        <f t="shared" si="11"/>
        <v>99.415147677215586</v>
      </c>
      <c r="EM462" s="93">
        <f t="shared" si="11"/>
        <v>99.097682932072772</v>
      </c>
      <c r="EN462" s="93">
        <f t="shared" si="11"/>
        <v>98.781231954617837</v>
      </c>
      <c r="EO462" s="93">
        <f t="shared" si="11"/>
        <v>98.465791507562543</v>
      </c>
      <c r="EP462" s="93">
        <f t="shared" si="11"/>
        <v>98.151358363956206</v>
      </c>
      <c r="EQ462" s="93">
        <f t="shared" si="11"/>
        <v>98.877380804389276</v>
      </c>
      <c r="ER462" s="93">
        <f t="shared" si="11"/>
        <v>99.608773609459249</v>
      </c>
      <c r="ES462" s="93">
        <f t="shared" si="11"/>
        <v>100.34557650358042</v>
      </c>
      <c r="ET462" s="93">
        <f t="shared" si="11"/>
        <v>101.08782950500759</v>
      </c>
      <c r="EU462" s="93">
        <f t="shared" si="11"/>
        <v>101.83557292800907</v>
      </c>
      <c r="EV462" s="93">
        <f t="shared" si="11"/>
        <v>102.24605347493707</v>
      </c>
      <c r="EW462" s="93">
        <f t="shared" si="11"/>
        <v>102.65653402186504</v>
      </c>
      <c r="EX462" s="93">
        <f t="shared" si="11"/>
        <v>103.06701456879297</v>
      </c>
      <c r="EY462" s="93">
        <f t="shared" si="11"/>
        <v>103.47749511572088</v>
      </c>
      <c r="EZ462" s="93">
        <f t="shared" si="11"/>
        <v>103.88797566264888</v>
      </c>
      <c r="FA462" s="93">
        <f t="shared" si="11"/>
        <v>104.2244483868302</v>
      </c>
      <c r="FB462" s="93">
        <f t="shared" si="11"/>
        <v>104.56092111101158</v>
      </c>
      <c r="FC462" s="93">
        <f t="shared" si="11"/>
        <v>104.89739383519291</v>
      </c>
      <c r="FD462" s="93">
        <f t="shared" si="11"/>
        <v>105.23386655937426</v>
      </c>
      <c r="FE462" s="93">
        <f t="shared" si="11"/>
        <v>105.5703392835556</v>
      </c>
      <c r="FF462" s="93">
        <f t="shared" si="11"/>
        <v>45.541755641191791</v>
      </c>
      <c r="FG462" s="93">
        <f t="shared" si="11"/>
        <v>46.090498420310297</v>
      </c>
      <c r="FH462" s="93">
        <f t="shared" si="11"/>
        <v>46.646320809758933</v>
      </c>
      <c r="FI462" s="93">
        <f t="shared" si="11"/>
        <v>46.339641716283246</v>
      </c>
      <c r="FJ462" s="93">
        <f t="shared" si="11"/>
        <v>46.034978903293187</v>
      </c>
      <c r="FK462" s="93">
        <f t="shared" si="11"/>
        <v>45.887974315092585</v>
      </c>
      <c r="FL462" s="93">
        <f t="shared" si="11"/>
        <v>45.741439160124436</v>
      </c>
      <c r="FM462" s="93">
        <f t="shared" si="11"/>
        <v>45.595371939336474</v>
      </c>
      <c r="FN462" s="93">
        <f t="shared" si="11"/>
        <v>45.449771158463399</v>
      </c>
      <c r="FO462" s="93">
        <f t="shared" si="11"/>
        <v>45.304635328011585</v>
      </c>
      <c r="FP462" s="93">
        <f t="shared" si="11"/>
        <v>45.639752258149294</v>
      </c>
      <c r="FQ462" s="93">
        <f t="shared" si="11"/>
        <v>45.977348037439015</v>
      </c>
      <c r="FR462" s="93">
        <f t="shared" si="11"/>
        <v>46.317441001848181</v>
      </c>
      <c r="FS462" s="93">
        <f t="shared" si="11"/>
        <v>46.66004962297481</v>
      </c>
      <c r="FT462" s="93">
        <f t="shared" si="11"/>
        <v>47.005192509050666</v>
      </c>
      <c r="FU462" s="93">
        <f t="shared" ref="FU462:GD462" si="12">SUMIFS(FU6:FU459,$F6:$F459,"Y")</f>
        <v>47.194661832733942</v>
      </c>
      <c r="FV462" s="93">
        <f t="shared" si="12"/>
        <v>47.384131156417219</v>
      </c>
      <c r="FW462" s="93">
        <f t="shared" si="12"/>
        <v>47.573600480100502</v>
      </c>
      <c r="FX462" s="93">
        <f t="shared" si="12"/>
        <v>47.763069803783779</v>
      </c>
      <c r="FY462" s="93">
        <f t="shared" si="12"/>
        <v>47.952539127467055</v>
      </c>
      <c r="FZ462" s="93">
        <f t="shared" si="12"/>
        <v>48.107847972102014</v>
      </c>
      <c r="GA462" s="93">
        <f t="shared" si="12"/>
        <v>48.263156816736988</v>
      </c>
      <c r="GB462" s="93">
        <f t="shared" si="12"/>
        <v>48.418465661371947</v>
      </c>
      <c r="GC462" s="93">
        <f t="shared" si="12"/>
        <v>48.573774506006913</v>
      </c>
      <c r="GD462" s="93">
        <f t="shared" si="12"/>
        <v>48.729083350641872</v>
      </c>
    </row>
    <row r="463" spans="1:186" ht="15" x14ac:dyDescent="0.25">
      <c r="C463" s="382" t="s">
        <v>1528</v>
      </c>
      <c r="D463" s="347">
        <v>99705</v>
      </c>
      <c r="G463" s="93">
        <f t="shared" ref="G463:X463" si="13">SUMIFS(G7:G460,$F7:$F460,"Y",$D7:$D460,$D$463)</f>
        <v>21221</v>
      </c>
      <c r="H463" s="93">
        <f t="shared" si="13"/>
        <v>8297</v>
      </c>
      <c r="I463" s="93">
        <f t="shared" si="13"/>
        <v>7560</v>
      </c>
      <c r="J463" s="93">
        <f t="shared" si="13"/>
        <v>737</v>
      </c>
      <c r="K463" s="93">
        <f t="shared" si="13"/>
        <v>97</v>
      </c>
      <c r="L463" s="93">
        <f t="shared" si="13"/>
        <v>6529</v>
      </c>
      <c r="M463" s="93">
        <f t="shared" si="13"/>
        <v>6626</v>
      </c>
      <c r="N463" s="93">
        <f t="shared" si="13"/>
        <v>237</v>
      </c>
      <c r="O463" s="93">
        <f t="shared" si="13"/>
        <v>0</v>
      </c>
      <c r="P463" s="93">
        <f t="shared" si="13"/>
        <v>0</v>
      </c>
      <c r="Q463" s="93">
        <f t="shared" si="13"/>
        <v>6863</v>
      </c>
      <c r="R463" s="93">
        <f t="shared" si="13"/>
        <v>145666.71142857143</v>
      </c>
      <c r="S463" s="93">
        <f t="shared" si="13"/>
        <v>147142.34466965724</v>
      </c>
      <c r="T463" s="93">
        <f t="shared" si="13"/>
        <v>149785.12651087285</v>
      </c>
      <c r="U463" s="93">
        <f t="shared" si="13"/>
        <v>324101.02317127318</v>
      </c>
      <c r="V463" s="93">
        <f t="shared" si="13"/>
        <v>0</v>
      </c>
      <c r="W463" s="93">
        <f t="shared" si="13"/>
        <v>0</v>
      </c>
      <c r="X463" s="93">
        <f t="shared" si="13"/>
        <v>182341.75981163082</v>
      </c>
      <c r="Y463" s="93"/>
      <c r="Z463" s="93"/>
      <c r="AA463" s="93">
        <f t="shared" ref="AA463:CL463" si="14">SUMIFS(AA7:AA460,$F7:$F460,"Y",$D7:$D460,$D$463)</f>
        <v>150.15518212119872</v>
      </c>
      <c r="AB463" s="93">
        <f t="shared" si="14"/>
        <v>8146.8409197499022</v>
      </c>
      <c r="AC463" s="93">
        <f t="shared" si="14"/>
        <v>3.8981288981288983E-3</v>
      </c>
      <c r="AD463" s="93">
        <f t="shared" si="14"/>
        <v>237</v>
      </c>
      <c r="AE463" s="93">
        <f t="shared" si="14"/>
        <v>0</v>
      </c>
      <c r="AF463" s="93">
        <f t="shared" si="14"/>
        <v>8534</v>
      </c>
      <c r="AG463" s="93">
        <f t="shared" si="14"/>
        <v>137.08657588529491</v>
      </c>
      <c r="AH463" s="93">
        <f t="shared" si="14"/>
        <v>7422.9095259858068</v>
      </c>
      <c r="AI463" s="93">
        <f t="shared" si="14"/>
        <v>7559.9961018711019</v>
      </c>
      <c r="AJ463" s="93">
        <f t="shared" si="14"/>
        <v>3.8981288981288983E-3</v>
      </c>
      <c r="AK463" s="93">
        <f t="shared" si="14"/>
        <v>139.36678758276352</v>
      </c>
      <c r="AL463" s="93">
        <f t="shared" si="14"/>
        <v>7561.5042510947533</v>
      </c>
      <c r="AM463" s="93">
        <f t="shared" si="14"/>
        <v>7700.8710386775183</v>
      </c>
      <c r="AN463" s="93">
        <f t="shared" si="14"/>
        <v>3.6180549644784063E-3</v>
      </c>
      <c r="AO463" s="93">
        <f t="shared" si="14"/>
        <v>127.88975041865577</v>
      </c>
      <c r="AP463" s="93">
        <f t="shared" si="14"/>
        <v>6924.9234691871734</v>
      </c>
      <c r="AQ463" s="93">
        <f t="shared" si="14"/>
        <v>7052.8132196058277</v>
      </c>
      <c r="AR463" s="93">
        <f t="shared" si="14"/>
        <v>3.6366123280998155E-3</v>
      </c>
      <c r="AS463" s="93">
        <f t="shared" si="14"/>
        <v>222.80551715837348</v>
      </c>
      <c r="AT463" s="93">
        <f t="shared" si="14"/>
        <v>0</v>
      </c>
      <c r="AU463" s="93">
        <f t="shared" si="14"/>
        <v>7147.5765477301238</v>
      </c>
      <c r="AV463" s="93">
        <f t="shared" si="14"/>
        <v>7419.0676795097024</v>
      </c>
      <c r="AW463" s="93">
        <f t="shared" si="14"/>
        <v>7700.8710386775183</v>
      </c>
      <c r="AX463" s="93">
        <f t="shared" si="14"/>
        <v>7993.3783213932402</v>
      </c>
      <c r="AY463" s="93">
        <f t="shared" si="14"/>
        <v>8296.9961018711019</v>
      </c>
      <c r="AZ463" s="93">
        <f t="shared" si="14"/>
        <v>6579.6560792320406</v>
      </c>
      <c r="BA463" s="93">
        <f t="shared" si="14"/>
        <v>6812.1278155997325</v>
      </c>
      <c r="BB463" s="93">
        <f t="shared" si="14"/>
        <v>7052.8132196058277</v>
      </c>
      <c r="BC463" s="93">
        <f t="shared" si="14"/>
        <v>7302.0024957161613</v>
      </c>
      <c r="BD463" s="93">
        <f t="shared" si="14"/>
        <v>7559.9961018711019</v>
      </c>
      <c r="BE463" s="93">
        <f t="shared" si="14"/>
        <v>209.46117500510675</v>
      </c>
      <c r="BF463" s="93">
        <f t="shared" si="14"/>
        <v>216.03033449405498</v>
      </c>
      <c r="BG463" s="93">
        <f t="shared" si="14"/>
        <v>222.80551715837348</v>
      </c>
      <c r="BH463" s="93">
        <f t="shared" si="14"/>
        <v>229.79318433438036</v>
      </c>
      <c r="BI463" s="93">
        <f t="shared" si="14"/>
        <v>237</v>
      </c>
      <c r="BJ463" s="93">
        <f t="shared" si="14"/>
        <v>8437.9411450629159</v>
      </c>
      <c r="BK463" s="93">
        <f t="shared" si="14"/>
        <v>8581.628123050501</v>
      </c>
      <c r="BL463" s="93">
        <f t="shared" si="14"/>
        <v>8728.1150235661353</v>
      </c>
      <c r="BM463" s="93">
        <f t="shared" si="14"/>
        <v>8670.731496704595</v>
      </c>
      <c r="BN463" s="93">
        <f t="shared" si="14"/>
        <v>8613.7252413554252</v>
      </c>
      <c r="BO463" s="93">
        <f t="shared" si="14"/>
        <v>8586.2188285765951</v>
      </c>
      <c r="BP463" s="93">
        <f t="shared" si="14"/>
        <v>8558.8002526770269</v>
      </c>
      <c r="BQ463" s="93">
        <f t="shared" si="14"/>
        <v>8531.469233165124</v>
      </c>
      <c r="BR463" s="93">
        <f t="shared" si="14"/>
        <v>8504.2254904450037</v>
      </c>
      <c r="BS463" s="93">
        <f t="shared" si="14"/>
        <v>8477.0687458136199</v>
      </c>
      <c r="BT463" s="93">
        <f t="shared" si="14"/>
        <v>8539.7733506315508</v>
      </c>
      <c r="BU463" s="93">
        <f t="shared" si="14"/>
        <v>8602.9417793942048</v>
      </c>
      <c r="BV463" s="93">
        <f t="shared" si="14"/>
        <v>8666.5774629923762</v>
      </c>
      <c r="BW463" s="93">
        <f t="shared" si="14"/>
        <v>8730.6838576950631</v>
      </c>
      <c r="BX463" s="93">
        <f t="shared" si="14"/>
        <v>8795.2644453371577</v>
      </c>
      <c r="BY463" s="93">
        <f t="shared" si="14"/>
        <v>8830.7165457780338</v>
      </c>
      <c r="BZ463" s="93">
        <f t="shared" si="14"/>
        <v>8866.1686462189064</v>
      </c>
      <c r="CA463" s="93">
        <f t="shared" si="14"/>
        <v>8901.6207466597825</v>
      </c>
      <c r="CB463" s="93">
        <f t="shared" si="14"/>
        <v>8937.072847100666</v>
      </c>
      <c r="CC463" s="93">
        <f t="shared" si="14"/>
        <v>8972.5249475415403</v>
      </c>
      <c r="CD463" s="93">
        <f t="shared" si="14"/>
        <v>9001.5851914497271</v>
      </c>
      <c r="CE463" s="93">
        <f t="shared" si="14"/>
        <v>9030.6454353579138</v>
      </c>
      <c r="CF463" s="93">
        <f t="shared" si="14"/>
        <v>9059.7056792660987</v>
      </c>
      <c r="CG463" s="93">
        <f t="shared" si="14"/>
        <v>9088.7659231742891</v>
      </c>
      <c r="CH463" s="93">
        <f t="shared" si="14"/>
        <v>9117.8261670824722</v>
      </c>
      <c r="CI463" s="93">
        <f t="shared" si="14"/>
        <v>7688.1255180886483</v>
      </c>
      <c r="CJ463" s="93">
        <f t="shared" si="14"/>
        <v>7818.7419538935856</v>
      </c>
      <c r="CK463" s="93">
        <f t="shared" si="14"/>
        <v>7951.8978750283868</v>
      </c>
      <c r="CL463" s="93">
        <f t="shared" si="14"/>
        <v>7899.6176353569463</v>
      </c>
      <c r="CM463" s="93">
        <f t="shared" ref="CM463:EX463" si="15">SUMIFS(CM7:CM460,$F7:$F460,"Y",$D7:$D460,$D$463)</f>
        <v>7847.6811153236476</v>
      </c>
      <c r="CN463" s="93">
        <f t="shared" si="15"/>
        <v>7822.6209293917445</v>
      </c>
      <c r="CO463" s="93">
        <f t="shared" si="15"/>
        <v>7797.6407687449837</v>
      </c>
      <c r="CP463" s="93">
        <f t="shared" si="15"/>
        <v>7772.7403778367207</v>
      </c>
      <c r="CQ463" s="443">
        <f t="shared" si="15"/>
        <v>7747.9195019363679</v>
      </c>
      <c r="CR463" s="93">
        <f t="shared" si="15"/>
        <v>7723.1778871267634</v>
      </c>
      <c r="CS463" s="93">
        <f t="shared" si="15"/>
        <v>7780.3059855145502</v>
      </c>
      <c r="CT463" s="93">
        <f t="shared" si="15"/>
        <v>7837.8566586083834</v>
      </c>
      <c r="CU463" s="93">
        <f t="shared" si="15"/>
        <v>7895.8330321797685</v>
      </c>
      <c r="CV463" s="93">
        <f t="shared" si="15"/>
        <v>7954.2382551214505</v>
      </c>
      <c r="CW463" s="93">
        <f t="shared" si="15"/>
        <v>8013.0754996184196</v>
      </c>
      <c r="CX463" s="93">
        <f t="shared" si="15"/>
        <v>8045.3747396490489</v>
      </c>
      <c r="CY463" s="93">
        <f t="shared" si="15"/>
        <v>8077.6739796796801</v>
      </c>
      <c r="CZ463" s="93">
        <f t="shared" si="15"/>
        <v>8109.9732197103049</v>
      </c>
      <c r="DA463" s="93">
        <f t="shared" si="15"/>
        <v>8142.2724597409324</v>
      </c>
      <c r="DB463" s="93">
        <f t="shared" si="15"/>
        <v>8174.5716997715672</v>
      </c>
      <c r="DC463" s="93">
        <f t="shared" si="15"/>
        <v>8201.0475300232756</v>
      </c>
      <c r="DD463" s="93">
        <f t="shared" si="15"/>
        <v>8227.5233602749795</v>
      </c>
      <c r="DE463" s="93">
        <f t="shared" si="15"/>
        <v>8253.9991905266888</v>
      </c>
      <c r="DF463" s="93">
        <f t="shared" si="15"/>
        <v>8280.4750207783909</v>
      </c>
      <c r="DG463" s="93">
        <f t="shared" si="15"/>
        <v>8306.9508510301002</v>
      </c>
      <c r="DH463" s="93">
        <f t="shared" si="15"/>
        <v>241.1482199017201</v>
      </c>
      <c r="DI463" s="93">
        <f t="shared" si="15"/>
        <v>245.37922511576184</v>
      </c>
      <c r="DJ463" s="93">
        <f t="shared" si="15"/>
        <v>249.69481144835359</v>
      </c>
      <c r="DK463" s="93">
        <f t="shared" si="15"/>
        <v>248.05317761547585</v>
      </c>
      <c r="DL463" s="93">
        <f t="shared" si="15"/>
        <v>246.42233680479049</v>
      </c>
      <c r="DM463" s="93">
        <f t="shared" si="15"/>
        <v>245.63543052160287</v>
      </c>
      <c r="DN463" s="93">
        <f t="shared" si="15"/>
        <v>244.85103708488248</v>
      </c>
      <c r="DO463" s="93">
        <f t="shared" si="15"/>
        <v>244.06914847029725</v>
      </c>
      <c r="DP463" s="93">
        <f t="shared" si="15"/>
        <v>243.28975667913963</v>
      </c>
      <c r="DQ463" s="93">
        <f t="shared" si="15"/>
        <v>242.51285373824388</v>
      </c>
      <c r="DR463" s="93">
        <f t="shared" si="15"/>
        <v>244.30671351606327</v>
      </c>
      <c r="DS463" s="93">
        <f t="shared" si="15"/>
        <v>246.11384241695342</v>
      </c>
      <c r="DT463" s="93">
        <f t="shared" si="15"/>
        <v>247.93433859219067</v>
      </c>
      <c r="DU463" s="93">
        <f t="shared" si="15"/>
        <v>249.76830091907362</v>
      </c>
      <c r="DV463" s="93">
        <f t="shared" si="15"/>
        <v>251.61582900629253</v>
      </c>
      <c r="DW463" s="93">
        <f t="shared" si="15"/>
        <v>252.63004633857238</v>
      </c>
      <c r="DX463" s="93">
        <f t="shared" si="15"/>
        <v>253.64426367085224</v>
      </c>
      <c r="DY463" s="93">
        <f t="shared" si="15"/>
        <v>254.65848100313204</v>
      </c>
      <c r="DZ463" s="93">
        <f t="shared" si="15"/>
        <v>255.67269833541184</v>
      </c>
      <c r="EA463" s="93">
        <f t="shared" si="15"/>
        <v>256.68691566769166</v>
      </c>
      <c r="EB463" s="93">
        <f t="shared" si="15"/>
        <v>257.51827411149145</v>
      </c>
      <c r="EC463" s="93">
        <f t="shared" si="15"/>
        <v>258.34963255529135</v>
      </c>
      <c r="ED463" s="93">
        <f t="shared" si="15"/>
        <v>259.18099099909114</v>
      </c>
      <c r="EE463" s="93">
        <f t="shared" si="15"/>
        <v>260.01234944289109</v>
      </c>
      <c r="EF463" s="93">
        <f t="shared" si="15"/>
        <v>260.84370788669088</v>
      </c>
      <c r="EG463" s="93">
        <f t="shared" si="15"/>
        <v>3.9523315723868895E-3</v>
      </c>
      <c r="EH463" s="93">
        <f t="shared" si="15"/>
        <v>4.007441304200771E-3</v>
      </c>
      <c r="EI463" s="93">
        <f t="shared" si="15"/>
        <v>4.0634756517878706E-3</v>
      </c>
      <c r="EJ463" s="93">
        <f t="shared" si="15"/>
        <v>4.0367600822077262E-3</v>
      </c>
      <c r="EK463" s="93">
        <f t="shared" si="15"/>
        <v>4.0102201557762436E-3</v>
      </c>
      <c r="EL463" s="93">
        <f t="shared" si="15"/>
        <v>3.9974142247942391E-3</v>
      </c>
      <c r="EM463" s="93">
        <f t="shared" si="15"/>
        <v>3.984649187294873E-3</v>
      </c>
      <c r="EN463" s="93">
        <f t="shared" si="15"/>
        <v>3.9719249126920183E-3</v>
      </c>
      <c r="EO463" s="93">
        <f t="shared" si="15"/>
        <v>3.9592412708165528E-3</v>
      </c>
      <c r="EP463" s="93">
        <f t="shared" si="15"/>
        <v>3.9465981319150257E-3</v>
      </c>
      <c r="EQ463" s="93">
        <f t="shared" si="15"/>
        <v>3.9757909913405356E-3</v>
      </c>
      <c r="ER463" s="93">
        <f t="shared" si="15"/>
        <v>4.0051997894081232E-3</v>
      </c>
      <c r="ES463" s="93">
        <f t="shared" si="15"/>
        <v>4.0348261234089793E-3</v>
      </c>
      <c r="ET463" s="93">
        <f t="shared" si="15"/>
        <v>4.0646716024494061E-3</v>
      </c>
      <c r="EU463" s="93">
        <f t="shared" si="15"/>
        <v>4.0947378475382065E-3</v>
      </c>
      <c r="EV463" s="93">
        <f t="shared" si="15"/>
        <v>4.1112429859967714E-3</v>
      </c>
      <c r="EW463" s="93">
        <f t="shared" si="15"/>
        <v>4.1277481244553372E-3</v>
      </c>
      <c r="EX463" s="93">
        <f t="shared" si="15"/>
        <v>4.1442532629139021E-3</v>
      </c>
      <c r="EY463" s="93">
        <f t="shared" ref="EY463:GD463" si="16">SUMIFS(EY7:EY460,$F7:$F460,"Y",$D7:$D460,$D$463)</f>
        <v>4.160758401372467E-3</v>
      </c>
      <c r="EZ463" s="93">
        <f t="shared" si="16"/>
        <v>4.1772635398310319E-3</v>
      </c>
      <c r="FA463" s="93">
        <f t="shared" si="16"/>
        <v>4.1907928750010088E-3</v>
      </c>
      <c r="FB463" s="93">
        <f t="shared" si="16"/>
        <v>4.2043222101709856E-3</v>
      </c>
      <c r="FC463" s="93">
        <f t="shared" si="16"/>
        <v>4.2178515453409615E-3</v>
      </c>
      <c r="FD463" s="93">
        <f t="shared" si="16"/>
        <v>4.2313808805109383E-3</v>
      </c>
      <c r="FE463" s="93">
        <f t="shared" si="16"/>
        <v>4.2449102156809151E-3</v>
      </c>
      <c r="FF463" s="93">
        <f t="shared" si="16"/>
        <v>0</v>
      </c>
      <c r="FG463" s="93">
        <f t="shared" si="16"/>
        <v>0</v>
      </c>
      <c r="FH463" s="93">
        <f t="shared" si="16"/>
        <v>0</v>
      </c>
      <c r="FI463" s="93">
        <f t="shared" si="16"/>
        <v>0</v>
      </c>
      <c r="FJ463" s="93">
        <f t="shared" si="16"/>
        <v>0</v>
      </c>
      <c r="FK463" s="93">
        <f t="shared" si="16"/>
        <v>0</v>
      </c>
      <c r="FL463" s="93">
        <f t="shared" si="16"/>
        <v>0</v>
      </c>
      <c r="FM463" s="93">
        <f t="shared" si="16"/>
        <v>0</v>
      </c>
      <c r="FN463" s="93">
        <f t="shared" si="16"/>
        <v>0</v>
      </c>
      <c r="FO463" s="93">
        <f t="shared" si="16"/>
        <v>0</v>
      </c>
      <c r="FP463" s="93">
        <f t="shared" si="16"/>
        <v>0</v>
      </c>
      <c r="FQ463" s="93">
        <f t="shared" si="16"/>
        <v>0</v>
      </c>
      <c r="FR463" s="93">
        <f t="shared" si="16"/>
        <v>0</v>
      </c>
      <c r="FS463" s="93">
        <f t="shared" si="16"/>
        <v>0</v>
      </c>
      <c r="FT463" s="93">
        <f t="shared" si="16"/>
        <v>0</v>
      </c>
      <c r="FU463" s="93">
        <f t="shared" si="16"/>
        <v>0</v>
      </c>
      <c r="FV463" s="93">
        <f t="shared" si="16"/>
        <v>0</v>
      </c>
      <c r="FW463" s="93">
        <f t="shared" si="16"/>
        <v>0</v>
      </c>
      <c r="FX463" s="93">
        <f t="shared" si="16"/>
        <v>0</v>
      </c>
      <c r="FY463" s="93">
        <f t="shared" si="16"/>
        <v>0</v>
      </c>
      <c r="FZ463" s="93">
        <f t="shared" si="16"/>
        <v>0</v>
      </c>
      <c r="GA463" s="93">
        <f t="shared" si="16"/>
        <v>0</v>
      </c>
      <c r="GB463" s="93">
        <f t="shared" si="16"/>
        <v>0</v>
      </c>
      <c r="GC463" s="93">
        <f t="shared" si="16"/>
        <v>0</v>
      </c>
      <c r="GD463" s="93">
        <f t="shared" si="16"/>
        <v>0</v>
      </c>
    </row>
    <row r="464" spans="1:186" ht="15" x14ac:dyDescent="0.25">
      <c r="C464" s="382" t="s">
        <v>1529</v>
      </c>
      <c r="G464" s="93">
        <f>G462-G463</f>
        <v>64740</v>
      </c>
      <c r="H464" s="93">
        <f t="shared" ref="H464:BU464" si="17">H462-H463</f>
        <v>27388</v>
      </c>
      <c r="I464" s="93">
        <f t="shared" si="17"/>
        <v>24533</v>
      </c>
      <c r="J464" s="93">
        <f t="shared" si="17"/>
        <v>2855</v>
      </c>
      <c r="K464" s="93">
        <f t="shared" si="17"/>
        <v>414</v>
      </c>
      <c r="L464" s="93">
        <f t="shared" si="17"/>
        <v>13669</v>
      </c>
      <c r="M464" s="93">
        <f t="shared" si="17"/>
        <v>14083</v>
      </c>
      <c r="N464" s="93">
        <f t="shared" si="17"/>
        <v>1372</v>
      </c>
      <c r="O464" s="93">
        <f t="shared" si="17"/>
        <v>30</v>
      </c>
      <c r="P464" s="93">
        <f t="shared" si="17"/>
        <v>45</v>
      </c>
      <c r="Q464" s="93">
        <f t="shared" si="17"/>
        <v>15530</v>
      </c>
      <c r="R464" s="93">
        <f t="shared" si="17"/>
        <v>628437.93928038748</v>
      </c>
      <c r="S464" s="93">
        <f t="shared" si="17"/>
        <v>349143.14164484187</v>
      </c>
      <c r="T464" s="93">
        <f t="shared" si="17"/>
        <v>357095.04252026917</v>
      </c>
      <c r="U464" s="93">
        <f t="shared" si="17"/>
        <v>714352.98614517844</v>
      </c>
      <c r="V464" s="93">
        <f t="shared" si="17"/>
        <v>42947.482758620688</v>
      </c>
      <c r="W464" s="93">
        <f t="shared" si="17"/>
        <v>57842.808270676687</v>
      </c>
      <c r="X464" s="93">
        <f t="shared" si="17"/>
        <v>498929.12660771993</v>
      </c>
      <c r="Y464" s="93"/>
      <c r="Z464" s="93"/>
      <c r="AA464" s="93">
        <f t="shared" si="17"/>
        <v>1464.5751986068378</v>
      </c>
      <c r="AB464" s="93">
        <f t="shared" si="17"/>
        <v>25826.229103165522</v>
      </c>
      <c r="AC464" s="93">
        <f t="shared" si="17"/>
        <v>97.195698227636569</v>
      </c>
      <c r="AD464" s="93">
        <f t="shared" si="17"/>
        <v>1372</v>
      </c>
      <c r="AE464" s="93">
        <f t="shared" si="17"/>
        <v>45</v>
      </c>
      <c r="AF464" s="93">
        <f t="shared" si="17"/>
        <v>28805</v>
      </c>
      <c r="AG464" s="93">
        <f t="shared" si="17"/>
        <v>1238.7033649879459</v>
      </c>
      <c r="AH464" s="93">
        <f t="shared" si="17"/>
        <v>23211.257410420516</v>
      </c>
      <c r="AI464" s="93">
        <f t="shared" si="17"/>
        <v>24449.960775408457</v>
      </c>
      <c r="AJ464" s="93">
        <f t="shared" si="17"/>
        <v>83.039224591537405</v>
      </c>
      <c r="AK464" s="93">
        <f t="shared" si="17"/>
        <v>1400.3571705736726</v>
      </c>
      <c r="AL464" s="93">
        <f t="shared" si="17"/>
        <v>24737.79880621218</v>
      </c>
      <c r="AM464" s="93">
        <f t="shared" si="17"/>
        <v>26138.155976785834</v>
      </c>
      <c r="AN464" s="93">
        <f t="shared" si="17"/>
        <v>96.065501445158489</v>
      </c>
      <c r="AO464" s="93">
        <f t="shared" si="17"/>
        <v>1192.5979020638733</v>
      </c>
      <c r="AP464" s="93">
        <f t="shared" si="17"/>
        <v>22300.176106340739</v>
      </c>
      <c r="AQ464" s="93">
        <f t="shared" si="17"/>
        <v>23492.774008404616</v>
      </c>
      <c r="AR464" s="93">
        <f t="shared" si="17"/>
        <v>82.239739632499891</v>
      </c>
      <c r="AS464" s="93">
        <f t="shared" si="17"/>
        <v>1338.6789130973805</v>
      </c>
      <c r="AT464" s="93">
        <f t="shared" si="17"/>
        <v>44.767575530227653</v>
      </c>
      <c r="AU464" s="93">
        <f t="shared" si="17"/>
        <v>25054.591981537589</v>
      </c>
      <c r="AV464" s="93">
        <f t="shared" si="17"/>
        <v>25588.054697871245</v>
      </c>
      <c r="AW464" s="93">
        <f t="shared" si="17"/>
        <v>26138.155976785834</v>
      </c>
      <c r="AX464" s="93">
        <f t="shared" si="17"/>
        <v>26705.521779808929</v>
      </c>
      <c r="AY464" s="93">
        <f t="shared" si="17"/>
        <v>27290.804301772354</v>
      </c>
      <c r="AZ464" s="93">
        <f t="shared" si="17"/>
        <v>22592.650775924863</v>
      </c>
      <c r="BA464" s="93">
        <f t="shared" si="17"/>
        <v>23035.832922188281</v>
      </c>
      <c r="BB464" s="93">
        <f t="shared" si="17"/>
        <v>23492.774008404613</v>
      </c>
      <c r="BC464" s="93">
        <f t="shared" si="17"/>
        <v>23963.975916919444</v>
      </c>
      <c r="BD464" s="93">
        <f t="shared" si="17"/>
        <v>24449.960775408457</v>
      </c>
      <c r="BE464" s="93">
        <f t="shared" si="17"/>
        <v>1306.7452433509729</v>
      </c>
      <c r="BF464" s="93">
        <f t="shared" si="17"/>
        <v>1322.542956141099</v>
      </c>
      <c r="BG464" s="93">
        <f t="shared" si="17"/>
        <v>1338.6789130973805</v>
      </c>
      <c r="BH464" s="93">
        <f t="shared" si="17"/>
        <v>1355.1616649978068</v>
      </c>
      <c r="BI464" s="93">
        <f t="shared" si="17"/>
        <v>1372</v>
      </c>
      <c r="BJ464" s="93">
        <f t="shared" si="17"/>
        <v>27593.466883812096</v>
      </c>
      <c r="BK464" s="93">
        <f t="shared" si="17"/>
        <v>27900.297248105471</v>
      </c>
      <c r="BL464" s="93">
        <f t="shared" si="17"/>
        <v>28211.363050591091</v>
      </c>
      <c r="BM464" s="93">
        <f t="shared" si="17"/>
        <v>28025.885716133023</v>
      </c>
      <c r="BN464" s="93">
        <f t="shared" si="17"/>
        <v>27841.62781377176</v>
      </c>
      <c r="BO464" s="93">
        <f t="shared" si="17"/>
        <v>27752.720484408266</v>
      </c>
      <c r="BP464" s="93">
        <f t="shared" si="17"/>
        <v>27664.097064924819</v>
      </c>
      <c r="BQ464" s="93">
        <f t="shared" si="17"/>
        <v>27575.756648705392</v>
      </c>
      <c r="BR464" s="93">
        <f t="shared" si="17"/>
        <v>27487.698332028878</v>
      </c>
      <c r="BS464" s="93">
        <f t="shared" si="17"/>
        <v>27399.921214060178</v>
      </c>
      <c r="BT464" s="93">
        <f t="shared" si="17"/>
        <v>27602.597549865306</v>
      </c>
      <c r="BU464" s="93">
        <f t="shared" si="17"/>
        <v>27806.773076006648</v>
      </c>
      <c r="BV464" s="93">
        <f t="shared" ref="BV464:FT464" si="18">BV462-BV463</f>
        <v>28012.458881946804</v>
      </c>
      <c r="BW464" s="93">
        <f t="shared" si="18"/>
        <v>28219.666139176945</v>
      </c>
      <c r="BX464" s="93">
        <f t="shared" si="18"/>
        <v>28428.406101823206</v>
      </c>
      <c r="BY464" s="93">
        <f t="shared" si="18"/>
        <v>28542.995801173311</v>
      </c>
      <c r="BZ464" s="93">
        <f t="shared" si="18"/>
        <v>28657.585500523379</v>
      </c>
      <c r="CA464" s="93">
        <f t="shared" si="18"/>
        <v>28772.175199873498</v>
      </c>
      <c r="CB464" s="93">
        <f t="shared" si="18"/>
        <v>28886.764899223599</v>
      </c>
      <c r="CC464" s="93">
        <f t="shared" si="18"/>
        <v>29001.354598573715</v>
      </c>
      <c r="CD464" s="93">
        <f t="shared" si="18"/>
        <v>29095.284283164168</v>
      </c>
      <c r="CE464" s="93">
        <f t="shared" si="18"/>
        <v>29189.213967754546</v>
      </c>
      <c r="CF464" s="93">
        <f t="shared" si="18"/>
        <v>29283.143652345021</v>
      </c>
      <c r="CG464" s="93">
        <f t="shared" si="18"/>
        <v>29377.073336935435</v>
      </c>
      <c r="CH464" s="93">
        <f t="shared" si="18"/>
        <v>29471.003021525852</v>
      </c>
      <c r="CI464" s="93">
        <f t="shared" si="18"/>
        <v>24722.584518743653</v>
      </c>
      <c r="CJ464" s="93">
        <f t="shared" si="18"/>
        <v>24998.984011688379</v>
      </c>
      <c r="CK464" s="93">
        <f t="shared" si="18"/>
        <v>25279.220850194666</v>
      </c>
      <c r="CL464" s="93">
        <f t="shared" si="18"/>
        <v>25113.021064240973</v>
      </c>
      <c r="CM464" s="93">
        <f t="shared" si="18"/>
        <v>24947.913968960536</v>
      </c>
      <c r="CN464" s="93">
        <f t="shared" si="18"/>
        <v>24868.247204538333</v>
      </c>
      <c r="CO464" s="93">
        <f t="shared" si="18"/>
        <v>24788.834841881344</v>
      </c>
      <c r="CP464" s="93">
        <f t="shared" si="18"/>
        <v>24709.676068602472</v>
      </c>
      <c r="CQ464" s="443">
        <f t="shared" si="18"/>
        <v>24630.770074908763</v>
      </c>
      <c r="CR464" s="93">
        <f t="shared" si="18"/>
        <v>24552.116053593094</v>
      </c>
      <c r="CS464" s="93">
        <f t="shared" si="18"/>
        <v>24733.727266236001</v>
      </c>
      <c r="CT464" s="93">
        <f t="shared" si="18"/>
        <v>24916.681851176669</v>
      </c>
      <c r="CU464" s="93">
        <f t="shared" si="18"/>
        <v>25100.989745296778</v>
      </c>
      <c r="CV464" s="93">
        <f t="shared" si="18"/>
        <v>25286.660958980738</v>
      </c>
      <c r="CW464" s="93">
        <f t="shared" si="18"/>
        <v>25473.705576659573</v>
      </c>
      <c r="CX464" s="93">
        <f t="shared" si="18"/>
        <v>25576.385419240527</v>
      </c>
      <c r="CY464" s="93">
        <f t="shared" si="18"/>
        <v>25679.065261821477</v>
      </c>
      <c r="CZ464" s="93">
        <f t="shared" si="18"/>
        <v>25781.74510440246</v>
      </c>
      <c r="DA464" s="93">
        <f t="shared" si="18"/>
        <v>25884.424946983389</v>
      </c>
      <c r="DB464" s="93">
        <f t="shared" si="18"/>
        <v>25987.104789564324</v>
      </c>
      <c r="DC464" s="93">
        <f t="shared" si="18"/>
        <v>26071.271911758788</v>
      </c>
      <c r="DD464" s="93">
        <f t="shared" si="18"/>
        <v>26155.439033953196</v>
      </c>
      <c r="DE464" s="93">
        <f t="shared" si="18"/>
        <v>26239.60615614766</v>
      </c>
      <c r="DF464" s="93">
        <f t="shared" si="18"/>
        <v>26323.773278342091</v>
      </c>
      <c r="DG464" s="93">
        <f t="shared" si="18"/>
        <v>26407.940400536507</v>
      </c>
      <c r="DH464" s="93">
        <f t="shared" si="18"/>
        <v>1391.6001614682284</v>
      </c>
      <c r="DI464" s="93">
        <f t="shared" si="18"/>
        <v>1411.5253603881449</v>
      </c>
      <c r="DJ464" s="93">
        <f t="shared" si="18"/>
        <v>1431.7814801512313</v>
      </c>
      <c r="DK464" s="93">
        <f t="shared" si="18"/>
        <v>1422.3681451064642</v>
      </c>
      <c r="DL464" s="93">
        <f t="shared" si="18"/>
        <v>1413.0166986095589</v>
      </c>
      <c r="DM464" s="93">
        <f t="shared" si="18"/>
        <v>1408.5044789268673</v>
      </c>
      <c r="DN464" s="93">
        <f t="shared" si="18"/>
        <v>1404.0066682221354</v>
      </c>
      <c r="DO464" s="93">
        <f t="shared" si="18"/>
        <v>1399.523220482833</v>
      </c>
      <c r="DP464" s="93">
        <f t="shared" si="18"/>
        <v>1395.0540898433587</v>
      </c>
      <c r="DQ464" s="93">
        <f t="shared" si="18"/>
        <v>1390.5992305845807</v>
      </c>
      <c r="DR464" s="93">
        <f t="shared" si="18"/>
        <v>1400.8854483596783</v>
      </c>
      <c r="DS464" s="93">
        <f t="shared" si="18"/>
        <v>1411.2477529567698</v>
      </c>
      <c r="DT464" s="93">
        <f t="shared" si="18"/>
        <v>1421.6867071876218</v>
      </c>
      <c r="DU464" s="93">
        <f t="shared" si="18"/>
        <v>1432.2028780271141</v>
      </c>
      <c r="DV464" s="93">
        <f t="shared" si="18"/>
        <v>1442.7968366440177</v>
      </c>
      <c r="DW464" s="93">
        <f t="shared" si="18"/>
        <v>1448.6124864958645</v>
      </c>
      <c r="DX464" s="93">
        <f t="shared" si="18"/>
        <v>1454.428136347713</v>
      </c>
      <c r="DY464" s="93">
        <f t="shared" si="18"/>
        <v>1460.2437861995609</v>
      </c>
      <c r="DZ464" s="93">
        <f t="shared" si="18"/>
        <v>1466.0594360514065</v>
      </c>
      <c r="EA464" s="93">
        <f t="shared" si="18"/>
        <v>1471.8750859032541</v>
      </c>
      <c r="EB464" s="93">
        <f t="shared" si="18"/>
        <v>1476.6421998704827</v>
      </c>
      <c r="EC464" s="93">
        <f t="shared" si="18"/>
        <v>1481.4093138377111</v>
      </c>
      <c r="ED464" s="93">
        <f t="shared" si="18"/>
        <v>1486.17642780494</v>
      </c>
      <c r="EE464" s="93">
        <f t="shared" si="18"/>
        <v>1490.9435417721679</v>
      </c>
      <c r="EF464" s="93">
        <f t="shared" si="18"/>
        <v>1495.7106557393977</v>
      </c>
      <c r="EG464" s="93">
        <f t="shared" si="18"/>
        <v>98.464866165879542</v>
      </c>
      <c r="EH464" s="93">
        <f t="shared" si="18"/>
        <v>99.75089922481375</v>
      </c>
      <c r="EI464" s="93">
        <f t="shared" si="18"/>
        <v>101.05402289918588</v>
      </c>
      <c r="EJ464" s="93">
        <f t="shared" si="18"/>
        <v>100.38963703558933</v>
      </c>
      <c r="EK464" s="93">
        <f t="shared" si="18"/>
        <v>99.729619217549782</v>
      </c>
      <c r="EL464" s="93">
        <f t="shared" si="18"/>
        <v>99.411150262990787</v>
      </c>
      <c r="EM464" s="93">
        <f t="shared" si="18"/>
        <v>99.093698282885484</v>
      </c>
      <c r="EN464" s="93">
        <f t="shared" si="18"/>
        <v>98.777260029705147</v>
      </c>
      <c r="EO464" s="93">
        <f t="shared" si="18"/>
        <v>98.461832266291722</v>
      </c>
      <c r="EP464" s="93">
        <f t="shared" si="18"/>
        <v>98.147411765824287</v>
      </c>
      <c r="EQ464" s="93">
        <f t="shared" si="18"/>
        <v>98.873405013397928</v>
      </c>
      <c r="ER464" s="93">
        <f t="shared" si="18"/>
        <v>99.604768409669845</v>
      </c>
      <c r="ES464" s="93">
        <f t="shared" si="18"/>
        <v>100.341541677457</v>
      </c>
      <c r="ET464" s="93">
        <f t="shared" si="18"/>
        <v>101.08376483340514</v>
      </c>
      <c r="EU464" s="93">
        <f t="shared" si="18"/>
        <v>101.83147819016153</v>
      </c>
      <c r="EV464" s="93">
        <f t="shared" si="18"/>
        <v>102.24194223195107</v>
      </c>
      <c r="EW464" s="93">
        <f t="shared" si="18"/>
        <v>102.65240627374058</v>
      </c>
      <c r="EX464" s="93">
        <f t="shared" si="18"/>
        <v>103.06287031553006</v>
      </c>
      <c r="EY464" s="93">
        <f t="shared" si="18"/>
        <v>103.47333435731952</v>
      </c>
      <c r="EZ464" s="93">
        <f t="shared" si="18"/>
        <v>103.88379839910905</v>
      </c>
      <c r="FA464" s="93">
        <f t="shared" si="18"/>
        <v>104.2202575939552</v>
      </c>
      <c r="FB464" s="93">
        <f t="shared" si="18"/>
        <v>104.55671678880141</v>
      </c>
      <c r="FC464" s="93">
        <f t="shared" si="18"/>
        <v>104.89317598364758</v>
      </c>
      <c r="FD464" s="93">
        <f t="shared" si="18"/>
        <v>105.22963517849375</v>
      </c>
      <c r="FE464" s="93">
        <f t="shared" si="18"/>
        <v>105.56609437333992</v>
      </c>
      <c r="FF464" s="93">
        <f t="shared" si="18"/>
        <v>45.541755641191791</v>
      </c>
      <c r="FG464" s="93">
        <f t="shared" si="18"/>
        <v>46.090498420310297</v>
      </c>
      <c r="FH464" s="93">
        <f t="shared" si="18"/>
        <v>46.646320809758933</v>
      </c>
      <c r="FI464" s="93">
        <f t="shared" si="18"/>
        <v>46.339641716283246</v>
      </c>
      <c r="FJ464" s="93">
        <f t="shared" si="18"/>
        <v>46.034978903293187</v>
      </c>
      <c r="FK464" s="93">
        <f t="shared" si="18"/>
        <v>45.887974315092585</v>
      </c>
      <c r="FL464" s="93">
        <f t="shared" si="18"/>
        <v>45.741439160124436</v>
      </c>
      <c r="FM464" s="93">
        <f t="shared" si="18"/>
        <v>45.595371939336474</v>
      </c>
      <c r="FN464" s="93">
        <f t="shared" si="18"/>
        <v>45.449771158463399</v>
      </c>
      <c r="FO464" s="93">
        <f t="shared" si="18"/>
        <v>45.304635328011585</v>
      </c>
      <c r="FP464" s="93">
        <f t="shared" si="18"/>
        <v>45.639752258149294</v>
      </c>
      <c r="FQ464" s="93">
        <f t="shared" si="18"/>
        <v>45.977348037439015</v>
      </c>
      <c r="FR464" s="93">
        <f t="shared" si="18"/>
        <v>46.317441001848181</v>
      </c>
      <c r="FS464" s="93">
        <f t="shared" si="18"/>
        <v>46.66004962297481</v>
      </c>
      <c r="FT464" s="93">
        <f t="shared" si="18"/>
        <v>47.005192509050666</v>
      </c>
      <c r="FU464" s="93">
        <f t="shared" ref="FU464:GD464" si="19">FU462-FU463</f>
        <v>47.194661832733942</v>
      </c>
      <c r="FV464" s="93">
        <f t="shared" si="19"/>
        <v>47.384131156417219</v>
      </c>
      <c r="FW464" s="93">
        <f t="shared" si="19"/>
        <v>47.573600480100502</v>
      </c>
      <c r="FX464" s="93">
        <f t="shared" si="19"/>
        <v>47.763069803783779</v>
      </c>
      <c r="FY464" s="93">
        <f t="shared" si="19"/>
        <v>47.952539127467055</v>
      </c>
      <c r="FZ464" s="93">
        <f t="shared" si="19"/>
        <v>48.107847972102014</v>
      </c>
      <c r="GA464" s="93">
        <f t="shared" si="19"/>
        <v>48.263156816736988</v>
      </c>
      <c r="GB464" s="93">
        <f t="shared" si="19"/>
        <v>48.418465661371947</v>
      </c>
      <c r="GC464" s="93">
        <f t="shared" si="19"/>
        <v>48.573774506006913</v>
      </c>
      <c r="GD464" s="93">
        <f t="shared" si="19"/>
        <v>48.729083350641872</v>
      </c>
    </row>
  </sheetData>
  <sheetProtection algorithmName="SHA-512" hashValue="OQXLQBJcKGT4CaThTrcufUEzoG4zneE/lUaE+KuQEDDRZKn/ioDPDSXgwtUc1t5JTIBa9YOn3jyGRNSWJMDfQA==" saltValue="vTLcunnI3j7vvop5UawXVg==" spinCount="100000" sheet="1" objects="1" scenarios="1"/>
  <mergeCells count="22">
    <mergeCell ref="FF4:GD4"/>
    <mergeCell ref="AG4:AJ4"/>
    <mergeCell ref="AK4:AN4"/>
    <mergeCell ref="AO4:AR4"/>
    <mergeCell ref="AS4:AT4"/>
    <mergeCell ref="AU4:AY4"/>
    <mergeCell ref="AZ4:BD4"/>
    <mergeCell ref="BE4:BI4"/>
    <mergeCell ref="BJ4:CH4"/>
    <mergeCell ref="CI4:DG4"/>
    <mergeCell ref="DH4:EF4"/>
    <mergeCell ref="EG4:FE4"/>
    <mergeCell ref="A1:X1"/>
    <mergeCell ref="AK1:AT1"/>
    <mergeCell ref="AU1:BI1"/>
    <mergeCell ref="BJ1:DV1"/>
    <mergeCell ref="Y3:Z3"/>
    <mergeCell ref="G4:J4"/>
    <mergeCell ref="K4:Q4"/>
    <mergeCell ref="R4:X4"/>
    <mergeCell ref="Y4:Z4"/>
    <mergeCell ref="AA4:AF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E1F9-C938-453B-B465-02CAD1E048A5}">
  <sheetPr codeName="Sheet17">
    <tabColor rgb="FFFF0000"/>
  </sheetPr>
  <dimension ref="A1:AE84"/>
  <sheetViews>
    <sheetView zoomScale="84" zoomScaleNormal="84" workbookViewId="0">
      <pane ySplit="5" topLeftCell="A6" activePane="bottomLeft" state="frozen"/>
      <selection sqref="A1:W1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1535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5.350828766869598</v>
      </c>
      <c r="E6" s="99">
        <v>6.0751767658781451E-2</v>
      </c>
      <c r="F6" s="99">
        <v>9.3464257936586893E-3</v>
      </c>
      <c r="G6" s="99">
        <v>0.80846583115147652</v>
      </c>
      <c r="H6" s="99">
        <v>0.80846583115147652</v>
      </c>
      <c r="I6" s="99">
        <v>4.2058916071464093E-2</v>
      </c>
      <c r="J6" s="99">
        <v>5.9022678886954605</v>
      </c>
      <c r="K6" s="49">
        <v>751.92061993606342</v>
      </c>
      <c r="L6" s="100">
        <v>66.760735689810687</v>
      </c>
      <c r="M6" s="49" t="s">
        <v>237</v>
      </c>
      <c r="N6" s="99">
        <v>4.930368813435563</v>
      </c>
      <c r="O6" s="99">
        <v>5.5977986528089385E-2</v>
      </c>
      <c r="P6" s="99">
        <v>8.6119979273983679E-3</v>
      </c>
      <c r="Q6" s="99">
        <v>0.74493782071995884</v>
      </c>
      <c r="R6" s="99">
        <v>0.74493782071995884</v>
      </c>
      <c r="S6" s="99">
        <v>3.8753990673292639E-2</v>
      </c>
      <c r="T6" s="99">
        <v>5.4384766911520677</v>
      </c>
      <c r="U6" s="49">
        <v>692.83584585360552</v>
      </c>
      <c r="V6" s="100">
        <v>61.514779027328757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0.11037117379516068</v>
      </c>
      <c r="E7" s="99">
        <v>5.8309299363481113E-3</v>
      </c>
      <c r="F7" s="99">
        <v>8.3298999090687296E-4</v>
      </c>
      <c r="G7" s="99">
        <v>6.3723734304375779E-2</v>
      </c>
      <c r="H7" s="99">
        <v>6.3723734304375779E-2</v>
      </c>
      <c r="I7" s="99">
        <v>3.5402074613542106E-3</v>
      </c>
      <c r="J7" s="99">
        <v>0.48063522475326576</v>
      </c>
      <c r="K7" s="49">
        <v>67.014104021260138</v>
      </c>
      <c r="L7" s="100">
        <v>5.949977653802403</v>
      </c>
      <c r="M7" s="49" t="s">
        <v>237</v>
      </c>
      <c r="N7" s="99">
        <v>9.5915312039997133E-2</v>
      </c>
      <c r="O7" s="99">
        <v>5.0672240323017363E-3</v>
      </c>
      <c r="P7" s="99">
        <v>7.2388914747167638E-4</v>
      </c>
      <c r="Q7" s="99">
        <v>5.537751978158325E-2</v>
      </c>
      <c r="R7" s="99">
        <v>5.537751978158325E-2</v>
      </c>
      <c r="S7" s="99">
        <v>3.0765288767546244E-3</v>
      </c>
      <c r="T7" s="99">
        <v>0.41768403809115739</v>
      </c>
      <c r="U7" s="49">
        <v>58.236933406264249</v>
      </c>
      <c r="V7" s="100">
        <v>5.1706794779099283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5.2613721318909443E-2</v>
      </c>
      <c r="E8" s="99">
        <v>8.7689535531515726E-3</v>
      </c>
      <c r="F8" s="99">
        <v>1.7537907106303144E-3</v>
      </c>
      <c r="G8" s="99">
        <v>5.2613721318909443E-2</v>
      </c>
      <c r="H8" s="99">
        <v>5.2613721318909443E-2</v>
      </c>
      <c r="I8" s="99">
        <v>3.9460290989182098E-3</v>
      </c>
      <c r="J8" s="99">
        <v>0.61733433014187089</v>
      </c>
      <c r="K8" s="49">
        <v>141.09258742202476</v>
      </c>
      <c r="L8" s="100">
        <v>12.527179980081209</v>
      </c>
      <c r="M8" s="49" t="s">
        <v>237</v>
      </c>
      <c r="N8" s="99">
        <v>4.5722640471817788E-2</v>
      </c>
      <c r="O8" s="99">
        <v>7.6204400786362998E-3</v>
      </c>
      <c r="P8" s="99">
        <v>1.5240880157272594E-3</v>
      </c>
      <c r="Q8" s="99">
        <v>4.5722640471817788E-2</v>
      </c>
      <c r="R8" s="99">
        <v>4.5722640471817788E-2</v>
      </c>
      <c r="S8" s="99">
        <v>3.4291980353863345E-3</v>
      </c>
      <c r="T8" s="99">
        <v>0.53647898153599538</v>
      </c>
      <c r="U8" s="49">
        <v>122.61298927770797</v>
      </c>
      <c r="V8" s="100">
        <v>10.886432892347994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3.9596640632190677E-2</v>
      </c>
      <c r="E9" s="99">
        <v>5.2795520842920888E-3</v>
      </c>
      <c r="F9" s="99">
        <v>1.0559104168584178E-3</v>
      </c>
      <c r="G9" s="99">
        <v>3.431708854789859E-2</v>
      </c>
      <c r="H9" s="99">
        <v>3.431708854789859E-2</v>
      </c>
      <c r="I9" s="99">
        <v>2.3757984379314408E-3</v>
      </c>
      <c r="J9" s="99">
        <v>0.2824560365096267</v>
      </c>
      <c r="K9" s="49">
        <v>84.948068145987008</v>
      </c>
      <c r="L9" s="100">
        <v>7.542279563149223</v>
      </c>
      <c r="M9" s="49" t="s">
        <v>237</v>
      </c>
      <c r="N9" s="99">
        <v>3.4410471605754736E-2</v>
      </c>
      <c r="O9" s="99">
        <v>4.5880628807672972E-3</v>
      </c>
      <c r="P9" s="99">
        <v>9.1761257615345941E-4</v>
      </c>
      <c r="Q9" s="99">
        <v>2.9822408724987433E-2</v>
      </c>
      <c r="R9" s="99">
        <v>2.9822408724987433E-2</v>
      </c>
      <c r="S9" s="99">
        <v>2.064628296345284E-3</v>
      </c>
      <c r="T9" s="99">
        <v>0.24546136412105041</v>
      </c>
      <c r="U9" s="49">
        <v>73.821997023778408</v>
      </c>
      <c r="V9" s="100">
        <v>6.5544296841035319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2.2398969569918012</v>
      </c>
      <c r="E10" s="99">
        <v>6.1370752177422362E-2</v>
      </c>
      <c r="F10" s="99">
        <v>1.6904882694277746E-2</v>
      </c>
      <c r="G10" s="99">
        <v>0.51314895607550792</v>
      </c>
      <c r="H10" s="99">
        <v>0.51314895607550792</v>
      </c>
      <c r="I10" s="99">
        <v>1.6779302458658038E-2</v>
      </c>
      <c r="J10" s="99">
        <v>5.1209387097660288</v>
      </c>
      <c r="K10" s="49">
        <v>1359.9990152440878</v>
      </c>
      <c r="L10" s="100">
        <v>120.75015950863767</v>
      </c>
      <c r="M10" s="49" t="s">
        <v>237</v>
      </c>
      <c r="N10" s="99">
        <v>1.9465265085069567</v>
      </c>
      <c r="O10" s="99">
        <v>5.3332719430450537E-2</v>
      </c>
      <c r="P10" s="99">
        <v>1.4690766101939298E-2</v>
      </c>
      <c r="Q10" s="99">
        <v>0.44593928425846963</v>
      </c>
      <c r="R10" s="99">
        <v>0.44593928425846963</v>
      </c>
      <c r="S10" s="99">
        <v>1.4581633734570665E-2</v>
      </c>
      <c r="T10" s="99">
        <v>4.4502238890427117</v>
      </c>
      <c r="U10" s="49">
        <v>1181.8731778944343</v>
      </c>
      <c r="V10" s="100">
        <v>104.93491035662269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1.0677544708997844</v>
      </c>
      <c r="E11" s="99">
        <v>0.14315380954611906</v>
      </c>
      <c r="F11" s="99">
        <v>3.5591815696659472E-2</v>
      </c>
      <c r="G11" s="99">
        <v>0.70517399414399118</v>
      </c>
      <c r="H11" s="99">
        <v>0.70517399414399118</v>
      </c>
      <c r="I11" s="99">
        <v>2.22219046321461E-2</v>
      </c>
      <c r="J11" s="99">
        <v>11.001514628228751</v>
      </c>
      <c r="K11" s="49">
        <v>2863.3641045371378</v>
      </c>
      <c r="L11" s="100">
        <v>254.2293549323729</v>
      </c>
      <c r="M11" s="49" t="s">
        <v>237</v>
      </c>
      <c r="N11" s="99">
        <v>0.92790535551000242</v>
      </c>
      <c r="O11" s="99">
        <v>0.12440424288513242</v>
      </c>
      <c r="P11" s="99">
        <v>3.0930178517000095E-2</v>
      </c>
      <c r="Q11" s="99">
        <v>0.61281384772024272</v>
      </c>
      <c r="R11" s="99">
        <v>0.61281384772024272</v>
      </c>
      <c r="S11" s="99">
        <v>1.9311391223138418E-2</v>
      </c>
      <c r="T11" s="99">
        <v>9.5605915221807685</v>
      </c>
      <c r="U11" s="49">
        <v>2488.3350618388404</v>
      </c>
      <c r="V11" s="100">
        <v>220.9316714645187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0.80358296291880671</v>
      </c>
      <c r="E12" s="99">
        <v>8.6189074783265818E-2</v>
      </c>
      <c r="F12" s="99">
        <v>2.1428879011168182E-2</v>
      </c>
      <c r="G12" s="99">
        <v>0.47109419792586477</v>
      </c>
      <c r="H12" s="99">
        <v>0.47109419792586477</v>
      </c>
      <c r="I12" s="99">
        <v>1.3379213632101103E-2</v>
      </c>
      <c r="J12" s="99">
        <v>6.6237173151589852</v>
      </c>
      <c r="K12" s="49">
        <v>1723.9548407418606</v>
      </c>
      <c r="L12" s="100">
        <v>153.06468583575153</v>
      </c>
      <c r="M12" s="49" t="s">
        <v>237</v>
      </c>
      <c r="N12" s="99">
        <v>0.69833370424626451</v>
      </c>
      <c r="O12" s="99">
        <v>7.4900462847465488E-2</v>
      </c>
      <c r="P12" s="99">
        <v>1.8622232113233723E-2</v>
      </c>
      <c r="Q12" s="99">
        <v>0.40939264701625083</v>
      </c>
      <c r="R12" s="99">
        <v>0.40939264701625083</v>
      </c>
      <c r="S12" s="99">
        <v>1.162687145788991E-2</v>
      </c>
      <c r="T12" s="99">
        <v>5.7561761038013186</v>
      </c>
      <c r="U12" s="49">
        <v>1498.1598981587454</v>
      </c>
      <c r="V12" s="100">
        <v>133.01704239811161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1.3464783890093953E-2</v>
      </c>
      <c r="E13" s="99">
        <v>2.351370710667074E-2</v>
      </c>
      <c r="F13" s="99">
        <v>1.8792173511824777E-3</v>
      </c>
      <c r="G13" s="99">
        <v>1.7382760498437917E-2</v>
      </c>
      <c r="H13" s="99">
        <v>1.7382760498437917E-2</v>
      </c>
      <c r="I13" s="99">
        <v>4.22119197509364E-4</v>
      </c>
      <c r="J13" s="99">
        <v>5.8326208537326125E-2</v>
      </c>
      <c r="K13" s="49">
        <v>180.54047029068141</v>
      </c>
      <c r="L13" s="100">
        <v>16.029637037238295</v>
      </c>
      <c r="M13" s="49" t="s">
        <v>237</v>
      </c>
      <c r="N13" s="99">
        <v>1.1701234153460763E-2</v>
      </c>
      <c r="O13" s="99">
        <v>2.0433999900545674E-2</v>
      </c>
      <c r="P13" s="99">
        <v>1.6330869051385151E-3</v>
      </c>
      <c r="Q13" s="99">
        <v>1.5106053872531265E-2</v>
      </c>
      <c r="R13" s="99">
        <v>1.5106053872531265E-2</v>
      </c>
      <c r="S13" s="99">
        <v>3.6683214606673909E-4</v>
      </c>
      <c r="T13" s="99">
        <v>5.0686934818236669E-2</v>
      </c>
      <c r="U13" s="49">
        <v>156.89418666432448</v>
      </c>
      <c r="V13" s="100">
        <v>13.930155723160562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4.5417134527872924E-2</v>
      </c>
      <c r="E14" s="99">
        <v>7.9312464843816738E-2</v>
      </c>
      <c r="F14" s="99">
        <v>6.3386585289763641E-3</v>
      </c>
      <c r="G14" s="99">
        <v>5.8632591393031369E-2</v>
      </c>
      <c r="H14" s="99">
        <v>5.8632591393031369E-2</v>
      </c>
      <c r="I14" s="99">
        <v>1.4238211720713162E-3</v>
      </c>
      <c r="J14" s="99">
        <v>0.1967361140931039</v>
      </c>
      <c r="K14" s="49">
        <v>608.96861723490372</v>
      </c>
      <c r="L14" s="100">
        <v>54.068463905226942</v>
      </c>
      <c r="M14" s="49" t="s">
        <v>237</v>
      </c>
      <c r="N14" s="99">
        <v>3.9468626457558428E-2</v>
      </c>
      <c r="O14" s="99">
        <v>6.8924516724579166E-2</v>
      </c>
      <c r="P14" s="99">
        <v>5.5084528850812527E-3</v>
      </c>
      <c r="Q14" s="99">
        <v>5.0953189187001577E-2</v>
      </c>
      <c r="R14" s="99">
        <v>5.0953189187001577E-2</v>
      </c>
      <c r="S14" s="99">
        <v>1.2373362293113762E-3</v>
      </c>
      <c r="T14" s="99">
        <v>0.17096860642070935</v>
      </c>
      <c r="U14" s="49">
        <v>529.20896766989335</v>
      </c>
      <c r="V14" s="100">
        <v>46.986848183910013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1.1513148352633962</v>
      </c>
      <c r="E15" s="99">
        <v>4.089788579284892E-2</v>
      </c>
      <c r="F15" s="99">
        <v>1.0143743041968249E-2</v>
      </c>
      <c r="G15" s="99">
        <v>0.25030071619407002</v>
      </c>
      <c r="H15" s="99">
        <v>0.25030071619407002</v>
      </c>
      <c r="I15" s="99">
        <v>6.1815607353210818E-3</v>
      </c>
      <c r="J15" s="99">
        <v>1.5360331918122661</v>
      </c>
      <c r="K15" s="49">
        <v>816.06484927787221</v>
      </c>
      <c r="L15" s="100">
        <v>72.455905934615544</v>
      </c>
      <c r="M15" s="49" t="s">
        <v>237</v>
      </c>
      <c r="N15" s="99">
        <v>1.052563554231412</v>
      </c>
      <c r="O15" s="99">
        <v>3.7389967289723186E-2</v>
      </c>
      <c r="P15" s="99">
        <v>9.2736877024794037E-3</v>
      </c>
      <c r="Q15" s="99">
        <v>0.22883176989865248</v>
      </c>
      <c r="R15" s="99">
        <v>0.22883176989865248</v>
      </c>
      <c r="S15" s="99">
        <v>5.651352122791292E-3</v>
      </c>
      <c r="T15" s="99">
        <v>1.4042836123287308</v>
      </c>
      <c r="U15" s="49">
        <v>746.06883532663528</v>
      </c>
      <c r="V15" s="100">
        <v>66.241173604045628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9.3218253173720553E-2</v>
      </c>
      <c r="E16" s="99">
        <v>1.4605599382205809</v>
      </c>
      <c r="F16" s="99">
        <v>3.7787488231380681</v>
      </c>
      <c r="G16" s="99">
        <v>5.9695910281495138E-2</v>
      </c>
      <c r="H16" s="99">
        <v>5.9695910281495138E-2</v>
      </c>
      <c r="I16" s="99">
        <v>3.2026855866022141E-3</v>
      </c>
      <c r="J16" s="99">
        <v>5.855173866776648E-2</v>
      </c>
      <c r="K16" s="49">
        <v>35093.641999581996</v>
      </c>
      <c r="L16" s="100">
        <v>261.48177608336761</v>
      </c>
      <c r="M16" s="49" t="s">
        <v>238</v>
      </c>
      <c r="N16" s="99">
        <v>8.6017065492828643E-2</v>
      </c>
      <c r="O16" s="99">
        <v>1.3477304667787866</v>
      </c>
      <c r="P16" s="99">
        <v>3.4868373299710003</v>
      </c>
      <c r="Q16" s="99">
        <v>5.5084351503220164E-2</v>
      </c>
      <c r="R16" s="99">
        <v>5.5084351503220164E-2</v>
      </c>
      <c r="S16" s="99">
        <v>2.9552754581477622E-3</v>
      </c>
      <c r="T16" s="99">
        <v>5.4028568099408453E-2</v>
      </c>
      <c r="U16" s="49">
        <v>32382.628932494579</v>
      </c>
      <c r="V16" s="100">
        <v>241.28209114397941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2.735396599030427E-2</v>
      </c>
      <c r="E17" s="99">
        <v>0.69056295627696629</v>
      </c>
      <c r="F17" s="99">
        <v>0.48812058918350548</v>
      </c>
      <c r="G17" s="99">
        <v>1.751716905225827E-2</v>
      </c>
      <c r="H17" s="99">
        <v>1.751716905225827E-2</v>
      </c>
      <c r="I17" s="99">
        <v>9.3979611965365614E-4</v>
      </c>
      <c r="J17" s="99">
        <v>1.7181423312089984E-2</v>
      </c>
      <c r="K17" s="49">
        <v>10626.996604928872</v>
      </c>
      <c r="L17" s="100">
        <v>79.181463888011848</v>
      </c>
      <c r="M17" s="49" t="s">
        <v>238</v>
      </c>
      <c r="N17" s="99">
        <v>2.6843054193997136E-2</v>
      </c>
      <c r="O17" s="99">
        <v>0.67766476226079753</v>
      </c>
      <c r="P17" s="99">
        <v>0.47900357239980973</v>
      </c>
      <c r="Q17" s="99">
        <v>1.7189986942363226E-2</v>
      </c>
      <c r="R17" s="99">
        <v>1.7189986942363226E-2</v>
      </c>
      <c r="S17" s="99">
        <v>9.2224279945778761E-4</v>
      </c>
      <c r="T17" s="99">
        <v>1.6860512192634597E-2</v>
      </c>
      <c r="U17" s="49">
        <v>10428.507730346717</v>
      </c>
      <c r="V17" s="100">
        <v>77.702528659255947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6.2211879090409044E-4</v>
      </c>
      <c r="E18" s="99">
        <v>1.5705663725488959E-2</v>
      </c>
      <c r="F18" s="99">
        <v>2.5218565773807489E-2</v>
      </c>
      <c r="G18" s="99">
        <v>3.490147494553104E-4</v>
      </c>
      <c r="H18" s="99">
        <v>3.490147494553104E-4</v>
      </c>
      <c r="I18" s="99">
        <v>2.1374042281931827E-5</v>
      </c>
      <c r="J18" s="99">
        <v>3.9076184786942766E-4</v>
      </c>
      <c r="K18" s="49">
        <v>239.06637800815113</v>
      </c>
      <c r="L18" s="100">
        <v>1.7450737472765514</v>
      </c>
      <c r="M18" s="49" t="s">
        <v>238</v>
      </c>
      <c r="N18" s="99">
        <v>5.8689520831774515E-4</v>
      </c>
      <c r="O18" s="99">
        <v>1.4816428821485851E-2</v>
      </c>
      <c r="P18" s="99">
        <v>2.379072233420973E-2</v>
      </c>
      <c r="Q18" s="99">
        <v>3.2925397381079676E-4</v>
      </c>
      <c r="R18" s="99">
        <v>3.2925397381079676E-4</v>
      </c>
      <c r="S18" s="99">
        <v>2.0163870921527231E-5</v>
      </c>
      <c r="T18" s="99">
        <v>3.6863740407948949E-4</v>
      </c>
      <c r="U18" s="49">
        <v>225.53074071105044</v>
      </c>
      <c r="V18" s="100">
        <v>1.6462698690539836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2.6725104044242505E-3</v>
      </c>
      <c r="E19" s="99">
        <v>4.1873361689212102E-2</v>
      </c>
      <c r="F19" s="99">
        <v>0.10833442165798229</v>
      </c>
      <c r="G19" s="99">
        <v>1.7114453006489966E-3</v>
      </c>
      <c r="H19" s="99">
        <v>1.7114453006489966E-3</v>
      </c>
      <c r="I19" s="99">
        <v>9.1819040379818666E-5</v>
      </c>
      <c r="J19" s="99">
        <v>1.6786425990532243E-3</v>
      </c>
      <c r="K19" s="49">
        <v>937.06535919503892</v>
      </c>
      <c r="L19" s="100">
        <v>7.4965228735603135</v>
      </c>
      <c r="M19" s="49" t="s">
        <v>238</v>
      </c>
      <c r="N19" s="99">
        <v>2.207213729928598E-3</v>
      </c>
      <c r="O19" s="99">
        <v>3.4583011795086445E-2</v>
      </c>
      <c r="P19" s="99">
        <v>8.9472887556030486E-2</v>
      </c>
      <c r="Q19" s="99">
        <v>1.4134745965294184E-3</v>
      </c>
      <c r="R19" s="99">
        <v>1.4134745965294184E-3</v>
      </c>
      <c r="S19" s="99">
        <v>7.5832912103803322E-5</v>
      </c>
      <c r="T19" s="99">
        <v>1.3863830000959379E-3</v>
      </c>
      <c r="U19" s="49">
        <v>773.91785761872302</v>
      </c>
      <c r="V19" s="100">
        <v>6.1913428609497831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6.6969683938961251E-4</v>
      </c>
      <c r="E20" s="99">
        <v>1.1445727800477028E-2</v>
      </c>
      <c r="F20" s="99">
        <v>7.3057837024321411E-5</v>
      </c>
      <c r="G20" s="99">
        <v>6.0311679724811404E-6</v>
      </c>
      <c r="H20" s="99">
        <v>6.0311679724811404E-6</v>
      </c>
      <c r="I20" s="99">
        <v>2.4352612341440459E-3</v>
      </c>
      <c r="J20" s="99">
        <v>4.8705224682880919E-3</v>
      </c>
      <c r="K20" s="49">
        <v>300.62303278688495</v>
      </c>
      <c r="L20" s="100">
        <v>296.18032786885226</v>
      </c>
      <c r="M20" s="49" t="s">
        <v>239</v>
      </c>
      <c r="N20" s="99">
        <v>6.6969683938961251E-4</v>
      </c>
      <c r="O20" s="99">
        <v>1.1445727800477028E-2</v>
      </c>
      <c r="P20" s="99">
        <v>7.3057837024321411E-5</v>
      </c>
      <c r="Q20" s="99">
        <v>6.0311679724811404E-6</v>
      </c>
      <c r="R20" s="99">
        <v>6.0311679724811404E-6</v>
      </c>
      <c r="S20" s="99">
        <v>2.4352612341440459E-3</v>
      </c>
      <c r="T20" s="99">
        <v>4.8705224682880919E-3</v>
      </c>
      <c r="U20" s="49">
        <v>300.62303278688495</v>
      </c>
      <c r="V20" s="100">
        <v>296.18032786885226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5.2612909836065591E-3</v>
      </c>
      <c r="E21" s="99">
        <v>9.5659836065573781E-2</v>
      </c>
      <c r="F21" s="99">
        <v>5.7395901639344278E-4</v>
      </c>
      <c r="G21" s="99">
        <v>7.2701475409836088E-3</v>
      </c>
      <c r="H21" s="99">
        <v>7.2701475409836088E-3</v>
      </c>
      <c r="I21" s="99">
        <v>1.9131967213114765E-2</v>
      </c>
      <c r="J21" s="99">
        <v>3.826393442622953E-2</v>
      </c>
      <c r="K21" s="49">
        <v>1941.8946721311484</v>
      </c>
      <c r="L21" s="100">
        <v>1913.1967213114763</v>
      </c>
      <c r="M21" s="49" t="s">
        <v>239</v>
      </c>
      <c r="N21" s="99">
        <v>5.2612909836065591E-3</v>
      </c>
      <c r="O21" s="99">
        <v>9.5659836065573781E-2</v>
      </c>
      <c r="P21" s="99">
        <v>5.7395901639344278E-4</v>
      </c>
      <c r="Q21" s="99">
        <v>7.2701475409836088E-3</v>
      </c>
      <c r="R21" s="99">
        <v>7.2701475409836088E-3</v>
      </c>
      <c r="S21" s="99">
        <v>1.9131967213114765E-2</v>
      </c>
      <c r="T21" s="99">
        <v>3.826393442622953E-2</v>
      </c>
      <c r="U21" s="49">
        <v>1941.8946721311484</v>
      </c>
      <c r="V21" s="100">
        <v>1913.1967213114763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0.14106816868829766</v>
      </c>
      <c r="E22" s="99">
        <v>6.6584175620876471E-2</v>
      </c>
      <c r="F22" s="99">
        <v>0.13119339688011677</v>
      </c>
      <c r="G22" s="99">
        <v>0.11271346678194979</v>
      </c>
      <c r="H22" s="99">
        <v>0.11271346678194979</v>
      </c>
      <c r="I22" s="99">
        <v>1.7858524815095041E-2</v>
      </c>
      <c r="J22" s="99">
        <v>1.8419976126474462</v>
      </c>
      <c r="K22" s="49">
        <v>428.84723281242458</v>
      </c>
      <c r="L22" s="100">
        <v>28.213633737659524</v>
      </c>
      <c r="M22" s="49" t="s">
        <v>237</v>
      </c>
      <c r="N22" s="99">
        <v>0.12350047308684055</v>
      </c>
      <c r="O22" s="99">
        <v>5.8292223296988736E-2</v>
      </c>
      <c r="P22" s="99">
        <v>0.1148554399707617</v>
      </c>
      <c r="Q22" s="99">
        <v>9.8676877996385581E-2</v>
      </c>
      <c r="R22" s="99">
        <v>9.8676877996385581E-2</v>
      </c>
      <c r="S22" s="99">
        <v>1.563454239042858E-2</v>
      </c>
      <c r="T22" s="99">
        <v>1.6126074273314204</v>
      </c>
      <c r="U22" s="49">
        <v>375.44143818399527</v>
      </c>
      <c r="V22" s="100">
        <v>24.700094617368116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3.7337768457277432E-4</v>
      </c>
      <c r="G23" s="99">
        <v>3.2078362362757698E-4</v>
      </c>
      <c r="H23" s="99">
        <v>3.2078362362757698E-4</v>
      </c>
      <c r="I23" s="99">
        <v>5.0825535460742337E-5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3.7940475162931143E-4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4.8030744532512681E-5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4.8776475754854209E-5</v>
      </c>
      <c r="F24" s="99">
        <v>1.0633485245822148E-5</v>
      </c>
      <c r="G24" s="99">
        <v>3.4500168382878608E-4</v>
      </c>
      <c r="H24" s="99">
        <v>3.4500168382878608E-4</v>
      </c>
      <c r="I24" s="99">
        <v>1.2632663031087651E-5</v>
      </c>
      <c r="J24" s="99">
        <v>2.4538740814386123E-3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2.969413117542813E-4</v>
      </c>
      <c r="R24" s="99">
        <v>2.969413117542813E-4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5.2382327984415976E-4</v>
      </c>
      <c r="E25" s="101">
        <v>2.734616428960358E-2</v>
      </c>
      <c r="F25" s="101">
        <v>1.9363248899601757E-2</v>
      </c>
      <c r="G25" s="101">
        <v>2.7260720241086733E-3</v>
      </c>
      <c r="H25" s="101">
        <v>2.7260720241086733E-3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5.2382327984415976E-4</v>
      </c>
      <c r="O25" s="101">
        <v>2.734616428960358E-2</v>
      </c>
      <c r="P25" s="101">
        <v>1.9363248899601757E-2</v>
      </c>
      <c r="Q25" s="101">
        <v>2.7260720241086733E-3</v>
      </c>
      <c r="R25" s="101">
        <v>2.7260720241086733E-3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11.147859536888976</v>
      </c>
      <c r="E26" s="103">
        <v>2.9250449968592056</v>
      </c>
      <c r="F26" s="103">
        <v>4.657286386792606</v>
      </c>
      <c r="G26" s="103">
        <v>3.1775086337598926</v>
      </c>
      <c r="H26" s="103">
        <v>3.1775086337598926</v>
      </c>
      <c r="I26" s="103">
        <v>0.15609281723882173</v>
      </c>
      <c r="J26" s="103">
        <v>33.797100523626817</v>
      </c>
      <c r="K26" s="93">
        <v>58340.69712605446</v>
      </c>
      <c r="L26" s="93"/>
      <c r="M26" s="93"/>
      <c r="N26" s="103">
        <v>10.029910853908135</v>
      </c>
      <c r="O26" s="103">
        <v>2.7203982464004675</v>
      </c>
      <c r="P26" s="103">
        <v>4.3067677420752819</v>
      </c>
      <c r="Q26" s="103">
        <v>2.8221934631051755</v>
      </c>
      <c r="R26" s="103">
        <v>2.8221934631051755</v>
      </c>
      <c r="S26" s="103">
        <v>0.14135358324828684</v>
      </c>
      <c r="T26" s="103">
        <v>29.773040768244385</v>
      </c>
      <c r="U26" s="93">
        <v>54148.226516439332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3.3660795420689977</v>
      </c>
      <c r="E28" s="99">
        <v>3.821749698418949E-2</v>
      </c>
      <c r="F28" s="99">
        <v>5.8796149206445381E-3</v>
      </c>
      <c r="G28" s="99">
        <v>0.50858669063575246</v>
      </c>
      <c r="H28" s="99">
        <v>0.50858669063575246</v>
      </c>
      <c r="I28" s="99">
        <v>2.6458267142900425E-2</v>
      </c>
      <c r="J28" s="99">
        <v>3.7129768223870241</v>
      </c>
      <c r="K28" s="49">
        <v>470.30359134634335</v>
      </c>
      <c r="L28" s="100">
        <v>41.997596336916004</v>
      </c>
      <c r="M28" s="49" t="s">
        <v>237</v>
      </c>
      <c r="N28" s="99">
        <v>3.1129412754515973</v>
      </c>
      <c r="O28" s="99">
        <v>3.5343438061895868E-2</v>
      </c>
      <c r="P28" s="99">
        <v>5.4374520095224425E-3</v>
      </c>
      <c r="Q28" s="99">
        <v>0.4703395988236912</v>
      </c>
      <c r="R28" s="99">
        <v>0.4703395988236912</v>
      </c>
      <c r="S28" s="99">
        <v>2.446853404285099E-2</v>
      </c>
      <c r="T28" s="99">
        <v>3.433750944013422</v>
      </c>
      <c r="U28" s="49">
        <v>434.9354919269889</v>
      </c>
      <c r="V28" s="100">
        <v>38.839263740803432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7.9374286276623324E-2</v>
      </c>
      <c r="E29" s="99">
        <v>4.1933585202744402E-3</v>
      </c>
      <c r="F29" s="99">
        <v>5.9905121718206299E-4</v>
      </c>
      <c r="G29" s="99">
        <v>4.5827418114427823E-2</v>
      </c>
      <c r="H29" s="99">
        <v>4.5827418114427823E-2</v>
      </c>
      <c r="I29" s="99">
        <v>2.545967673023767E-3</v>
      </c>
      <c r="J29" s="99">
        <v>0.34565255231405029</v>
      </c>
      <c r="K29" s="49">
        <v>47.917413409488702</v>
      </c>
      <c r="L29" s="100">
        <v>4.2789726102662042</v>
      </c>
      <c r="M29" s="49" t="s">
        <v>237</v>
      </c>
      <c r="N29" s="99">
        <v>6.9259890185343051E-2</v>
      </c>
      <c r="O29" s="99">
        <v>3.659013066395482E-3</v>
      </c>
      <c r="P29" s="99">
        <v>5.2271615234221187E-4</v>
      </c>
      <c r="Q29" s="99">
        <v>3.9987785654179202E-2</v>
      </c>
      <c r="R29" s="99">
        <v>3.9987785654179202E-2</v>
      </c>
      <c r="S29" s="99">
        <v>2.2215436474543994E-3</v>
      </c>
      <c r="T29" s="99">
        <v>0.30160721990145617</v>
      </c>
      <c r="U29" s="49">
        <v>41.811459937300704</v>
      </c>
      <c r="V29" s="100">
        <v>3.7337176432717096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3.7837566045969745E-2</v>
      </c>
      <c r="E30" s="99">
        <v>6.3062610076616262E-3</v>
      </c>
      <c r="F30" s="99">
        <v>1.2612522015323249E-3</v>
      </c>
      <c r="G30" s="99">
        <v>3.7837566045969745E-2</v>
      </c>
      <c r="H30" s="99">
        <v>3.7837566045969745E-2</v>
      </c>
      <c r="I30" s="99">
        <v>2.8378174534477302E-3</v>
      </c>
      <c r="J30" s="99">
        <v>0.44396077493937841</v>
      </c>
      <c r="K30" s="49">
        <v>100.88610359351722</v>
      </c>
      <c r="L30" s="100">
        <v>9.0090187119251972</v>
      </c>
      <c r="M30" s="49" t="s">
        <v>237</v>
      </c>
      <c r="N30" s="99">
        <v>3.3016053336108367E-2</v>
      </c>
      <c r="O30" s="99">
        <v>5.5026755560180617E-3</v>
      </c>
      <c r="P30" s="99">
        <v>1.1005351112036124E-3</v>
      </c>
      <c r="Q30" s="99">
        <v>3.3016053336108367E-2</v>
      </c>
      <c r="R30" s="99">
        <v>3.3016053336108367E-2</v>
      </c>
      <c r="S30" s="99">
        <v>2.4762040002081266E-3</v>
      </c>
      <c r="T30" s="99">
        <v>0.38738835914367148</v>
      </c>
      <c r="U30" s="49">
        <v>88.030529581870482</v>
      </c>
      <c r="V30" s="100">
        <v>7.8610300128066104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2.8476231438519711E-2</v>
      </c>
      <c r="E31" s="99">
        <v>3.796830858469295E-3</v>
      </c>
      <c r="F31" s="99">
        <v>7.5936617169385871E-4</v>
      </c>
      <c r="G31" s="99">
        <v>2.4679400580050411E-2</v>
      </c>
      <c r="H31" s="99">
        <v>2.4679400580050411E-2</v>
      </c>
      <c r="I31" s="99">
        <v>1.708573886311183E-3</v>
      </c>
      <c r="J31" s="99">
        <v>0.20313045092810725</v>
      </c>
      <c r="K31" s="49">
        <v>60.740821042646786</v>
      </c>
      <c r="L31" s="100">
        <v>5.4240888869660697</v>
      </c>
      <c r="M31" s="49" t="s">
        <v>237</v>
      </c>
      <c r="N31" s="99">
        <v>2.4847601847415197E-2</v>
      </c>
      <c r="O31" s="99">
        <v>3.3130135796553594E-3</v>
      </c>
      <c r="P31" s="99">
        <v>6.626027159310719E-4</v>
      </c>
      <c r="Q31" s="99">
        <v>2.1534588267759832E-2</v>
      </c>
      <c r="R31" s="99">
        <v>2.1534588267759832E-2</v>
      </c>
      <c r="S31" s="99">
        <v>1.4908561108449121E-3</v>
      </c>
      <c r="T31" s="99">
        <v>0.17724622651156174</v>
      </c>
      <c r="U31" s="49">
        <v>53.00082422813891</v>
      </c>
      <c r="V31" s="100">
        <v>4.7329156366530958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1.610839281499062</v>
      </c>
      <c r="E32" s="99">
        <v>4.4135252755244436E-2</v>
      </c>
      <c r="F32" s="99">
        <v>1.2157277596219332E-2</v>
      </c>
      <c r="G32" s="99">
        <v>0.3690350545485786</v>
      </c>
      <c r="H32" s="99">
        <v>0.3690350545485786</v>
      </c>
      <c r="I32" s="99">
        <v>1.206696559508701E-2</v>
      </c>
      <c r="J32" s="99">
        <v>3.6827628191069657</v>
      </c>
      <c r="K32" s="49">
        <v>972.44656183531356</v>
      </c>
      <c r="L32" s="100">
        <v>86.838414408588775</v>
      </c>
      <c r="M32" s="49" t="s">
        <v>237</v>
      </c>
      <c r="N32" s="99">
        <v>1.4055754952434716</v>
      </c>
      <c r="O32" s="99">
        <v>3.8511247187502005E-2</v>
      </c>
      <c r="P32" s="99">
        <v>1.060811694523375E-2</v>
      </c>
      <c r="Q32" s="99">
        <v>0.32201016918125236</v>
      </c>
      <c r="R32" s="99">
        <v>0.32201016918125236</v>
      </c>
      <c r="S32" s="99">
        <v>1.0529313096099982E-2</v>
      </c>
      <c r="T32" s="99">
        <v>3.2134808436713258</v>
      </c>
      <c r="U32" s="49">
        <v>848.53099464862953</v>
      </c>
      <c r="V32" s="100">
        <v>75.77288978508254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0.76788391508490061</v>
      </c>
      <c r="E33" s="99">
        <v>0.10295017321815488</v>
      </c>
      <c r="F33" s="99">
        <v>2.5596130502830015E-2</v>
      </c>
      <c r="G33" s="99">
        <v>0.50713135107084661</v>
      </c>
      <c r="H33" s="99">
        <v>0.50713135107084661</v>
      </c>
      <c r="I33" s="99">
        <v>1.5981055190708894E-2</v>
      </c>
      <c r="J33" s="99">
        <v>7.9118246327446</v>
      </c>
      <c r="K33" s="49">
        <v>2047.4048492160455</v>
      </c>
      <c r="L33" s="100">
        <v>182.83101379146723</v>
      </c>
      <c r="M33" s="49" t="s">
        <v>237</v>
      </c>
      <c r="N33" s="99">
        <v>0.67003507217090641</v>
      </c>
      <c r="O33" s="99">
        <v>8.9831581814820247E-2</v>
      </c>
      <c r="P33" s="99">
        <v>2.2334502405696881E-2</v>
      </c>
      <c r="Q33" s="99">
        <v>0.44250932301051621</v>
      </c>
      <c r="R33" s="99">
        <v>0.44250932301051621</v>
      </c>
      <c r="S33" s="99">
        <v>1.3944643529731921E-2</v>
      </c>
      <c r="T33" s="99">
        <v>6.9036476538494238</v>
      </c>
      <c r="U33" s="49">
        <v>1786.5109933392223</v>
      </c>
      <c r="V33" s="100">
        <v>159.53347780087472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0.57790292476287153</v>
      </c>
      <c r="E34" s="99">
        <v>6.1983542083741031E-2</v>
      </c>
      <c r="F34" s="99">
        <v>1.5410744660343242E-2</v>
      </c>
      <c r="G34" s="99">
        <v>0.33879104881879374</v>
      </c>
      <c r="H34" s="99">
        <v>0.33879104881879374</v>
      </c>
      <c r="I34" s="99">
        <v>9.6217653258033661E-3</v>
      </c>
      <c r="J34" s="99">
        <v>4.7634977169365591</v>
      </c>
      <c r="K34" s="49">
        <v>1232.6876261288205</v>
      </c>
      <c r="L34" s="100">
        <v>110.0776568247483</v>
      </c>
      <c r="M34" s="49" t="s">
        <v>237</v>
      </c>
      <c r="N34" s="99">
        <v>0.50426271509861798</v>
      </c>
      <c r="O34" s="99">
        <v>5.4085189541828067E-2</v>
      </c>
      <c r="P34" s="99">
        <v>1.3447005735963143E-2</v>
      </c>
      <c r="Q34" s="99">
        <v>0.29562005452485512</v>
      </c>
      <c r="R34" s="99">
        <v>0.29562005452485512</v>
      </c>
      <c r="S34" s="99">
        <v>8.3956964038937893E-3</v>
      </c>
      <c r="T34" s="99">
        <v>4.1565013589334612</v>
      </c>
      <c r="U34" s="49">
        <v>1075.6104227630394</v>
      </c>
      <c r="V34" s="100">
        <v>96.050834359279108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9.6833038409893588E-3</v>
      </c>
      <c r="E35" s="99">
        <v>1.6910064966541013E-2</v>
      </c>
      <c r="F35" s="99">
        <v>1.3514537435797014E-3</v>
      </c>
      <c r="G35" s="99">
        <v>1.2500947128112238E-2</v>
      </c>
      <c r="H35" s="99">
        <v>1.2500947128112238E-2</v>
      </c>
      <c r="I35" s="99">
        <v>3.0357029715159047E-4</v>
      </c>
      <c r="J35" s="99">
        <v>4.194574556635499E-2</v>
      </c>
      <c r="K35" s="49">
        <v>129.0927108317014</v>
      </c>
      <c r="L35" s="100">
        <v>11.52783788877222</v>
      </c>
      <c r="M35" s="49" t="s">
        <v>237</v>
      </c>
      <c r="N35" s="99">
        <v>8.4493932748060784E-3</v>
      </c>
      <c r="O35" s="99">
        <v>1.4755272740695829E-2</v>
      </c>
      <c r="P35" s="99">
        <v>1.1792425766789874E-3</v>
      </c>
      <c r="Q35" s="99">
        <v>1.0907993834280634E-2</v>
      </c>
      <c r="R35" s="99">
        <v>1.0907993834280634E-2</v>
      </c>
      <c r="S35" s="99">
        <v>2.6488736378651751E-4</v>
      </c>
      <c r="T35" s="99">
        <v>3.6600741473674078E-2</v>
      </c>
      <c r="U35" s="49">
        <v>112.64286452633088</v>
      </c>
      <c r="V35" s="100">
        <v>10.058884604874159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3.2662084799150351E-2</v>
      </c>
      <c r="E36" s="99">
        <v>5.7038174673229386E-2</v>
      </c>
      <c r="F36" s="99">
        <v>4.558495478379972E-3</v>
      </c>
      <c r="G36" s="99">
        <v>4.2166083175014732E-2</v>
      </c>
      <c r="H36" s="99">
        <v>4.2166083175014732E-2</v>
      </c>
      <c r="I36" s="99">
        <v>1.0239520468311013E-3</v>
      </c>
      <c r="J36" s="99">
        <v>0.14148430341021839</v>
      </c>
      <c r="K36" s="49">
        <v>435.43372565560514</v>
      </c>
      <c r="L36" s="100">
        <v>38.883755467851429</v>
      </c>
      <c r="M36" s="49" t="s">
        <v>237</v>
      </c>
      <c r="N36" s="99">
        <v>2.8500066111205494E-2</v>
      </c>
      <c r="O36" s="99">
        <v>4.9769993527535368E-2</v>
      </c>
      <c r="P36" s="99">
        <v>3.977621860342488E-3</v>
      </c>
      <c r="Q36" s="99">
        <v>3.6793002208168009E-2</v>
      </c>
      <c r="R36" s="99">
        <v>3.6793002208168009E-2</v>
      </c>
      <c r="S36" s="99">
        <v>8.93473310379432E-4</v>
      </c>
      <c r="T36" s="99">
        <v>0.12345543849038</v>
      </c>
      <c r="U36" s="49">
        <v>379.94788282945393</v>
      </c>
      <c r="V36" s="100">
        <v>33.928930388256823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1.0647956955624978</v>
      </c>
      <c r="E37" s="99">
        <v>3.7824486765923884E-2</v>
      </c>
      <c r="F37" s="99">
        <v>9.3814598727973431E-3</v>
      </c>
      <c r="G37" s="99">
        <v>0.23149108917603975</v>
      </c>
      <c r="H37" s="99">
        <v>0.23149108917603975</v>
      </c>
      <c r="I37" s="99">
        <v>5.7170280979851988E-3</v>
      </c>
      <c r="J37" s="99">
        <v>1.4206031927910012</v>
      </c>
      <c r="K37" s="49">
        <v>750.41211538468042</v>
      </c>
      <c r="L37" s="100">
        <v>67.010981179278815</v>
      </c>
      <c r="M37" s="49" t="s">
        <v>237</v>
      </c>
      <c r="N37" s="99">
        <v>0.97368228332822571</v>
      </c>
      <c r="O37" s="99">
        <v>3.4587886477609589E-2</v>
      </c>
      <c r="P37" s="99">
        <v>8.5786985315262198E-3</v>
      </c>
      <c r="Q37" s="99">
        <v>0.21168264787170579</v>
      </c>
      <c r="R37" s="99">
        <v>0.21168264787170579</v>
      </c>
      <c r="S37" s="99">
        <v>5.2278282073231043E-3</v>
      </c>
      <c r="T37" s="99">
        <v>1.2990437191140225</v>
      </c>
      <c r="U37" s="49">
        <v>686.20016496116045</v>
      </c>
      <c r="V37" s="100">
        <v>61.276924234969599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7.0586428567898624E-2</v>
      </c>
      <c r="E38" s="99">
        <v>1.1059605413996911</v>
      </c>
      <c r="F38" s="99">
        <v>2.8613321404274119</v>
      </c>
      <c r="G38" s="99">
        <v>4.5202746923693103E-2</v>
      </c>
      <c r="H38" s="99">
        <v>4.5202746923693103E-2</v>
      </c>
      <c r="I38" s="99">
        <v>2.4251273724561358E-3</v>
      </c>
      <c r="J38" s="99">
        <v>4.4336360940989E-2</v>
      </c>
      <c r="K38" s="49">
        <v>26573.495746316326</v>
      </c>
      <c r="L38" s="100">
        <v>197.998397104905</v>
      </c>
      <c r="M38" s="49" t="s">
        <v>238</v>
      </c>
      <c r="N38" s="99">
        <v>6.525862966833873E-2</v>
      </c>
      <c r="O38" s="99">
        <v>1.0224836539161719</v>
      </c>
      <c r="P38" s="99">
        <v>2.6453614143496593</v>
      </c>
      <c r="Q38" s="99">
        <v>4.1790885037445727E-2</v>
      </c>
      <c r="R38" s="99">
        <v>4.1790885037445727E-2</v>
      </c>
      <c r="S38" s="99">
        <v>2.2420809822589634E-3</v>
      </c>
      <c r="T38" s="99">
        <v>4.0989893074228033E-2</v>
      </c>
      <c r="U38" s="49">
        <v>24567.752655652708</v>
      </c>
      <c r="V38" s="100">
        <v>183.05365965873418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1.9439756729064551E-2</v>
      </c>
      <c r="E39" s="99">
        <v>0.49076524701705754</v>
      </c>
      <c r="F39" s="99">
        <v>0.34689468838041265</v>
      </c>
      <c r="G39" s="99">
        <v>1.2448999354554336E-2</v>
      </c>
      <c r="H39" s="99">
        <v>1.2448999354554336E-2</v>
      </c>
      <c r="I39" s="99">
        <v>6.6788881537184009E-4</v>
      </c>
      <c r="J39" s="99">
        <v>1.2210393533592042E-2</v>
      </c>
      <c r="K39" s="49">
        <v>7552.3318568736067</v>
      </c>
      <c r="L39" s="100">
        <v>56.272220122660123</v>
      </c>
      <c r="M39" s="49" t="s">
        <v>238</v>
      </c>
      <c r="N39" s="99">
        <v>1.9076664918767632E-2</v>
      </c>
      <c r="O39" s="99">
        <v>0.4815988338538813</v>
      </c>
      <c r="P39" s="99">
        <v>0.34041546016053914</v>
      </c>
      <c r="Q39" s="99">
        <v>1.2216479484319935E-2</v>
      </c>
      <c r="R39" s="99">
        <v>1.2216479484319935E-2</v>
      </c>
      <c r="S39" s="99">
        <v>6.5541412433376442E-4</v>
      </c>
      <c r="T39" s="99">
        <v>1.19823302942038E-2</v>
      </c>
      <c r="U39" s="49">
        <v>7411.2709431958392</v>
      </c>
      <c r="V39" s="100">
        <v>55.22117907525773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4.6772408192617611E-4</v>
      </c>
      <c r="E40" s="99">
        <v>1.1807901086495333E-2</v>
      </c>
      <c r="F40" s="99">
        <v>1.8959932888231053E-2</v>
      </c>
      <c r="G40" s="99">
        <v>2.6239780192211854E-4</v>
      </c>
      <c r="H40" s="99">
        <v>2.6239780192211854E-4</v>
      </c>
      <c r="I40" s="99">
        <v>1.6069526350167832E-5</v>
      </c>
      <c r="J40" s="99">
        <v>2.9378428881869423E-4</v>
      </c>
      <c r="K40" s="49">
        <v>179.73593437160318</v>
      </c>
      <c r="L40" s="100">
        <v>1.3119890096105928</v>
      </c>
      <c r="M40" s="49" t="s">
        <v>238</v>
      </c>
      <c r="N40" s="99">
        <v>4.4223736536456825E-4</v>
      </c>
      <c r="O40" s="99">
        <v>1.1164477666987695E-2</v>
      </c>
      <c r="P40" s="99">
        <v>1.7926788660207905E-2</v>
      </c>
      <c r="Q40" s="99">
        <v>2.4809950371083779E-4</v>
      </c>
      <c r="R40" s="99">
        <v>2.4809950371083779E-4</v>
      </c>
      <c r="S40" s="99">
        <v>1.5193883039950889E-5</v>
      </c>
      <c r="T40" s="99">
        <v>2.7777571199164643E-4</v>
      </c>
      <c r="U40" s="49">
        <v>169.94195755433108</v>
      </c>
      <c r="V40" s="100">
        <v>1.2404975185541891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1.500171324431638E-3</v>
      </c>
      <c r="E41" s="99">
        <v>2.3504947393177048E-2</v>
      </c>
      <c r="F41" s="99">
        <v>6.0811809207980683E-2</v>
      </c>
      <c r="G41" s="99">
        <v>9.6069267274565624E-4</v>
      </c>
      <c r="H41" s="99">
        <v>9.6069267274565624E-4</v>
      </c>
      <c r="I41" s="99">
        <v>5.1541161892804474E-5</v>
      </c>
      <c r="J41" s="99">
        <v>9.4227939651803094E-4</v>
      </c>
      <c r="K41" s="49">
        <v>526.00677574741894</v>
      </c>
      <c r="L41" s="100">
        <v>4.2080542059793506</v>
      </c>
      <c r="M41" s="49" t="s">
        <v>238</v>
      </c>
      <c r="N41" s="99">
        <v>1.251796593499427E-3</v>
      </c>
      <c r="O41" s="99">
        <v>1.9613368551961725E-2</v>
      </c>
      <c r="P41" s="99">
        <v>5.0743548001044476E-2</v>
      </c>
      <c r="Q41" s="99">
        <v>8.0163631683767295E-4</v>
      </c>
      <c r="R41" s="99">
        <v>8.0163631683767295E-4</v>
      </c>
      <c r="S41" s="99">
        <v>4.3007788398341163E-5</v>
      </c>
      <c r="T41" s="99">
        <v>7.862716207649509E-4</v>
      </c>
      <c r="U41" s="49">
        <v>438.918861675816</v>
      </c>
      <c r="V41" s="100">
        <v>3.5113508934065281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6.2640334377998829E-4</v>
      </c>
      <c r="E42" s="99">
        <v>1.0705802602785261E-2</v>
      </c>
      <c r="F42" s="99">
        <v>6.8334910230544177E-5</v>
      </c>
      <c r="G42" s="99">
        <v>5.6412746225655225E-6</v>
      </c>
      <c r="H42" s="99">
        <v>5.6412746225655225E-6</v>
      </c>
      <c r="I42" s="99">
        <v>2.2778303410181393E-3</v>
      </c>
      <c r="J42" s="99">
        <v>4.5556606820362786E-3</v>
      </c>
      <c r="K42" s="49">
        <v>281.18883333333304</v>
      </c>
      <c r="L42" s="100">
        <v>277.03333333333325</v>
      </c>
      <c r="M42" s="49" t="s">
        <v>239</v>
      </c>
      <c r="N42" s="99">
        <v>6.2640334377998829E-4</v>
      </c>
      <c r="O42" s="99">
        <v>1.0705802602785261E-2</v>
      </c>
      <c r="P42" s="99">
        <v>6.8334910230544177E-5</v>
      </c>
      <c r="Q42" s="99">
        <v>5.6412746225655225E-6</v>
      </c>
      <c r="R42" s="99">
        <v>5.6412746225655225E-6</v>
      </c>
      <c r="S42" s="99">
        <v>2.2778303410181393E-3</v>
      </c>
      <c r="T42" s="99">
        <v>4.5556606820362786E-3</v>
      </c>
      <c r="U42" s="49">
        <v>281.18883333333304</v>
      </c>
      <c r="V42" s="100">
        <v>277.03333333333325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9.7086916666666682E-3</v>
      </c>
      <c r="E43" s="99">
        <v>0.17652166666666677</v>
      </c>
      <c r="F43" s="99">
        <v>1.0591300000000004E-3</v>
      </c>
      <c r="G43" s="99">
        <v>1.3415646666666668E-2</v>
      </c>
      <c r="H43" s="99">
        <v>1.3415646666666668E-2</v>
      </c>
      <c r="I43" s="99">
        <v>3.5304333333333375E-2</v>
      </c>
      <c r="J43" s="99">
        <v>7.060866666666675E-2</v>
      </c>
      <c r="K43" s="49">
        <v>3583.389833333335</v>
      </c>
      <c r="L43" s="100">
        <v>3530.4333333333361</v>
      </c>
      <c r="M43" s="49" t="s">
        <v>239</v>
      </c>
      <c r="N43" s="99">
        <v>9.7086916666666682E-3</v>
      </c>
      <c r="O43" s="99">
        <v>0.17652166666666677</v>
      </c>
      <c r="P43" s="99">
        <v>1.0591300000000004E-3</v>
      </c>
      <c r="Q43" s="99">
        <v>1.3415646666666668E-2</v>
      </c>
      <c r="R43" s="99">
        <v>1.3415646666666668E-2</v>
      </c>
      <c r="S43" s="99">
        <v>3.5304333333333375E-2</v>
      </c>
      <c r="T43" s="99">
        <v>7.060866666666675E-2</v>
      </c>
      <c r="U43" s="49">
        <v>3583.389833333335</v>
      </c>
      <c r="V43" s="100">
        <v>3530.4333333333361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0.10474003881992376</v>
      </c>
      <c r="E44" s="99">
        <v>4.9437298323004031E-2</v>
      </c>
      <c r="F44" s="99">
        <v>9.7408236102529119E-2</v>
      </c>
      <c r="G44" s="99">
        <v>8.3687291017119109E-2</v>
      </c>
      <c r="H44" s="99">
        <v>8.3687291017119109E-2</v>
      </c>
      <c r="I44" s="99">
        <v>1.3259565214408253E-2</v>
      </c>
      <c r="J44" s="99">
        <v>1.3676430568911551</v>
      </c>
      <c r="K44" s="49">
        <v>318.40971801256819</v>
      </c>
      <c r="L44" s="100">
        <v>20.948007763984755</v>
      </c>
      <c r="M44" s="49" t="s">
        <v>237</v>
      </c>
      <c r="N44" s="99">
        <v>9.2024255066681979E-2</v>
      </c>
      <c r="O44" s="99">
        <v>4.3435448391473896E-2</v>
      </c>
      <c r="P44" s="99">
        <v>8.5582557212014243E-2</v>
      </c>
      <c r="Q44" s="99">
        <v>7.3527379798278891E-2</v>
      </c>
      <c r="R44" s="99">
        <v>7.3527379798278891E-2</v>
      </c>
      <c r="S44" s="99">
        <v>1.164981057016661E-2</v>
      </c>
      <c r="T44" s="99">
        <v>1.2016067105332002</v>
      </c>
      <c r="U44" s="49">
        <v>279.75373540271323</v>
      </c>
      <c r="V44" s="100">
        <v>18.404851013336394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1.346721927659249E-4</v>
      </c>
      <c r="F45" s="99">
        <v>2.6534987133964015E-4</v>
      </c>
      <c r="G45" s="99">
        <v>2.2797263139825001E-4</v>
      </c>
      <c r="H45" s="99">
        <v>2.2797263139825001E-4</v>
      </c>
      <c r="I45" s="99">
        <v>3.6120394583055649E-5</v>
      </c>
      <c r="J45" s="99">
        <v>3.725597790341238E-3</v>
      </c>
      <c r="K45" s="49">
        <v>13.116826184181894</v>
      </c>
      <c r="L45" s="100">
        <v>0.86738022459409281</v>
      </c>
      <c r="M45" s="49" t="s">
        <v>237</v>
      </c>
      <c r="N45" s="99">
        <v>2.6963315214105564E-4</v>
      </c>
      <c r="O45" s="99">
        <v>1.2726684781057826E-4</v>
      </c>
      <c r="P45" s="99">
        <v>2.5075883149118169E-4</v>
      </c>
      <c r="Q45" s="99">
        <v>2.1543688856070345E-4</v>
      </c>
      <c r="R45" s="99">
        <v>2.1543688856070345E-4</v>
      </c>
      <c r="S45" s="99">
        <v>3.4134208895296937E-5</v>
      </c>
      <c r="T45" s="99">
        <v>3.5207348840818335E-3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8.7184102008962044E-4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1.7439048949549685E-3</v>
      </c>
      <c r="K46" s="49">
        <v>7.9159459338867979</v>
      </c>
      <c r="L46" s="100">
        <v>0.65367558388256952</v>
      </c>
      <c r="M46" s="49" t="s">
        <v>237</v>
      </c>
      <c r="N46" s="99">
        <v>7.1473614547591419E-4</v>
      </c>
      <c r="O46" s="99">
        <v>2.9083381335906241E-5</v>
      </c>
      <c r="P46" s="99">
        <v>6.1727592489711021E-6</v>
      </c>
      <c r="Q46" s="99">
        <v>2.1102851649953139E-4</v>
      </c>
      <c r="R46" s="99">
        <v>2.1102851649953139E-4</v>
      </c>
      <c r="S46" s="99">
        <v>8.1341904248124664E-6</v>
      </c>
      <c r="T46" s="99">
        <v>1.5343025389261339E-3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1.9434212261993551E-2</v>
      </c>
      <c r="F47" s="101">
        <v>1.3760960594379904E-2</v>
      </c>
      <c r="G47" s="101">
        <v>1.937348938481727E-3</v>
      </c>
      <c r="H47" s="101">
        <v>1.937348938481727E-3</v>
      </c>
      <c r="I47" s="101">
        <v>1.3544093175893139E-5</v>
      </c>
      <c r="J47" s="101">
        <v>4.6265049277175556E-3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1.9434212261993551E-2</v>
      </c>
      <c r="P47" s="101">
        <v>1.3760960594379904E-2</v>
      </c>
      <c r="Q47" s="101">
        <v>1.937348938481727E-3</v>
      </c>
      <c r="R47" s="101">
        <v>1.937348938481727E-3</v>
      </c>
      <c r="S47" s="101">
        <v>1.3544093175893139E-5</v>
      </c>
      <c r="T47" s="101">
        <v>4.6265049277175556E-3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7.7841334770436434</v>
      </c>
      <c r="E48" s="103">
        <v>2.2616625949578699</v>
      </c>
      <c r="F48" s="103">
        <v>3.477522985690884</v>
      </c>
      <c r="G48" s="103">
        <v>2.2764405703557129</v>
      </c>
      <c r="H48" s="103">
        <v>2.2764405703557129</v>
      </c>
      <c r="I48" s="103">
        <v>0.13232596066899402</v>
      </c>
      <c r="J48" s="103">
        <v>24.17852522113705</v>
      </c>
      <c r="K48" s="93">
        <v>45386.035132580633</v>
      </c>
      <c r="L48" s="93"/>
      <c r="M48" s="93"/>
      <c r="N48" s="103">
        <v>7.0203151616363915</v>
      </c>
      <c r="O48" s="103">
        <v>2.1144731256950249</v>
      </c>
      <c r="P48" s="103">
        <v>3.2230236195232562</v>
      </c>
      <c r="Q48" s="103">
        <v>2.0287707991379409</v>
      </c>
      <c r="R48" s="103">
        <v>2.0287707991379409</v>
      </c>
      <c r="S48" s="103">
        <v>0.12215646322761831</v>
      </c>
      <c r="T48" s="103">
        <v>21.373211356036212</v>
      </c>
      <c r="U48" s="93">
        <v>42361.414452879413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4.4435148355321807</v>
      </c>
      <c r="E50" s="99">
        <v>5.0450386778967994E-2</v>
      </c>
      <c r="F50" s="99">
        <v>7.7615979659950768E-3</v>
      </c>
      <c r="G50" s="99">
        <v>0.67137822405857428</v>
      </c>
      <c r="H50" s="99">
        <v>0.67137822405857428</v>
      </c>
      <c r="I50" s="99">
        <v>3.4927190846977846E-2</v>
      </c>
      <c r="J50" s="99">
        <v>4.9014491155258924</v>
      </c>
      <c r="K50" s="49">
        <v>623.18140686647723</v>
      </c>
      <c r="L50" s="100">
        <v>55.440443414201702</v>
      </c>
      <c r="M50" s="49" t="s">
        <v>237</v>
      </c>
      <c r="N50" s="99">
        <v>4.0995447960714637</v>
      </c>
      <c r="O50" s="99">
        <v>4.6545050086400912E-2</v>
      </c>
      <c r="P50" s="99">
        <v>7.1607769363693716E-3</v>
      </c>
      <c r="Q50" s="99">
        <v>0.61940720499595081</v>
      </c>
      <c r="R50" s="99">
        <v>0.61940720499595081</v>
      </c>
      <c r="S50" s="99">
        <v>3.2223496213662162E-2</v>
      </c>
      <c r="T50" s="99">
        <v>4.5220306353172584</v>
      </c>
      <c r="U50" s="49">
        <v>574.93854120143794</v>
      </c>
      <c r="V50" s="100">
        <v>51.148829182060041</v>
      </c>
      <c r="W50" t="s">
        <v>237</v>
      </c>
      <c r="Y50" s="14">
        <f>N50/$U50*2000</f>
        <v>14.260810512040901</v>
      </c>
      <c r="Z50" s="6">
        <f t="shared" ref="Z50:AE65" si="0">O50/$U50*2000</f>
        <v>0.16191313245111946</v>
      </c>
      <c r="AA50" s="249">
        <f t="shared" si="0"/>
        <v>2.4909712684787609E-2</v>
      </c>
      <c r="AB50" s="6">
        <f t="shared" si="0"/>
        <v>2.1546901472341289</v>
      </c>
      <c r="AC50" s="250">
        <f t="shared" si="0"/>
        <v>2.1546901472341289</v>
      </c>
      <c r="AD50" s="6">
        <f t="shared" si="0"/>
        <v>0.1120937070815442</v>
      </c>
      <c r="AE50" s="14">
        <f t="shared" si="0"/>
        <v>15.730483560443375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9.6201168072400728E-2</v>
      </c>
      <c r="E51" s="99">
        <v>5.08232586042872E-3</v>
      </c>
      <c r="F51" s="99">
        <v>7.2604655148981686E-4</v>
      </c>
      <c r="G51" s="99">
        <v>5.5542561188971003E-2</v>
      </c>
      <c r="H51" s="99">
        <v>5.5542561188971003E-2</v>
      </c>
      <c r="I51" s="99">
        <v>3.085697843831722E-3</v>
      </c>
      <c r="J51" s="99">
        <v>0.41892886020962433</v>
      </c>
      <c r="K51" s="49">
        <v>58.284188313021787</v>
      </c>
      <c r="L51" s="100">
        <v>5.1860896339001403</v>
      </c>
      <c r="M51" s="49" t="s">
        <v>237</v>
      </c>
      <c r="N51" s="99">
        <v>8.3729976335012404E-2</v>
      </c>
      <c r="O51" s="99">
        <v>4.4234704478874481E-3</v>
      </c>
      <c r="P51" s="99">
        <v>6.3192434969820688E-4</v>
      </c>
      <c r="Q51" s="99">
        <v>4.8342212751912826E-2</v>
      </c>
      <c r="R51" s="99">
        <v>4.8342212751912826E-2</v>
      </c>
      <c r="S51" s="99">
        <v>2.6856784862173788E-3</v>
      </c>
      <c r="T51" s="99">
        <v>0.36462034977586544</v>
      </c>
      <c r="U51" s="49">
        <v>50.728145534738047</v>
      </c>
      <c r="V51" s="100">
        <v>4.5137826392181708</v>
      </c>
      <c r="W51" t="s">
        <v>237</v>
      </c>
      <c r="Y51" s="14">
        <f t="shared" ref="Y51:AE70" si="1">N51/$U51*2000</f>
        <v>3.3011250639026453</v>
      </c>
      <c r="Z51" s="6">
        <f t="shared" si="0"/>
        <v>0.17439905997976238</v>
      </c>
      <c r="AA51" s="249">
        <f t="shared" si="0"/>
        <v>2.4914151425680341E-2</v>
      </c>
      <c r="AB51" s="6">
        <f t="shared" si="0"/>
        <v>1.905932584064546</v>
      </c>
      <c r="AC51" s="250">
        <f t="shared" si="0"/>
        <v>1.905932584064546</v>
      </c>
      <c r="AD51" s="6">
        <f t="shared" si="0"/>
        <v>0.10588514355914143</v>
      </c>
      <c r="AE51" s="14">
        <f t="shared" si="0"/>
        <v>14.375465372617558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4.5858907479851295E-2</v>
      </c>
      <c r="E52" s="99">
        <v>7.6431512466418839E-3</v>
      </c>
      <c r="F52" s="99">
        <v>1.5286302493283765E-3</v>
      </c>
      <c r="G52" s="99">
        <v>4.5858907479851295E-2</v>
      </c>
      <c r="H52" s="99">
        <v>4.5858907479851295E-2</v>
      </c>
      <c r="I52" s="99">
        <v>3.4394180609888477E-3</v>
      </c>
      <c r="J52" s="99">
        <v>0.53807784776358858</v>
      </c>
      <c r="K52" s="49">
        <v>122.71248052899274</v>
      </c>
      <c r="L52" s="100">
        <v>10.918877686067034</v>
      </c>
      <c r="M52" s="49" t="s">
        <v>237</v>
      </c>
      <c r="N52" s="99">
        <v>3.9913914924064896E-2</v>
      </c>
      <c r="O52" s="99">
        <v>6.65231915401082E-3</v>
      </c>
      <c r="P52" s="99">
        <v>1.3304638308021637E-3</v>
      </c>
      <c r="Q52" s="99">
        <v>3.9913914924064896E-2</v>
      </c>
      <c r="R52" s="99">
        <v>3.9913914924064896E-2</v>
      </c>
      <c r="S52" s="99">
        <v>2.9935436193048687E-3</v>
      </c>
      <c r="T52" s="99">
        <v>0.46832326844236172</v>
      </c>
      <c r="U52" s="49">
        <v>106.80386484532512</v>
      </c>
      <c r="V52" s="100">
        <v>9.5033915759862158</v>
      </c>
      <c r="W52" t="s">
        <v>237</v>
      </c>
      <c r="Y52" s="14">
        <f t="shared" si="1"/>
        <v>0.74742454277041004</v>
      </c>
      <c r="Z52" s="6">
        <f t="shared" si="0"/>
        <v>0.12457075712840172</v>
      </c>
      <c r="AA52" s="249">
        <f t="shared" si="0"/>
        <v>2.4914151425680341E-2</v>
      </c>
      <c r="AB52" s="6">
        <f t="shared" si="0"/>
        <v>0.74742454277041004</v>
      </c>
      <c r="AC52" s="250">
        <f t="shared" si="0"/>
        <v>0.74742454277041004</v>
      </c>
      <c r="AD52" s="6">
        <f t="shared" si="0"/>
        <v>5.6056840707780775E-2</v>
      </c>
      <c r="AE52" s="14">
        <f t="shared" si="0"/>
        <v>8.7697813018394815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3.4513025000798239E-2</v>
      </c>
      <c r="E53" s="99">
        <v>4.601736666773098E-3</v>
      </c>
      <c r="F53" s="99">
        <v>9.2034733335461948E-4</v>
      </c>
      <c r="G53" s="99">
        <v>2.9911288334025135E-2</v>
      </c>
      <c r="H53" s="99">
        <v>2.9911288334025135E-2</v>
      </c>
      <c r="I53" s="99">
        <v>2.0707815000478936E-3</v>
      </c>
      <c r="J53" s="99">
        <v>0.24619291167236068</v>
      </c>
      <c r="K53" s="49">
        <v>73.881898041602909</v>
      </c>
      <c r="L53" s="100">
        <v>6.573963825465496</v>
      </c>
      <c r="M53" s="49" t="s">
        <v>237</v>
      </c>
      <c r="N53" s="99">
        <v>3.0038874001942377E-2</v>
      </c>
      <c r="O53" s="99">
        <v>4.0051832002589837E-3</v>
      </c>
      <c r="P53" s="99">
        <v>8.0103664005179648E-4</v>
      </c>
      <c r="Q53" s="99">
        <v>2.6033690801683388E-2</v>
      </c>
      <c r="R53" s="99">
        <v>2.6033690801683388E-2</v>
      </c>
      <c r="S53" s="99">
        <v>1.8023324401165426E-3</v>
      </c>
      <c r="T53" s="99">
        <v>0.21427730121385558</v>
      </c>
      <c r="U53" s="49">
        <v>64.303746602914643</v>
      </c>
      <c r="V53" s="100">
        <v>5.721737548126189</v>
      </c>
      <c r="W53" t="s">
        <v>237</v>
      </c>
      <c r="Y53" s="14">
        <f t="shared" si="1"/>
        <v>0.93428067846301288</v>
      </c>
      <c r="Z53" s="6">
        <f t="shared" si="0"/>
        <v>0.12457075712840172</v>
      </c>
      <c r="AA53" s="249">
        <f t="shared" si="0"/>
        <v>2.4914151425680337E-2</v>
      </c>
      <c r="AB53" s="6">
        <f t="shared" si="0"/>
        <v>0.80970992133461106</v>
      </c>
      <c r="AC53" s="250">
        <f t="shared" si="0"/>
        <v>0.80970992133461106</v>
      </c>
      <c r="AD53" s="6">
        <f t="shared" si="0"/>
        <v>5.6056840707780775E-2</v>
      </c>
      <c r="AE53" s="14">
        <f t="shared" si="0"/>
        <v>6.6645355063694911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1.9523277339094058</v>
      </c>
      <c r="E54" s="99">
        <v>5.3491666727283879E-2</v>
      </c>
      <c r="F54" s="99">
        <v>1.4734548935165325E-2</v>
      </c>
      <c r="G54" s="99">
        <v>0.44726831537748307</v>
      </c>
      <c r="H54" s="99">
        <v>0.44726831537748307</v>
      </c>
      <c r="I54" s="99">
        <v>1.4625091321025569E-2</v>
      </c>
      <c r="J54" s="99">
        <v>4.4634868740361711</v>
      </c>
      <c r="K54" s="49">
        <v>1182.8321794000767</v>
      </c>
      <c r="L54" s="100">
        <v>105.24764746290104</v>
      </c>
      <c r="M54" s="49" t="s">
        <v>237</v>
      </c>
      <c r="N54" s="99">
        <v>1.6992346167293635</v>
      </c>
      <c r="O54" s="99">
        <v>4.6557189262245495E-2</v>
      </c>
      <c r="P54" s="99">
        <v>1.2824412201731045E-2</v>
      </c>
      <c r="Q54" s="99">
        <v>0.38928597450888475</v>
      </c>
      <c r="R54" s="99">
        <v>0.38928597450888475</v>
      </c>
      <c r="S54" s="99">
        <v>1.2729144299841212E-2</v>
      </c>
      <c r="T54" s="99">
        <v>3.8848556397300773</v>
      </c>
      <c r="U54" s="49">
        <v>1029.4881798392089</v>
      </c>
      <c r="V54" s="100">
        <v>91.603700952490072</v>
      </c>
      <c r="W54" t="s">
        <v>237</v>
      </c>
      <c r="Y54" s="14">
        <f t="shared" si="1"/>
        <v>3.3011250639026462</v>
      </c>
      <c r="Z54" s="6">
        <f t="shared" si="0"/>
        <v>9.0447253643100703E-2</v>
      </c>
      <c r="AA54" s="249">
        <f t="shared" si="0"/>
        <v>2.4914151425680348E-2</v>
      </c>
      <c r="AB54" s="6">
        <f t="shared" si="0"/>
        <v>0.756270896805606</v>
      </c>
      <c r="AC54" s="250">
        <f t="shared" si="0"/>
        <v>0.756270896805606</v>
      </c>
      <c r="AD54" s="6">
        <f t="shared" si="0"/>
        <v>2.472907324070359E-2</v>
      </c>
      <c r="AE54" s="14">
        <f t="shared" si="0"/>
        <v>7.5471592890689339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0.93067078824155169</v>
      </c>
      <c r="E55" s="99">
        <v>0.12477500436762115</v>
      </c>
      <c r="F55" s="99">
        <v>3.1022359608051733E-2</v>
      </c>
      <c r="G55" s="99">
        <v>0.61464021445341077</v>
      </c>
      <c r="H55" s="99">
        <v>0.61464021445341077</v>
      </c>
      <c r="I55" s="99">
        <v>1.9368944887489095E-2</v>
      </c>
      <c r="J55" s="99">
        <v>9.5890849160074243</v>
      </c>
      <c r="K55" s="49">
        <v>2490.3541592474962</v>
      </c>
      <c r="L55" s="100">
        <v>221.59011326795894</v>
      </c>
      <c r="M55" s="49" t="s">
        <v>237</v>
      </c>
      <c r="N55" s="99">
        <v>0.81002179741212987</v>
      </c>
      <c r="O55" s="99">
        <v>0.10859959782441832</v>
      </c>
      <c r="P55" s="99">
        <v>2.7000726580404342E-2</v>
      </c>
      <c r="Q55" s="99">
        <v>0.53496035071008197</v>
      </c>
      <c r="R55" s="99">
        <v>0.53496035071008197</v>
      </c>
      <c r="S55" s="99">
        <v>1.6858020849009728E-2</v>
      </c>
      <c r="T55" s="99">
        <v>8.3459886109435821</v>
      </c>
      <c r="U55" s="49">
        <v>2167.501201953301</v>
      </c>
      <c r="V55" s="100">
        <v>192.86392578971007</v>
      </c>
      <c r="W55" t="s">
        <v>237</v>
      </c>
      <c r="Y55" s="14">
        <f t="shared" si="1"/>
        <v>0.74742454277040982</v>
      </c>
      <c r="Z55" s="6">
        <f t="shared" si="0"/>
        <v>0.10020718579214713</v>
      </c>
      <c r="AA55" s="249">
        <f t="shared" si="0"/>
        <v>2.4914151425680341E-2</v>
      </c>
      <c r="AB55" s="6">
        <f t="shared" si="0"/>
        <v>0.49361942704159822</v>
      </c>
      <c r="AC55" s="250">
        <f t="shared" si="0"/>
        <v>0.49361942704159822</v>
      </c>
      <c r="AD55" s="6">
        <f t="shared" si="0"/>
        <v>1.5555258593460226E-2</v>
      </c>
      <c r="AE55" s="14">
        <f t="shared" si="0"/>
        <v>7.701023282868193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0.70041494547609362</v>
      </c>
      <c r="E56" s="99">
        <v>7.5123688406340206E-2</v>
      </c>
      <c r="F56" s="99">
        <v>1.8677731879362492E-2</v>
      </c>
      <c r="G56" s="99">
        <v>0.41061275833406086</v>
      </c>
      <c r="H56" s="99">
        <v>0.41061275833406086</v>
      </c>
      <c r="I56" s="99">
        <v>1.1661522977793565E-2</v>
      </c>
      <c r="J56" s="99">
        <v>5.7733312131144485</v>
      </c>
      <c r="K56" s="49">
        <v>1499.3755426330424</v>
      </c>
      <c r="L56" s="100">
        <v>133.41347257357862</v>
      </c>
      <c r="M56" s="49" t="s">
        <v>237</v>
      </c>
      <c r="N56" s="99">
        <v>0.60961553777876898</v>
      </c>
      <c r="O56" s="99">
        <v>6.5384909336316965E-2</v>
      </c>
      <c r="P56" s="99">
        <v>1.6256414340767172E-2</v>
      </c>
      <c r="Q56" s="99">
        <v>0.35738231902018419</v>
      </c>
      <c r="R56" s="99">
        <v>0.35738231902018419</v>
      </c>
      <c r="S56" s="99">
        <v>1.0149762861777401E-2</v>
      </c>
      <c r="T56" s="99">
        <v>5.0248962204331544</v>
      </c>
      <c r="U56" s="49">
        <v>1304.9944236921372</v>
      </c>
      <c r="V56" s="100">
        <v>116.11820443750247</v>
      </c>
      <c r="W56" t="s">
        <v>237</v>
      </c>
      <c r="Y56" s="14">
        <f t="shared" si="1"/>
        <v>0.93428067846301255</v>
      </c>
      <c r="Z56" s="6">
        <f t="shared" si="0"/>
        <v>0.10020718579214712</v>
      </c>
      <c r="AA56" s="249">
        <f t="shared" si="0"/>
        <v>2.4914151425680334E-2</v>
      </c>
      <c r="AB56" s="6">
        <f t="shared" si="0"/>
        <v>0.54771470671739009</v>
      </c>
      <c r="AC56" s="250">
        <f t="shared" si="0"/>
        <v>0.54771470671739009</v>
      </c>
      <c r="AD56" s="6">
        <f t="shared" si="0"/>
        <v>1.5555258593460233E-2</v>
      </c>
      <c r="AE56" s="14">
        <f t="shared" si="0"/>
        <v>7.7010232828681939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1.1736107296217565E-2</v>
      </c>
      <c r="E57" s="99">
        <v>2.0494899271182868E-2</v>
      </c>
      <c r="F57" s="99">
        <v>1.6379539877069225E-3</v>
      </c>
      <c r="G57" s="99">
        <v>1.5151074386289034E-2</v>
      </c>
      <c r="H57" s="99">
        <v>1.5151074386289034E-2</v>
      </c>
      <c r="I57" s="99">
        <v>3.6792541448866752E-4</v>
      </c>
      <c r="J57" s="99">
        <v>5.0837996893453606E-2</v>
      </c>
      <c r="K57" s="49">
        <v>157.02149453800484</v>
      </c>
      <c r="L57" s="100">
        <v>13.971671712225231</v>
      </c>
      <c r="M57" s="49" t="s">
        <v>237</v>
      </c>
      <c r="N57" s="99">
        <v>1.0214678323218622E-2</v>
      </c>
      <c r="O57" s="99">
        <v>1.7838010341757176E-2</v>
      </c>
      <c r="P57" s="99">
        <v>1.4256152121284453E-3</v>
      </c>
      <c r="Q57" s="99">
        <v>1.3186940712188122E-2</v>
      </c>
      <c r="R57" s="99">
        <v>1.3186940712188122E-2</v>
      </c>
      <c r="S57" s="99">
        <v>3.2022881702435202E-4</v>
      </c>
      <c r="T57" s="99">
        <v>4.4247532146436626E-2</v>
      </c>
      <c r="U57" s="49">
        <v>136.66501082981313</v>
      </c>
      <c r="V57" s="100">
        <v>12.160431783372491</v>
      </c>
      <c r="W57" t="s">
        <v>237</v>
      </c>
      <c r="Y57" s="14">
        <f t="shared" si="1"/>
        <v>0.149484908554082</v>
      </c>
      <c r="Z57" s="6">
        <f t="shared" si="0"/>
        <v>0.26104721659841057</v>
      </c>
      <c r="AA57" s="249">
        <f t="shared" si="0"/>
        <v>2.0862914413459381E-2</v>
      </c>
      <c r="AB57" s="6">
        <f t="shared" si="0"/>
        <v>0.19298195832449933</v>
      </c>
      <c r="AC57" s="250">
        <f t="shared" si="0"/>
        <v>0.19298195832449933</v>
      </c>
      <c r="AD57" s="6">
        <f t="shared" si="0"/>
        <v>4.6863321501233127E-3</v>
      </c>
      <c r="AE57" s="14">
        <f t="shared" si="0"/>
        <v>0.6475327061077456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3.9586254651885457E-2</v>
      </c>
      <c r="E58" s="99">
        <v>6.9129932194405372E-2</v>
      </c>
      <c r="F58" s="99">
        <v>5.5248697058465843E-3</v>
      </c>
      <c r="G58" s="99">
        <v>5.1105044779080913E-2</v>
      </c>
      <c r="H58" s="99">
        <v>5.1105044779080913E-2</v>
      </c>
      <c r="I58" s="99">
        <v>1.2410238576757897E-3</v>
      </c>
      <c r="J58" s="99">
        <v>0.17147814349521334</v>
      </c>
      <c r="K58" s="49">
        <v>529.63838108436721</v>
      </c>
      <c r="L58" s="100">
        <v>47.12688290528385</v>
      </c>
      <c r="M58" s="49" t="s">
        <v>237</v>
      </c>
      <c r="N58" s="99">
        <v>3.4454427442082797E-2</v>
      </c>
      <c r="O58" s="99">
        <v>6.0168163263073421E-2</v>
      </c>
      <c r="P58" s="99">
        <v>4.8086444166292458E-3</v>
      </c>
      <c r="Q58" s="99">
        <v>4.447996085382052E-2</v>
      </c>
      <c r="R58" s="99">
        <v>4.447996085382052E-2</v>
      </c>
      <c r="S58" s="99">
        <v>1.0801417520853447E-3</v>
      </c>
      <c r="T58" s="99">
        <v>0.14924830108113021</v>
      </c>
      <c r="U58" s="49">
        <v>460.97532888569248</v>
      </c>
      <c r="V58" s="100">
        <v>41.017514334468558</v>
      </c>
      <c r="W58" t="s">
        <v>237</v>
      </c>
      <c r="Y58" s="14">
        <f t="shared" si="1"/>
        <v>0.14948490855408195</v>
      </c>
      <c r="Z58" s="6">
        <f t="shared" si="0"/>
        <v>0.2610472165984104</v>
      </c>
      <c r="AA58" s="249">
        <f t="shared" si="0"/>
        <v>2.0862914413459378E-2</v>
      </c>
      <c r="AB58" s="6">
        <f t="shared" si="0"/>
        <v>0.19298195832449924</v>
      </c>
      <c r="AC58" s="250">
        <f t="shared" si="0"/>
        <v>0.19298195832449924</v>
      </c>
      <c r="AD58" s="6">
        <f t="shared" si="0"/>
        <v>4.6863321501233145E-3</v>
      </c>
      <c r="AE58" s="14">
        <f t="shared" si="0"/>
        <v>0.64753270610774549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1.1117632285429857</v>
      </c>
      <c r="E59" s="99">
        <v>3.9492903380540317E-2</v>
      </c>
      <c r="F59" s="99">
        <v>9.7952707360615485E-3</v>
      </c>
      <c r="G59" s="99">
        <v>0.24170202955725617</v>
      </c>
      <c r="H59" s="99">
        <v>0.24170202955725617</v>
      </c>
      <c r="I59" s="99">
        <v>5.9692029582532509E-3</v>
      </c>
      <c r="J59" s="99">
        <v>1.4832651922596878</v>
      </c>
      <c r="K59" s="49">
        <v>786.05217092669875</v>
      </c>
      <c r="L59" s="100">
        <v>69.966797475033047</v>
      </c>
      <c r="M59" s="49" t="s">
        <v>237</v>
      </c>
      <c r="N59" s="99">
        <v>1.0165035446756698</v>
      </c>
      <c r="O59" s="99">
        <v>3.6109016061328394E-2</v>
      </c>
      <c r="P59" s="99">
        <v>8.9559783671865206E-3</v>
      </c>
      <c r="Q59" s="99">
        <v>0.2209921712577626</v>
      </c>
      <c r="R59" s="99">
        <v>0.2209921712577626</v>
      </c>
      <c r="S59" s="99">
        <v>5.4577411900058352E-3</v>
      </c>
      <c r="T59" s="99">
        <v>1.35617394685915</v>
      </c>
      <c r="U59" s="49">
        <v>718.7003003024181</v>
      </c>
      <c r="V59" s="100">
        <v>63.971802463896594</v>
      </c>
      <c r="W59" t="s">
        <v>237</v>
      </c>
      <c r="Y59" s="14">
        <f t="shared" si="1"/>
        <v>2.8287272017221663</v>
      </c>
      <c r="Z59" s="6">
        <f t="shared" si="0"/>
        <v>0.10048421030611583</v>
      </c>
      <c r="AA59" s="249">
        <f t="shared" si="0"/>
        <v>2.4922706623102794E-2</v>
      </c>
      <c r="AB59" s="6">
        <f t="shared" si="0"/>
        <v>0.61497726149487475</v>
      </c>
      <c r="AC59" s="250">
        <f t="shared" si="0"/>
        <v>0.61497726149487475</v>
      </c>
      <c r="AD59" s="6">
        <f t="shared" si="0"/>
        <v>1.5187808291465306E-2</v>
      </c>
      <c r="AE59" s="14">
        <f t="shared" si="0"/>
        <v>3.7739623770533917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8.2872276211059082E-2</v>
      </c>
      <c r="E60" s="99">
        <v>1.2984573568167455</v>
      </c>
      <c r="F60" s="99">
        <v>3.359358339613197</v>
      </c>
      <c r="G60" s="99">
        <v>5.3070464175071344E-2</v>
      </c>
      <c r="H60" s="99">
        <v>5.3070464175071344E-2</v>
      </c>
      <c r="I60" s="99">
        <v>2.8472304029925786E-3</v>
      </c>
      <c r="J60" s="99">
        <v>5.2053280278382491E-2</v>
      </c>
      <c r="K60" s="49">
        <v>31198.717998089123</v>
      </c>
      <c r="L60" s="100">
        <v>232.4608028360704</v>
      </c>
      <c r="M60" s="49" t="s">
        <v>238</v>
      </c>
      <c r="N60" s="99">
        <v>7.6527494830204656E-2</v>
      </c>
      <c r="O60" s="99">
        <v>1.1990462094701626</v>
      </c>
      <c r="P60" s="99">
        <v>3.1021626256869581</v>
      </c>
      <c r="Q60" s="99">
        <v>4.9007338261723279E-2</v>
      </c>
      <c r="R60" s="99">
        <v>4.9007338261723279E-2</v>
      </c>
      <c r="S60" s="99">
        <v>2.6292436977414547E-3</v>
      </c>
      <c r="T60" s="99">
        <v>4.8068030945040273E-2</v>
      </c>
      <c r="U60" s="49">
        <v>28810.114063081157</v>
      </c>
      <c r="V60" s="100">
        <v>214.66337960786731</v>
      </c>
      <c r="W60" t="s">
        <v>238</v>
      </c>
      <c r="Y60" s="14">
        <f t="shared" si="1"/>
        <v>5.3125436895281953E-3</v>
      </c>
      <c r="Z60" s="6">
        <f t="shared" si="0"/>
        <v>8.3237866177467548E-2</v>
      </c>
      <c r="AA60" s="249">
        <f t="shared" si="0"/>
        <v>0.21535233209383489</v>
      </c>
      <c r="AB60" s="6">
        <f t="shared" si="0"/>
        <v>3.4020926230572579E-3</v>
      </c>
      <c r="AC60" s="250">
        <f t="shared" si="0"/>
        <v>3.4020926230572579E-3</v>
      </c>
      <c r="AD60" s="6">
        <f t="shared" si="0"/>
        <v>1.8252226922702193E-4</v>
      </c>
      <c r="AE60" s="14">
        <f t="shared" si="0"/>
        <v>3.3368858477819952E-3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2.3736041756594689E-2</v>
      </c>
      <c r="E61" s="99">
        <v>0.59922686061529407</v>
      </c>
      <c r="F61" s="99">
        <v>0.42356017738780583</v>
      </c>
      <c r="G61" s="99">
        <v>1.5200291476165039E-2</v>
      </c>
      <c r="H61" s="99">
        <v>1.5200291476165039E-2</v>
      </c>
      <c r="I61" s="99">
        <v>8.1549563769625459E-4</v>
      </c>
      <c r="J61" s="99">
        <v>1.490895255620521E-2</v>
      </c>
      <c r="K61" s="49">
        <v>9221.4355772464642</v>
      </c>
      <c r="L61" s="100">
        <v>68.708666738136785</v>
      </c>
      <c r="M61" s="49" t="s">
        <v>238</v>
      </c>
      <c r="N61" s="99">
        <v>2.3292704811035073E-2</v>
      </c>
      <c r="O61" s="99">
        <v>0.58803462356049307</v>
      </c>
      <c r="P61" s="99">
        <v>0.41564900680471462</v>
      </c>
      <c r="Q61" s="99">
        <v>1.4916383532972012E-2</v>
      </c>
      <c r="R61" s="99">
        <v>1.4916383532972012E-2</v>
      </c>
      <c r="S61" s="99">
        <v>8.0026397654394863E-4</v>
      </c>
      <c r="T61" s="99">
        <v>1.4630486181923377E-2</v>
      </c>
      <c r="U61" s="49">
        <v>9049.1994847920305</v>
      </c>
      <c r="V61" s="100">
        <v>67.425340277999638</v>
      </c>
      <c r="W61" t="s">
        <v>238</v>
      </c>
      <c r="Y61" s="14">
        <f t="shared" si="1"/>
        <v>5.148014440433211E-3</v>
      </c>
      <c r="Z61" s="6">
        <f t="shared" si="0"/>
        <v>0.12996389891696752</v>
      </c>
      <c r="AA61" s="249">
        <f t="shared" si="0"/>
        <v>9.1864259927797814E-2</v>
      </c>
      <c r="AB61" s="6">
        <f t="shared" si="0"/>
        <v>3.2967299611507731E-3</v>
      </c>
      <c r="AC61" s="250">
        <f t="shared" si="0"/>
        <v>3.2967299611507731E-3</v>
      </c>
      <c r="AD61" s="6">
        <f t="shared" si="0"/>
        <v>1.7686956241573902E-4</v>
      </c>
      <c r="AE61" s="14">
        <f t="shared" si="0"/>
        <v>3.2335426368953822E-3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5.5153835251418675E-4</v>
      </c>
      <c r="E62" s="99">
        <v>1.392382937623473E-2</v>
      </c>
      <c r="F62" s="99">
        <v>2.2357476454686831E-2</v>
      </c>
      <c r="G62" s="99">
        <v>3.0941843058299417E-4</v>
      </c>
      <c r="H62" s="99">
        <v>3.0941843058299417E-4</v>
      </c>
      <c r="I62" s="99">
        <v>1.894912071312543E-5</v>
      </c>
      <c r="J62" s="99">
        <v>3.464292494462353E-4</v>
      </c>
      <c r="K62" s="49">
        <v>211.94388948858628</v>
      </c>
      <c r="L62" s="100">
        <v>1.5470921529149704</v>
      </c>
      <c r="M62" s="49" t="s">
        <v>238</v>
      </c>
      <c r="N62" s="99">
        <v>5.207659086820071E-4</v>
      </c>
      <c r="O62" s="99">
        <v>1.314696543657241E-2</v>
      </c>
      <c r="P62" s="99">
        <v>2.1110066940380329E-2</v>
      </c>
      <c r="Q62" s="99">
        <v>2.9215478747938696E-4</v>
      </c>
      <c r="R62" s="99">
        <v>2.9215478747938696E-4</v>
      </c>
      <c r="S62" s="99">
        <v>1.7891876461378042E-5</v>
      </c>
      <c r="T62" s="99">
        <v>3.2710063055361831E-4</v>
      </c>
      <c r="U62" s="49">
        <v>200.11872555369303</v>
      </c>
      <c r="V62" s="100">
        <v>1.4607739373969348</v>
      </c>
      <c r="W62" t="s">
        <v>238</v>
      </c>
      <c r="Y62" s="14">
        <f t="shared" si="1"/>
        <v>5.2045695098361256E-3</v>
      </c>
      <c r="Z62" s="6">
        <f t="shared" si="0"/>
        <v>0.13139165662980401</v>
      </c>
      <c r="AA62" s="249">
        <f t="shared" si="0"/>
        <v>0.21097542853096346</v>
      </c>
      <c r="AB62" s="6">
        <f t="shared" si="0"/>
        <v>2.9198145917734234E-3</v>
      </c>
      <c r="AC62" s="250">
        <f t="shared" si="0"/>
        <v>2.9198145917734234E-3</v>
      </c>
      <c r="AD62" s="6">
        <f t="shared" si="0"/>
        <v>1.7881261647928641E-4</v>
      </c>
      <c r="AE62" s="14">
        <f t="shared" si="0"/>
        <v>3.2690656973612927E-3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2.1365839678561989E-3</v>
      </c>
      <c r="E63" s="99">
        <v>3.3476372296738943E-2</v>
      </c>
      <c r="F63" s="99">
        <v>8.6609798823695835E-2</v>
      </c>
      <c r="G63" s="99">
        <v>1.3682440993217553E-3</v>
      </c>
      <c r="H63" s="99">
        <v>1.3682440993217553E-3</v>
      </c>
      <c r="I63" s="99">
        <v>7.3406295928612176E-5</v>
      </c>
      <c r="J63" s="99">
        <v>1.3420194207514218E-3</v>
      </c>
      <c r="K63" s="49">
        <v>749.15286390469839</v>
      </c>
      <c r="L63" s="100">
        <v>5.9932229112375861</v>
      </c>
      <c r="M63" s="49" t="s">
        <v>238</v>
      </c>
      <c r="N63" s="99">
        <v>1.7704516104181201E-3</v>
      </c>
      <c r="O63" s="99">
        <v>2.7739746312515141E-2</v>
      </c>
      <c r="P63" s="99">
        <v>7.1768046616608322E-2</v>
      </c>
      <c r="Q63" s="99">
        <v>1.1337770972417633E-3</v>
      </c>
      <c r="R63" s="99">
        <v>1.1337770972417633E-3</v>
      </c>
      <c r="S63" s="99">
        <v>6.0827141267020643E-5</v>
      </c>
      <c r="T63" s="99">
        <v>1.1120463695446299E-3</v>
      </c>
      <c r="U63" s="49">
        <v>620.77545947339422</v>
      </c>
      <c r="V63" s="100">
        <v>4.9662036757871517</v>
      </c>
      <c r="W63" t="s">
        <v>238</v>
      </c>
      <c r="Y63" s="14">
        <f t="shared" si="1"/>
        <v>5.703999999999999E-3</v>
      </c>
      <c r="Z63" s="6">
        <f t="shared" si="0"/>
        <v>8.937127229883364E-2</v>
      </c>
      <c r="AA63" s="249">
        <f t="shared" si="0"/>
        <v>0.23122063065279475</v>
      </c>
      <c r="AB63" s="6">
        <f t="shared" si="0"/>
        <v>3.652776796955054E-3</v>
      </c>
      <c r="AC63" s="250">
        <f t="shared" si="0"/>
        <v>3.652776796955054E-3</v>
      </c>
      <c r="AD63" s="6">
        <f t="shared" si="0"/>
        <v>1.9597147515663875E-4</v>
      </c>
      <c r="AE63" s="14">
        <f t="shared" si="0"/>
        <v>3.582765241680083E-3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6.4990552711092716E-4</v>
      </c>
      <c r="E64" s="99">
        <v>1.1107476281532217E-2</v>
      </c>
      <c r="F64" s="99">
        <v>7.0898784775737556E-5</v>
      </c>
      <c r="G64" s="99">
        <v>5.8529310125197121E-6</v>
      </c>
      <c r="H64" s="99">
        <v>5.8529310125197121E-6</v>
      </c>
      <c r="I64" s="99">
        <v>2.3632928258579171E-3</v>
      </c>
      <c r="J64" s="99">
        <v>4.7265856517158342E-3</v>
      </c>
      <c r="K64" s="49">
        <v>291.73882732240412</v>
      </c>
      <c r="L64" s="100">
        <v>287.42741608118627</v>
      </c>
      <c r="M64" s="49" t="s">
        <v>239</v>
      </c>
      <c r="N64" s="99">
        <v>6.4990552711092716E-4</v>
      </c>
      <c r="O64" s="99">
        <v>1.1107476281532217E-2</v>
      </c>
      <c r="P64" s="99">
        <v>7.0898784775737556E-5</v>
      </c>
      <c r="Q64" s="99">
        <v>5.8529310125197121E-6</v>
      </c>
      <c r="R64" s="99">
        <v>5.8529310125197121E-6</v>
      </c>
      <c r="S64" s="99">
        <v>2.3632928258579171E-3</v>
      </c>
      <c r="T64" s="99">
        <v>4.7265856517158342E-3</v>
      </c>
      <c r="U64" s="49">
        <v>291.73882732240412</v>
      </c>
      <c r="V64" s="100">
        <v>287.42741608118627</v>
      </c>
      <c r="W64" t="s">
        <v>239</v>
      </c>
      <c r="Y64" s="14">
        <f t="shared" si="1"/>
        <v>4.4553927434054482E-3</v>
      </c>
      <c r="Z64" s="6">
        <f t="shared" si="0"/>
        <v>7.6146712341838618E-2</v>
      </c>
      <c r="AA64" s="249">
        <f t="shared" si="0"/>
        <v>4.8604284473514008E-4</v>
      </c>
      <c r="AB64" s="6">
        <f t="shared" si="0"/>
        <v>4.0124456975701533E-5</v>
      </c>
      <c r="AC64" s="250">
        <f t="shared" si="0"/>
        <v>4.0124456975701533E-5</v>
      </c>
      <c r="AD64" s="6">
        <f t="shared" si="0"/>
        <v>1.6201428157837993E-2</v>
      </c>
      <c r="AE64" s="14">
        <f t="shared" si="0"/>
        <v>3.2402856315675986E-2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7.2943884387197504E-3</v>
      </c>
      <c r="E65" s="99">
        <v>0.13262524434035919</v>
      </c>
      <c r="F65" s="99">
        <v>7.9575146604215499E-4</v>
      </c>
      <c r="G65" s="99">
        <v>1.0079518569867293E-2</v>
      </c>
      <c r="H65" s="99">
        <v>1.0079518569867293E-2</v>
      </c>
      <c r="I65" s="99">
        <v>2.652504886807185E-2</v>
      </c>
      <c r="J65" s="99">
        <v>5.3050097736143699E-2</v>
      </c>
      <c r="K65" s="49">
        <v>2692.2924601092905</v>
      </c>
      <c r="L65" s="100">
        <v>2652.5048868071826</v>
      </c>
      <c r="M65" s="49" t="s">
        <v>239</v>
      </c>
      <c r="N65" s="99">
        <v>7.2943884387197504E-3</v>
      </c>
      <c r="O65" s="99">
        <v>0.13262524434035919</v>
      </c>
      <c r="P65" s="99">
        <v>7.9575146604215499E-4</v>
      </c>
      <c r="Q65" s="99">
        <v>1.0079518569867293E-2</v>
      </c>
      <c r="R65" s="99">
        <v>1.0079518569867293E-2</v>
      </c>
      <c r="S65" s="99">
        <v>2.652504886807185E-2</v>
      </c>
      <c r="T65" s="99">
        <v>5.3050097736143699E-2</v>
      </c>
      <c r="U65" s="49">
        <v>2692.2924601092905</v>
      </c>
      <c r="V65" s="100">
        <v>2652.5048868071826</v>
      </c>
      <c r="W65" t="s">
        <v>239</v>
      </c>
      <c r="Y65" s="14">
        <f t="shared" si="1"/>
        <v>5.4187192118226582E-3</v>
      </c>
      <c r="Z65" s="6">
        <f t="shared" si="0"/>
        <v>9.8522167487684761E-2</v>
      </c>
      <c r="AA65" s="249">
        <f t="shared" si="0"/>
        <v>5.9113300492610844E-4</v>
      </c>
      <c r="AB65" s="6">
        <f t="shared" si="0"/>
        <v>7.4876847290640388E-3</v>
      </c>
      <c r="AC65" s="250">
        <f t="shared" si="0"/>
        <v>7.4876847290640388E-3</v>
      </c>
      <c r="AD65" s="6">
        <f t="shared" si="0"/>
        <v>1.9704433497536963E-2</v>
      </c>
      <c r="AE65" s="14">
        <f t="shared" si="0"/>
        <v>3.9408866995073927E-2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0.12446102360561243</v>
      </c>
      <c r="E66" s="99">
        <v>5.8745603141849081E-2</v>
      </c>
      <c r="F66" s="99">
        <v>0.11574875195321956</v>
      </c>
      <c r="G66" s="99">
        <v>9.9444357860884347E-2</v>
      </c>
      <c r="H66" s="99">
        <v>9.9444357860884347E-2</v>
      </c>
      <c r="I66" s="99">
        <v>1.5756143283352512E-2</v>
      </c>
      <c r="J66" s="99">
        <v>1.6251498157302846</v>
      </c>
      <c r="K66" s="49">
        <v>378.36151176106165</v>
      </c>
      <c r="L66" s="100">
        <v>24.892204721122482</v>
      </c>
      <c r="M66" s="49" t="s">
        <v>237</v>
      </c>
      <c r="N66" s="99">
        <v>0.10911134484905378</v>
      </c>
      <c r="O66" s="99">
        <v>5.150055476875337E-2</v>
      </c>
      <c r="P66" s="99">
        <v>0.10147355070962</v>
      </c>
      <c r="Q66" s="99">
        <v>8.7179964534393958E-2</v>
      </c>
      <c r="R66" s="99">
        <v>8.7179964534393958E-2</v>
      </c>
      <c r="S66" s="99">
        <v>1.3812950701165966E-2</v>
      </c>
      <c r="T66" s="99">
        <v>1.4247213853665199</v>
      </c>
      <c r="U66" s="49">
        <v>331.69848834112344</v>
      </c>
      <c r="V66" s="100">
        <v>21.822268969810757</v>
      </c>
      <c r="W66" t="s">
        <v>237</v>
      </c>
      <c r="Y66" s="14">
        <f t="shared" si="1"/>
        <v>0.65789473684210531</v>
      </c>
      <c r="Z66" s="6">
        <f t="shared" si="1"/>
        <v>0.31052631578947365</v>
      </c>
      <c r="AA66" s="249">
        <f t="shared" si="1"/>
        <v>0.61184210526315796</v>
      </c>
      <c r="AB66" s="6">
        <f t="shared" si="1"/>
        <v>0.5256578947368421</v>
      </c>
      <c r="AC66" s="250">
        <f t="shared" si="1"/>
        <v>0.5256578947368421</v>
      </c>
      <c r="AD66" s="6">
        <f t="shared" si="1"/>
        <v>8.3286184210526346E-2</v>
      </c>
      <c r="AE66" s="14">
        <f t="shared" si="1"/>
        <v>8.5904605263157929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3.239935413804844E-4</v>
      </c>
      <c r="G67" s="99">
        <v>2.7835574146559887E-4</v>
      </c>
      <c r="H67" s="99">
        <v>2.7835574146559887E-4</v>
      </c>
      <c r="I67" s="99">
        <v>4.4103185345228465E-5</v>
      </c>
      <c r="J67" s="99">
        <v>4.5489738350276065E-3</v>
      </c>
      <c r="K67" s="49">
        <v>16.015711428952528</v>
      </c>
      <c r="L67" s="100">
        <v>1.0590756621469597</v>
      </c>
      <c r="M67" s="49" t="s">
        <v>237</v>
      </c>
      <c r="N67" s="99">
        <v>3.2922344900610868E-4</v>
      </c>
      <c r="O67" s="99">
        <v>1.5539346793088337E-4</v>
      </c>
      <c r="P67" s="99">
        <v>3.0617780757568117E-4</v>
      </c>
      <c r="Q67" s="99">
        <v>2.6304953575588086E-4</v>
      </c>
      <c r="R67" s="99">
        <v>2.6304953575588086E-4</v>
      </c>
      <c r="S67" s="99">
        <v>4.1678042526928346E-5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1.0645223161162029E-3</v>
      </c>
      <c r="E68" s="99">
        <v>4.2325140919862258E-5</v>
      </c>
      <c r="F68" s="99">
        <v>9.227066009456588E-6</v>
      </c>
      <c r="G68" s="99">
        <v>2.9937064250054862E-4</v>
      </c>
      <c r="H68" s="99">
        <v>2.9937064250054862E-4</v>
      </c>
      <c r="I68" s="99">
        <v>1.09618260587576E-5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8.7269646582558802E-4</v>
      </c>
      <c r="O68" s="99">
        <v>3.5510956409239793E-5</v>
      </c>
      <c r="P68" s="99">
        <v>7.5369704121824448E-6</v>
      </c>
      <c r="Q68" s="99">
        <v>2.5766689106639573E-4</v>
      </c>
      <c r="R68" s="99">
        <v>2.5766689106639573E-4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2.3729271934124715E-2</v>
      </c>
      <c r="F69" s="101">
        <v>1.6802202817214625E-2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5.6489860280612321E-3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2.3729271934124715E-2</v>
      </c>
      <c r="P69" s="101">
        <v>1.6802202817214625E-2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5.6489860280612321E-3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0.37693099395384794</v>
      </c>
      <c r="AA69" s="253">
        <f t="shared" si="1"/>
        <v>0.26689697964980835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8.9732121756607164E-2</v>
      </c>
    </row>
    <row r="70" spans="1:31" x14ac:dyDescent="0.25">
      <c r="A70" s="17" t="s">
        <v>236</v>
      </c>
      <c r="B70" s="17" t="s">
        <v>219</v>
      </c>
      <c r="C70" s="17"/>
      <c r="D70" s="103">
        <v>9.6101561952453949</v>
      </c>
      <c r="E70" s="103">
        <v>2.6217844702757387</v>
      </c>
      <c r="F70" s="103">
        <v>4.1179659748603896</v>
      </c>
      <c r="G70" s="103">
        <v>2.7655918047751258</v>
      </c>
      <c r="H70" s="103">
        <v>2.7655918047751258</v>
      </c>
      <c r="I70" s="103">
        <v>0.14522796852118622</v>
      </c>
      <c r="J70" s="103">
        <v>29.40003752820293</v>
      </c>
      <c r="K70" s="93">
        <v>52418.565929037868</v>
      </c>
      <c r="L70" s="93"/>
      <c r="M70" s="93"/>
      <c r="N70" s="103">
        <v>8.6540956802981928</v>
      </c>
      <c r="O70" s="103">
        <v>2.4434039055065515</v>
      </c>
      <c r="P70" s="103">
        <v>3.8113418574800706</v>
      </c>
      <c r="Q70" s="103">
        <v>2.4594859595772975</v>
      </c>
      <c r="R70" s="103">
        <v>2.4594859595772975</v>
      </c>
      <c r="S70" s="103">
        <v>0.13257775695312407</v>
      </c>
      <c r="T70" s="103">
        <v>25.933118751234932</v>
      </c>
      <c r="U70" s="93">
        <v>48759.969573097645</v>
      </c>
      <c r="Y70" s="14">
        <f t="shared" si="1"/>
        <v>0.35496723054039475</v>
      </c>
      <c r="Z70" s="6">
        <f t="shared" si="1"/>
        <v>0.1002217157598331</v>
      </c>
      <c r="AA70" s="249">
        <f t="shared" si="1"/>
        <v>0.15633077259272546</v>
      </c>
      <c r="AB70" s="6">
        <f t="shared" si="1"/>
        <v>0.10088135743769087</v>
      </c>
      <c r="AC70" s="250">
        <f t="shared" si="1"/>
        <v>0.10088135743769087</v>
      </c>
      <c r="AD70" s="6">
        <f t="shared" si="1"/>
        <v>5.437975376681582E-3</v>
      </c>
      <c r="AE70" s="14">
        <f t="shared" si="1"/>
        <v>1.0637052885095737</v>
      </c>
    </row>
    <row r="71" spans="1:31" x14ac:dyDescent="0.25">
      <c r="R71" s="99"/>
      <c r="T71" s="1" t="s">
        <v>33</v>
      </c>
      <c r="U71" s="49">
        <f>SUM(U50:U60,U62:U64,U66)</f>
        <v>36869.544307458753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7.0081242786605635</v>
      </c>
      <c r="O74" s="99">
        <f t="shared" si="2"/>
        <v>0.18513528062661561</v>
      </c>
      <c r="P74" s="99">
        <f t="shared" si="2"/>
        <v>0.13104664256460513</v>
      </c>
      <c r="Q74" s="99">
        <f>SUM(Q50,Q51,Q54, Q59,Q66)</f>
        <v>1.3652075280489049</v>
      </c>
      <c r="R74" s="99">
        <f t="shared" ref="R74:U74" si="3">SUM(R50,R51,R54, R59,R66)</f>
        <v>1.3652075280489049</v>
      </c>
      <c r="S74" s="99">
        <f t="shared" si="3"/>
        <v>6.6909010890892545E-2</v>
      </c>
      <c r="T74" s="99">
        <f t="shared" si="3"/>
        <v>11.552401957048872</v>
      </c>
      <c r="U74" s="49">
        <f t="shared" si="3"/>
        <v>2705.553655218926</v>
      </c>
      <c r="Y74" s="14">
        <f t="shared" ref="Y74:AE81" si="4">N74/$U74*2000</f>
        <v>5.1805472533447023</v>
      </c>
      <c r="Z74" s="6">
        <f t="shared" si="4"/>
        <v>0.13685574504833464</v>
      </c>
      <c r="AA74" s="249">
        <f t="shared" si="4"/>
        <v>9.6872329485553077E-2</v>
      </c>
      <c r="AB74" s="6">
        <f t="shared" si="4"/>
        <v>1.0091890252595532</v>
      </c>
      <c r="AC74" s="250">
        <f t="shared" si="4"/>
        <v>1.0091890252595532</v>
      </c>
      <c r="AD74" s="6">
        <f t="shared" si="4"/>
        <v>4.9460494536360214E-2</v>
      </c>
      <c r="AE74" s="14">
        <f t="shared" si="4"/>
        <v>8.5397692518606387</v>
      </c>
    </row>
    <row r="75" spans="1:31" x14ac:dyDescent="0.25">
      <c r="M75" s="1" t="s">
        <v>588</v>
      </c>
      <c r="N75" s="99">
        <f t="shared" ref="N75:U75" si="5">SUM(N52:N53,N55:N56)</f>
        <v>1.4895901241169063</v>
      </c>
      <c r="O75" s="99">
        <f t="shared" si="5"/>
        <v>0.18464200951500509</v>
      </c>
      <c r="P75" s="99">
        <f t="shared" si="5"/>
        <v>4.5388641392025475E-2</v>
      </c>
      <c r="Q75" s="99">
        <f t="shared" si="5"/>
        <v>0.95829027545601453</v>
      </c>
      <c r="R75" s="99">
        <f t="shared" si="5"/>
        <v>0.95829027545601453</v>
      </c>
      <c r="S75" s="99">
        <f t="shared" si="5"/>
        <v>3.1803659770208541E-2</v>
      </c>
      <c r="T75" s="99">
        <f t="shared" si="5"/>
        <v>14.053485401032955</v>
      </c>
      <c r="U75" s="49">
        <f t="shared" si="5"/>
        <v>3643.6032370936782</v>
      </c>
      <c r="Y75" s="14">
        <f t="shared" si="4"/>
        <v>0.8176467234149668</v>
      </c>
      <c r="Z75" s="6">
        <f t="shared" si="4"/>
        <v>0.10135132587174056</v>
      </c>
      <c r="AA75" s="249">
        <f t="shared" si="4"/>
        <v>2.4914151425680337E-2</v>
      </c>
      <c r="AB75" s="6">
        <f t="shared" si="4"/>
        <v>0.52601241853127523</v>
      </c>
      <c r="AC75" s="250">
        <f t="shared" si="4"/>
        <v>0.52601241853127523</v>
      </c>
      <c r="AD75" s="6">
        <f t="shared" si="4"/>
        <v>1.74572573909429E-2</v>
      </c>
      <c r="AE75" s="14">
        <f t="shared" si="4"/>
        <v>7.7140591258463829</v>
      </c>
    </row>
    <row r="76" spans="1:31" x14ac:dyDescent="0.25">
      <c r="M76" s="1" t="s">
        <v>589</v>
      </c>
      <c r="N76" s="99">
        <f t="shared" ref="N76:V76" si="6">SUM(N60,N62:N63)</f>
        <v>7.8818712349304793E-2</v>
      </c>
      <c r="O76" s="99">
        <f t="shared" si="6"/>
        <v>1.23993292121925</v>
      </c>
      <c r="P76" s="99">
        <f t="shared" si="6"/>
        <v>3.195040739243947</v>
      </c>
      <c r="Q76" s="99">
        <f t="shared" si="6"/>
        <v>5.0433270146444435E-2</v>
      </c>
      <c r="R76" s="99">
        <f t="shared" si="6"/>
        <v>5.0433270146444435E-2</v>
      </c>
      <c r="S76" s="99">
        <f t="shared" si="6"/>
        <v>2.7079627154698535E-3</v>
      </c>
      <c r="T76" s="99">
        <f t="shared" si="6"/>
        <v>4.9507177945138522E-2</v>
      </c>
      <c r="U76" s="49">
        <f t="shared" si="6"/>
        <v>29631.008248108243</v>
      </c>
      <c r="V76" s="100">
        <f t="shared" si="6"/>
        <v>221.09035722105139</v>
      </c>
      <c r="W76" t="s">
        <v>238</v>
      </c>
      <c r="Y76" s="14">
        <f t="shared" si="4"/>
        <v>5.3200155519066332E-3</v>
      </c>
      <c r="Z76" s="6">
        <f t="shared" si="4"/>
        <v>8.3691578149279633E-2</v>
      </c>
      <c r="AA76" s="249">
        <f t="shared" si="4"/>
        <v>0.21565521581250482</v>
      </c>
      <c r="AB76" s="6">
        <f t="shared" si="4"/>
        <v>3.4040873482369125E-3</v>
      </c>
      <c r="AC76" s="250">
        <f t="shared" si="4"/>
        <v>3.4040873482369125E-3</v>
      </c>
      <c r="AD76" s="6">
        <f t="shared" si="4"/>
        <v>1.8277897888558956E-4</v>
      </c>
      <c r="AE76" s="14">
        <f t="shared" si="4"/>
        <v>3.3415790330590086E-3</v>
      </c>
    </row>
    <row r="77" spans="1:31" x14ac:dyDescent="0.25">
      <c r="M77" s="1" t="s">
        <v>590</v>
      </c>
      <c r="N77" s="99">
        <f t="shared" ref="N77:U77" si="7">SUM(N64,N66)</f>
        <v>0.10976125037616472</v>
      </c>
      <c r="O77" s="99">
        <f t="shared" si="7"/>
        <v>6.260803105028559E-2</v>
      </c>
      <c r="P77" s="99">
        <f t="shared" si="7"/>
        <v>0.10154444949439574</v>
      </c>
      <c r="Q77" s="99">
        <f t="shared" si="7"/>
        <v>8.7185817465406476E-2</v>
      </c>
      <c r="R77" s="99">
        <f t="shared" si="7"/>
        <v>8.7185817465406476E-2</v>
      </c>
      <c r="S77" s="99">
        <f t="shared" si="7"/>
        <v>1.6176243527023883E-2</v>
      </c>
      <c r="T77" s="99">
        <f t="shared" si="7"/>
        <v>1.4294479710182357</v>
      </c>
      <c r="U77" s="49">
        <f t="shared" si="7"/>
        <v>623.43731566352756</v>
      </c>
      <c r="Y77" s="14">
        <f t="shared" si="4"/>
        <v>0.35211639604647421</v>
      </c>
      <c r="Z77" s="6">
        <f t="shared" si="4"/>
        <v>0.20084787829439288</v>
      </c>
      <c r="AA77" s="249">
        <f t="shared" si="4"/>
        <v>0.32575672627590946</v>
      </c>
      <c r="AB77" s="6">
        <f t="shared" si="4"/>
        <v>0.27969393321480657</v>
      </c>
      <c r="AC77" s="250">
        <f t="shared" si="4"/>
        <v>0.27969393321480657</v>
      </c>
      <c r="AD77" s="6">
        <f t="shared" si="4"/>
        <v>5.1893728914213046E-2</v>
      </c>
      <c r="AE77" s="14">
        <f t="shared" si="4"/>
        <v>4.5856991075257243</v>
      </c>
    </row>
    <row r="78" spans="1:31" x14ac:dyDescent="0.25">
      <c r="M78" s="1" t="s">
        <v>591</v>
      </c>
      <c r="N78" s="99">
        <f t="shared" ref="N78:V78" si="8">N61</f>
        <v>2.3292704811035073E-2</v>
      </c>
      <c r="O78" s="99">
        <f t="shared" si="8"/>
        <v>0.58803462356049307</v>
      </c>
      <c r="P78" s="99">
        <f t="shared" si="8"/>
        <v>0.41564900680471462</v>
      </c>
      <c r="Q78" s="99">
        <f t="shared" si="8"/>
        <v>1.4916383532972012E-2</v>
      </c>
      <c r="R78" s="99">
        <f t="shared" si="8"/>
        <v>1.4916383532972012E-2</v>
      </c>
      <c r="S78" s="99">
        <f t="shared" si="8"/>
        <v>8.0026397654394863E-4</v>
      </c>
      <c r="T78" s="99">
        <f t="shared" si="8"/>
        <v>1.4630486181923377E-2</v>
      </c>
      <c r="U78" s="49">
        <f t="shared" si="8"/>
        <v>9049.1994847920305</v>
      </c>
      <c r="V78" s="100">
        <f t="shared" si="8"/>
        <v>67.425340277999638</v>
      </c>
      <c r="W78" t="s">
        <v>238</v>
      </c>
      <c r="Y78" s="14">
        <f t="shared" si="4"/>
        <v>5.148014440433211E-3</v>
      </c>
      <c r="Z78" s="6">
        <f t="shared" si="4"/>
        <v>0.12996389891696752</v>
      </c>
      <c r="AA78" s="249">
        <f t="shared" si="4"/>
        <v>9.1864259927797814E-2</v>
      </c>
      <c r="AB78" s="6">
        <f t="shared" si="4"/>
        <v>3.2967299611507731E-3</v>
      </c>
      <c r="AC78" s="250">
        <f t="shared" si="4"/>
        <v>3.2967299611507731E-3</v>
      </c>
      <c r="AD78" s="6">
        <f t="shared" si="4"/>
        <v>1.7686956241573902E-4</v>
      </c>
      <c r="AE78" s="14">
        <f t="shared" si="4"/>
        <v>3.2335426368953822E-3</v>
      </c>
    </row>
    <row r="79" spans="1:31" x14ac:dyDescent="0.25">
      <c r="M79" s="1" t="s">
        <v>592</v>
      </c>
      <c r="N79" s="99">
        <f t="shared" ref="N79:V79" si="9">SUM(N50:N59,N68)</f>
        <v>8.4341448601595417</v>
      </c>
      <c r="O79" s="99">
        <f t="shared" si="9"/>
        <v>0.39631841993410721</v>
      </c>
      <c r="P79" s="99">
        <f t="shared" si="9"/>
        <v>8.1203529846180497E-2</v>
      </c>
      <c r="Q79" s="99">
        <f t="shared" si="9"/>
        <v>2.2942424074276007</v>
      </c>
      <c r="R79" s="99">
        <f t="shared" si="9"/>
        <v>2.2942424074276007</v>
      </c>
      <c r="S79" s="99">
        <f t="shared" si="9"/>
        <v>8.6310022416890467E-2</v>
      </c>
      <c r="T79" s="99">
        <f t="shared" si="9"/>
        <v>24.376535197140033</v>
      </c>
      <c r="U79" s="49">
        <f t="shared" si="9"/>
        <v>6622.9937680341882</v>
      </c>
      <c r="V79" s="100">
        <f t="shared" si="9"/>
        <v>589.27526864748461</v>
      </c>
      <c r="W79" t="s">
        <v>743</v>
      </c>
      <c r="Y79" s="14">
        <f t="shared" si="4"/>
        <v>2.5469282187360212</v>
      </c>
      <c r="Z79" s="6">
        <f t="shared" si="4"/>
        <v>0.11967953883542334</v>
      </c>
      <c r="AA79" s="249">
        <f t="shared" si="4"/>
        <v>2.4521699005096004E-2</v>
      </c>
      <c r="AB79" s="6">
        <f t="shared" si="4"/>
        <v>0.69281128377343137</v>
      </c>
      <c r="AC79" s="250">
        <f t="shared" si="4"/>
        <v>0.69281128377343137</v>
      </c>
      <c r="AD79" s="6">
        <f t="shared" si="4"/>
        <v>2.6063748642936948E-2</v>
      </c>
      <c r="AE79" s="14">
        <f t="shared" si="4"/>
        <v>7.3611831902343416</v>
      </c>
    </row>
    <row r="80" spans="1:31" x14ac:dyDescent="0.25">
      <c r="M80" s="1" t="s">
        <v>593</v>
      </c>
      <c r="N80" s="99">
        <f t="shared" ref="N80:U80" si="10">SUM(N65,N67,N69)</f>
        <v>8.0781526021460083E-3</v>
      </c>
      <c r="O80" s="99">
        <f t="shared" si="10"/>
        <v>0.1565099097424148</v>
      </c>
      <c r="P80" s="99">
        <f t="shared" si="10"/>
        <v>1.7904132090832459E-2</v>
      </c>
      <c r="Q80" s="99">
        <f t="shared" si="10"/>
        <v>1.2708081004873814E-2</v>
      </c>
      <c r="R80" s="99">
        <f t="shared" si="10"/>
        <v>1.2708081004873814E-2</v>
      </c>
      <c r="S80" s="99">
        <f t="shared" si="10"/>
        <v>2.6583264317195928E-2</v>
      </c>
      <c r="T80" s="99">
        <f t="shared" si="10"/>
        <v>6.2997918949602202E-2</v>
      </c>
      <c r="U80" s="49">
        <f t="shared" si="10"/>
        <v>2833.3307564996644</v>
      </c>
      <c r="Y80" s="14">
        <f t="shared" si="4"/>
        <v>5.7022305522323614E-3</v>
      </c>
      <c r="Z80" s="6">
        <f t="shared" si="4"/>
        <v>0.11047768382380409</v>
      </c>
      <c r="AA80" s="249">
        <f t="shared" si="4"/>
        <v>1.2638222381739483E-2</v>
      </c>
      <c r="AB80" s="6">
        <f t="shared" si="4"/>
        <v>8.9704182794200504E-3</v>
      </c>
      <c r="AC80" s="250">
        <f t="shared" si="4"/>
        <v>8.9704182794200504E-3</v>
      </c>
      <c r="AD80" s="6">
        <f t="shared" si="4"/>
        <v>1.8764674231001012E-2</v>
      </c>
      <c r="AE80" s="14">
        <f t="shared" si="4"/>
        <v>4.4469159701940833E-2</v>
      </c>
    </row>
    <row r="81" spans="13:31" x14ac:dyDescent="0.25">
      <c r="M81" s="1" t="s">
        <v>594</v>
      </c>
      <c r="N81" s="99">
        <f>SUM(N76:N80)</f>
        <v>8.654095680298191</v>
      </c>
      <c r="O81" s="99">
        <f t="shared" ref="O81:U81" si="11">SUM(O76:O80)</f>
        <v>2.4434039055065511</v>
      </c>
      <c r="P81" s="99">
        <f t="shared" si="11"/>
        <v>3.8113418574800706</v>
      </c>
      <c r="Q81" s="99">
        <f t="shared" si="11"/>
        <v>2.4594859595772975</v>
      </c>
      <c r="R81" s="99">
        <f t="shared" si="11"/>
        <v>2.4594859595772975</v>
      </c>
      <c r="S81" s="99">
        <f t="shared" si="11"/>
        <v>0.13257775695312407</v>
      </c>
      <c r="T81" s="99">
        <f t="shared" si="11"/>
        <v>25.933118751234932</v>
      </c>
      <c r="U81" s="49">
        <f t="shared" si="11"/>
        <v>48759.969573097653</v>
      </c>
      <c r="Y81" s="14">
        <f t="shared" si="4"/>
        <v>0.35496723054039464</v>
      </c>
      <c r="Z81" s="6">
        <f t="shared" si="4"/>
        <v>0.10022171575983307</v>
      </c>
      <c r="AA81" s="249">
        <f t="shared" si="4"/>
        <v>0.15633077259272543</v>
      </c>
      <c r="AB81" s="6">
        <f t="shared" si="4"/>
        <v>0.10088135743769086</v>
      </c>
      <c r="AC81" s="250">
        <f t="shared" si="4"/>
        <v>0.10088135743769086</v>
      </c>
      <c r="AD81" s="6">
        <f t="shared" si="4"/>
        <v>5.4379753766815812E-3</v>
      </c>
      <c r="AE81" s="14">
        <f t="shared" si="4"/>
        <v>1.0637052885095735</v>
      </c>
    </row>
    <row r="83" spans="13:31" x14ac:dyDescent="0.25">
      <c r="V83" s="42">
        <f>V79/Lookup!B37</f>
        <v>350.18471406774887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66216.935961528201</v>
      </c>
      <c r="W84" t="s">
        <v>746</v>
      </c>
    </row>
  </sheetData>
  <sheetProtection algorithmName="SHA-512" hashValue="ZXEkq/Odb71TzkUBJn66h57zS8Jt+wRAXhlC/6OPs7+mo8LbZbopMRMGN1uXtiQ94C7jn0Ew53NWDdkR8JiKDg==" saltValue="i5EehZyR5YWatF/yXVuVKQ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98F6-8EC4-4361-965F-B15BFA2A9B67}">
  <sheetPr codeName="Sheet18">
    <tabColor rgb="FFFF0000"/>
  </sheetPr>
  <dimension ref="A1:AE84"/>
  <sheetViews>
    <sheetView zoomScale="84" zoomScaleNormal="84" workbookViewId="0">
      <pane ySplit="5" topLeftCell="A6" activePane="bottomLeft" state="frozen"/>
      <selection activeCell="A6" sqref="A6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1537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5.4430912281261081</v>
      </c>
      <c r="E6" s="99">
        <v>6.1799289052960185E-2</v>
      </c>
      <c r="F6" s="99">
        <v>9.5075829312246448E-3</v>
      </c>
      <c r="G6" s="99">
        <v>0.82240592355093167</v>
      </c>
      <c r="H6" s="99">
        <v>0.82240592355093167</v>
      </c>
      <c r="I6" s="99">
        <v>4.2784123190510892E-2</v>
      </c>
      <c r="J6" s="99">
        <v>6.0040386210683607</v>
      </c>
      <c r="K6" s="49">
        <v>764.88572311678195</v>
      </c>
      <c r="L6" s="100">
        <v>67.911867609444286</v>
      </c>
      <c r="M6" s="49" t="s">
        <v>237</v>
      </c>
      <c r="N6" s="99">
        <v>5.0153657971807624</v>
      </c>
      <c r="O6" s="99">
        <v>5.6943017784585104E-2</v>
      </c>
      <c r="P6" s="99">
        <v>8.7604642745515524E-3</v>
      </c>
      <c r="Q6" s="99">
        <v>0.75778015974870927</v>
      </c>
      <c r="R6" s="99">
        <v>0.75778015974870927</v>
      </c>
      <c r="S6" s="99">
        <v>3.9422089235481989E-2</v>
      </c>
      <c r="T6" s="99">
        <v>5.5322331893793049</v>
      </c>
      <c r="U6" s="49">
        <v>704.77997404288726</v>
      </c>
      <c r="V6" s="100">
        <v>62.575261695243412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0.11227574156299529</v>
      </c>
      <c r="E7" s="99">
        <v>5.9315486108752228E-3</v>
      </c>
      <c r="F7" s="99">
        <v>8.4736408726788874E-4</v>
      </c>
      <c r="G7" s="99">
        <v>6.4823352675993484E-2</v>
      </c>
      <c r="H7" s="99">
        <v>6.4823352675993484E-2</v>
      </c>
      <c r="I7" s="99">
        <v>3.6012973708885285E-3</v>
      </c>
      <c r="J7" s="99">
        <v>0.48892907835357202</v>
      </c>
      <c r="K7" s="49">
        <v>68.170501095971687</v>
      </c>
      <c r="L7" s="100">
        <v>6.0526506187542815</v>
      </c>
      <c r="M7" s="49" t="s">
        <v>237</v>
      </c>
      <c r="N7" s="99">
        <v>9.7570076051667967E-2</v>
      </c>
      <c r="O7" s="99">
        <v>5.1546455272579303E-3</v>
      </c>
      <c r="P7" s="99">
        <v>7.3637793246541865E-4</v>
      </c>
      <c r="Q7" s="99">
        <v>5.6332911833604518E-2</v>
      </c>
      <c r="R7" s="99">
        <v>5.6332911833604518E-2</v>
      </c>
      <c r="S7" s="99">
        <v>3.1296062129780294E-3</v>
      </c>
      <c r="T7" s="99">
        <v>0.42489006703254645</v>
      </c>
      <c r="U7" s="49">
        <v>59.241657047371433</v>
      </c>
      <c r="V7" s="100">
        <v>5.2598858218601245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5.3521625025322865E-2</v>
      </c>
      <c r="E8" s="99">
        <v>8.920270837553812E-3</v>
      </c>
      <c r="F8" s="99">
        <v>1.784054167510762E-3</v>
      </c>
      <c r="G8" s="99">
        <v>5.3521625025322865E-2</v>
      </c>
      <c r="H8" s="99">
        <v>5.3521625025322865E-2</v>
      </c>
      <c r="I8" s="99">
        <v>4.0141218768992154E-3</v>
      </c>
      <c r="J8" s="99">
        <v>0.62798706696378825</v>
      </c>
      <c r="K8" s="49">
        <v>143.52728468077729</v>
      </c>
      <c r="L8" s="100">
        <v>12.743349314804476</v>
      </c>
      <c r="M8" s="49" t="s">
        <v>237</v>
      </c>
      <c r="N8" s="99">
        <v>4.6511463219324235E-2</v>
      </c>
      <c r="O8" s="99">
        <v>7.7519105365540372E-3</v>
      </c>
      <c r="P8" s="99">
        <v>1.5503821073108077E-3</v>
      </c>
      <c r="Q8" s="99">
        <v>4.6511463219324235E-2</v>
      </c>
      <c r="R8" s="99">
        <v>4.6511463219324235E-2</v>
      </c>
      <c r="S8" s="99">
        <v>3.4883597414493172E-3</v>
      </c>
      <c r="T8" s="99">
        <v>0.54573450177340421</v>
      </c>
      <c r="U8" s="49">
        <v>124.72835081597336</v>
      </c>
      <c r="V8" s="100">
        <v>11.074249383610777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4.0279921264890668E-2</v>
      </c>
      <c r="E9" s="99">
        <v>5.3706561686520911E-3</v>
      </c>
      <c r="F9" s="99">
        <v>1.0741312337304179E-3</v>
      </c>
      <c r="G9" s="99">
        <v>3.4909265096238595E-2</v>
      </c>
      <c r="H9" s="99">
        <v>3.4909265096238595E-2</v>
      </c>
      <c r="I9" s="99">
        <v>2.4167952758934411E-3</v>
      </c>
      <c r="J9" s="99">
        <v>0.28733010502288697</v>
      </c>
      <c r="K9" s="49">
        <v>86.413934159434774</v>
      </c>
      <c r="L9" s="100">
        <v>7.6724293301403002</v>
      </c>
      <c r="M9" s="49" t="s">
        <v>237</v>
      </c>
      <c r="N9" s="99">
        <v>3.5004132918289264E-2</v>
      </c>
      <c r="O9" s="99">
        <v>4.6672177224385703E-3</v>
      </c>
      <c r="P9" s="99">
        <v>9.3344354448771365E-4</v>
      </c>
      <c r="Q9" s="99">
        <v>3.0336915195850696E-2</v>
      </c>
      <c r="R9" s="99">
        <v>3.0336915195850696E-2</v>
      </c>
      <c r="S9" s="99">
        <v>2.1002479750973557E-3</v>
      </c>
      <c r="T9" s="99">
        <v>0.24969614815046351</v>
      </c>
      <c r="U9" s="49">
        <v>75.095599552368213</v>
      </c>
      <c r="V9" s="100">
        <v>6.6675089633927316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2.2785486755598647</v>
      </c>
      <c r="E10" s="99">
        <v>6.2429767429917668E-2</v>
      </c>
      <c r="F10" s="99">
        <v>1.7196593777810298E-2</v>
      </c>
      <c r="G10" s="99">
        <v>0.52200386744623617</v>
      </c>
      <c r="H10" s="99">
        <v>0.52200386744623617</v>
      </c>
      <c r="I10" s="99">
        <v>1.706884652646707E-2</v>
      </c>
      <c r="J10" s="99">
        <v>5.2093057577216655</v>
      </c>
      <c r="K10" s="49">
        <v>1383.4671926644703</v>
      </c>
      <c r="L10" s="100">
        <v>122.83382731657321</v>
      </c>
      <c r="M10" s="49" t="s">
        <v>237</v>
      </c>
      <c r="N10" s="99">
        <v>1.9801086545223654</v>
      </c>
      <c r="O10" s="99">
        <v>5.4252833882262409E-2</v>
      </c>
      <c r="P10" s="99">
        <v>1.4944216260546147E-2</v>
      </c>
      <c r="Q10" s="99">
        <v>0.45363278244229926</v>
      </c>
      <c r="R10" s="99">
        <v>0.45363278244229926</v>
      </c>
      <c r="S10" s="99">
        <v>1.4833201103973279E-2</v>
      </c>
      <c r="T10" s="99">
        <v>4.527000684935266</v>
      </c>
      <c r="U10" s="49">
        <v>1202.2632611829422</v>
      </c>
      <c r="V10" s="100">
        <v>106.74528358622376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1.0861796690680241</v>
      </c>
      <c r="E11" s="99">
        <v>0.14562407530600199</v>
      </c>
      <c r="F11" s="99">
        <v>3.6205988968934136E-2</v>
      </c>
      <c r="G11" s="99">
        <v>0.71734249443061915</v>
      </c>
      <c r="H11" s="99">
        <v>0.71734249443061915</v>
      </c>
      <c r="I11" s="99">
        <v>2.26053663807801E-2</v>
      </c>
      <c r="J11" s="99">
        <v>11.191357043035103</v>
      </c>
      <c r="K11" s="49">
        <v>2912.7743879794184</v>
      </c>
      <c r="L11" s="100">
        <v>258.61634311408977</v>
      </c>
      <c r="M11" s="49" t="s">
        <v>237</v>
      </c>
      <c r="N11" s="99">
        <v>0.94391389842017215</v>
      </c>
      <c r="O11" s="99">
        <v>0.12655050774782323</v>
      </c>
      <c r="P11" s="99">
        <v>3.1463796614005737E-2</v>
      </c>
      <c r="Q11" s="99">
        <v>0.62338632337082611</v>
      </c>
      <c r="R11" s="99">
        <v>0.62338632337082611</v>
      </c>
      <c r="S11" s="99">
        <v>1.964455799840804E-2</v>
      </c>
      <c r="T11" s="99">
        <v>9.7255341412966061</v>
      </c>
      <c r="U11" s="49">
        <v>2531.264675700625</v>
      </c>
      <c r="V11" s="100">
        <v>224.7432607843273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0.81744961086074708</v>
      </c>
      <c r="E12" s="99">
        <v>8.7676355638648854E-2</v>
      </c>
      <c r="F12" s="99">
        <v>2.1798656289619928E-2</v>
      </c>
      <c r="G12" s="99">
        <v>0.4792234113258117</v>
      </c>
      <c r="H12" s="99">
        <v>0.4792234113258117</v>
      </c>
      <c r="I12" s="99">
        <v>1.3610085681083432E-2</v>
      </c>
      <c r="J12" s="99">
        <v>6.7380163487554992</v>
      </c>
      <c r="K12" s="49">
        <v>1753.7034490965482</v>
      </c>
      <c r="L12" s="100">
        <v>155.70597392767249</v>
      </c>
      <c r="M12" s="49" t="s">
        <v>237</v>
      </c>
      <c r="N12" s="99">
        <v>0.71038159792815792</v>
      </c>
      <c r="O12" s="99">
        <v>7.6192671440039203E-2</v>
      </c>
      <c r="P12" s="99">
        <v>1.8943509278084202E-2</v>
      </c>
      <c r="Q12" s="99">
        <v>0.41645563002195318</v>
      </c>
      <c r="R12" s="99">
        <v>0.41645563002195318</v>
      </c>
      <c r="S12" s="99">
        <v>1.1827462250409211E-2</v>
      </c>
      <c r="T12" s="99">
        <v>5.8554836372787467</v>
      </c>
      <c r="U12" s="49">
        <v>1524.0066689242697</v>
      </c>
      <c r="V12" s="100">
        <v>135.31189824560656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1.3697132541613472E-2</v>
      </c>
      <c r="E13" s="99">
        <v>2.3919460231492835E-2</v>
      </c>
      <c r="F13" s="99">
        <v>1.9116451733460808E-3</v>
      </c>
      <c r="G13" s="99">
        <v>1.7682717853451251E-2</v>
      </c>
      <c r="H13" s="99">
        <v>1.7682717853451251E-2</v>
      </c>
      <c r="I13" s="99">
        <v>4.2940329706286353E-4</v>
      </c>
      <c r="J13" s="99">
        <v>5.9332687067729005E-2</v>
      </c>
      <c r="K13" s="49">
        <v>183.65588121440223</v>
      </c>
      <c r="L13" s="100">
        <v>16.306244859565812</v>
      </c>
      <c r="M13" s="49" t="s">
        <v>237</v>
      </c>
      <c r="N13" s="99">
        <v>1.1903107876826293E-2</v>
      </c>
      <c r="O13" s="99">
        <v>2.0786534307521354E-2</v>
      </c>
      <c r="P13" s="99">
        <v>1.6612614831185903E-3</v>
      </c>
      <c r="Q13" s="99">
        <v>1.5366668718846963E-2</v>
      </c>
      <c r="R13" s="99">
        <v>1.5366668718846963E-2</v>
      </c>
      <c r="S13" s="99">
        <v>3.7316086064551334E-4</v>
      </c>
      <c r="T13" s="99">
        <v>5.1561403282293243E-2</v>
      </c>
      <c r="U13" s="49">
        <v>159.60097923175343</v>
      </c>
      <c r="V13" s="100">
        <v>14.170483569438572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4.6200853750518245E-2</v>
      </c>
      <c r="E14" s="99">
        <v>8.0681082744079313E-2</v>
      </c>
      <c r="F14" s="99">
        <v>6.4480385809454008E-3</v>
      </c>
      <c r="G14" s="99">
        <v>5.9644356873744975E-2</v>
      </c>
      <c r="H14" s="99">
        <v>5.9644356873744975E-2</v>
      </c>
      <c r="I14" s="99">
        <v>1.4483906662448606E-3</v>
      </c>
      <c r="J14" s="99">
        <v>0.20013099745609292</v>
      </c>
      <c r="K14" s="49">
        <v>619.4769951032132</v>
      </c>
      <c r="L14" s="100">
        <v>55.001470686520577</v>
      </c>
      <c r="M14" s="49" t="s">
        <v>237</v>
      </c>
      <c r="N14" s="99">
        <v>4.0149552800422351E-2</v>
      </c>
      <c r="O14" s="99">
        <v>7.011362623558276E-2</v>
      </c>
      <c r="P14" s="99">
        <v>5.6034866122343869E-3</v>
      </c>
      <c r="Q14" s="99">
        <v>5.1832251163168072E-2</v>
      </c>
      <c r="R14" s="99">
        <v>5.1832251163168072E-2</v>
      </c>
      <c r="S14" s="99">
        <v>1.2586831802731493E-3</v>
      </c>
      <c r="T14" s="99">
        <v>0.17391821572722485</v>
      </c>
      <c r="U14" s="49">
        <v>538.33906312314491</v>
      </c>
      <c r="V14" s="100">
        <v>47.797481478457954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1.1711770346550694</v>
      </c>
      <c r="E15" s="99">
        <v>4.1603446024885353E-2</v>
      </c>
      <c r="F15" s="99">
        <v>1.0318740393436736E-2</v>
      </c>
      <c r="G15" s="99">
        <v>0.25461884237524446</v>
      </c>
      <c r="H15" s="99">
        <v>0.25461884237524446</v>
      </c>
      <c r="I15" s="99">
        <v>6.2882034955080452E-3</v>
      </c>
      <c r="J15" s="99">
        <v>1.5625324573420327</v>
      </c>
      <c r="K15" s="49">
        <v>830.14339865154079</v>
      </c>
      <c r="L15" s="100">
        <v>73.705897341569369</v>
      </c>
      <c r="M15" s="49" t="s">
        <v>237</v>
      </c>
      <c r="N15" s="99">
        <v>1.070719551059657</v>
      </c>
      <c r="O15" s="99">
        <v>3.8034918489858648E-2</v>
      </c>
      <c r="P15" s="99">
        <v>9.4336524322436756E-3</v>
      </c>
      <c r="Q15" s="99">
        <v>0.23277896042389856</v>
      </c>
      <c r="R15" s="99">
        <v>0.23277896042389856</v>
      </c>
      <c r="S15" s="99">
        <v>5.7488340570689966E-3</v>
      </c>
      <c r="T15" s="99">
        <v>1.4285065380693187</v>
      </c>
      <c r="U15" s="49">
        <v>758.93800921488912</v>
      </c>
      <c r="V15" s="100">
        <v>67.383788254742427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9.5785920419571416E-2</v>
      </c>
      <c r="E16" s="99">
        <v>1.5007905989151349</v>
      </c>
      <c r="F16" s="99">
        <v>3.8828332621093451</v>
      </c>
      <c r="G16" s="99">
        <v>6.1340215214515034E-2</v>
      </c>
      <c r="H16" s="99">
        <v>6.1340215214515034E-2</v>
      </c>
      <c r="I16" s="99">
        <v>3.2909025462587332E-3</v>
      </c>
      <c r="J16" s="99">
        <v>6.0164527756236867E-2</v>
      </c>
      <c r="K16" s="49">
        <v>36060.285248431748</v>
      </c>
      <c r="L16" s="100">
        <v>268.68420875055097</v>
      </c>
      <c r="M16" s="49" t="s">
        <v>238</v>
      </c>
      <c r="N16" s="99">
        <v>8.8376404492818125E-2</v>
      </c>
      <c r="O16" s="99">
        <v>1.3846970039830846</v>
      </c>
      <c r="P16" s="99">
        <v>3.5824768551290127</v>
      </c>
      <c r="Q16" s="99">
        <v>5.6595245394403998E-2</v>
      </c>
      <c r="R16" s="99">
        <v>5.6595245394403998E-2</v>
      </c>
      <c r="S16" s="99">
        <v>3.0363349154097761E-3</v>
      </c>
      <c r="T16" s="99">
        <v>5.5510503191011286E-2</v>
      </c>
      <c r="U16" s="49">
        <v>33270.843369070433</v>
      </c>
      <c r="V16" s="100">
        <v>247.90015285502983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2.8799975308493542E-2</v>
      </c>
      <c r="E17" s="99">
        <v>0.72706810035467595</v>
      </c>
      <c r="F17" s="99">
        <v>0.51392404746847864</v>
      </c>
      <c r="G17" s="99">
        <v>1.8443176991539929E-2</v>
      </c>
      <c r="H17" s="99">
        <v>1.8443176991539929E-2</v>
      </c>
      <c r="I17" s="99">
        <v>9.8947644559611728E-4</v>
      </c>
      <c r="J17" s="99">
        <v>1.8089682765868746E-2</v>
      </c>
      <c r="K17" s="49">
        <v>11188.770211013627</v>
      </c>
      <c r="L17" s="100">
        <v>83.367223812204131</v>
      </c>
      <c r="M17" s="49" t="s">
        <v>238</v>
      </c>
      <c r="N17" s="99">
        <v>2.828246293102879E-2</v>
      </c>
      <c r="O17" s="99">
        <v>0.71400327175107758</v>
      </c>
      <c r="P17" s="99">
        <v>0.50468924595240616</v>
      </c>
      <c r="Q17" s="99">
        <v>1.8111767944460632E-2</v>
      </c>
      <c r="R17" s="99">
        <v>1.8111767944460632E-2</v>
      </c>
      <c r="S17" s="99">
        <v>9.7169635022031301E-4</v>
      </c>
      <c r="T17" s="99">
        <v>1.7764625725525143E-2</v>
      </c>
      <c r="U17" s="49">
        <v>10987.717015280472</v>
      </c>
      <c r="V17" s="100">
        <v>81.869181896002644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6.3781816461982652E-4</v>
      </c>
      <c r="E18" s="99">
        <v>1.6102001350851155E-2</v>
      </c>
      <c r="F18" s="99">
        <v>2.5854964632749701E-2</v>
      </c>
      <c r="G18" s="99">
        <v>3.5782225224113698E-4</v>
      </c>
      <c r="H18" s="99">
        <v>3.5782225224113698E-4</v>
      </c>
      <c r="I18" s="99">
        <v>2.1913423317364518E-5</v>
      </c>
      <c r="J18" s="99">
        <v>4.0062285250913398E-4</v>
      </c>
      <c r="K18" s="49">
        <v>245.09929722887276</v>
      </c>
      <c r="L18" s="100">
        <v>1.7891112612056852</v>
      </c>
      <c r="M18" s="49" t="s">
        <v>238</v>
      </c>
      <c r="N18" s="99">
        <v>6.0170143174726278E-4</v>
      </c>
      <c r="O18" s="99">
        <v>1.5190218473282925E-2</v>
      </c>
      <c r="P18" s="99">
        <v>2.4390915938515351E-2</v>
      </c>
      <c r="Q18" s="99">
        <v>3.3756041051739833E-4</v>
      </c>
      <c r="R18" s="99">
        <v>3.3756041051739833E-4</v>
      </c>
      <c r="S18" s="99">
        <v>2.0672566126117219E-5</v>
      </c>
      <c r="T18" s="99">
        <v>3.7793740805281084E-4</v>
      </c>
      <c r="U18" s="49">
        <v>231.22044219415491</v>
      </c>
      <c r="V18" s="100">
        <v>1.6878020525869919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2.7475151202863536E-3</v>
      </c>
      <c r="E19" s="99">
        <v>4.30485487307634E-2</v>
      </c>
      <c r="F19" s="99">
        <v>0.11137485603799084</v>
      </c>
      <c r="G19" s="99">
        <v>1.7594774685598129E-3</v>
      </c>
      <c r="H19" s="99">
        <v>1.7594774685598129E-3</v>
      </c>
      <c r="I19" s="99">
        <v>9.4395966188234E-5</v>
      </c>
      <c r="J19" s="99">
        <v>1.7257541504124164E-3</v>
      </c>
      <c r="K19" s="49">
        <v>963.36434792649129</v>
      </c>
      <c r="L19" s="100">
        <v>7.7069147834119347</v>
      </c>
      <c r="M19" s="49" t="s">
        <v>238</v>
      </c>
      <c r="N19" s="99">
        <v>2.2687140772650496E-3</v>
      </c>
      <c r="O19" s="99">
        <v>3.5546610022344306E-2</v>
      </c>
      <c r="P19" s="99">
        <v>9.1965901072247197E-2</v>
      </c>
      <c r="Q19" s="99">
        <v>1.4528587202593045E-3</v>
      </c>
      <c r="R19" s="99">
        <v>1.4528587202593045E-3</v>
      </c>
      <c r="S19" s="99">
        <v>7.79458703419117E-5</v>
      </c>
      <c r="T19" s="99">
        <v>1.4250122614543343E-3</v>
      </c>
      <c r="U19" s="49">
        <v>795.48179427245793</v>
      </c>
      <c r="V19" s="100">
        <v>6.3638543541796651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6.6969683938961262E-4</v>
      </c>
      <c r="E20" s="99">
        <v>1.1445727800477033E-2</v>
      </c>
      <c r="F20" s="99">
        <v>7.3057837024321438E-5</v>
      </c>
      <c r="G20" s="99">
        <v>6.0311679724811463E-6</v>
      </c>
      <c r="H20" s="99">
        <v>6.0311679724811463E-6</v>
      </c>
      <c r="I20" s="99">
        <v>2.4352612341440472E-3</v>
      </c>
      <c r="J20" s="99">
        <v>4.8705224682880945E-3</v>
      </c>
      <c r="K20" s="49">
        <v>300.62303278688501</v>
      </c>
      <c r="L20" s="100">
        <v>296.18032786885243</v>
      </c>
      <c r="M20" s="49" t="s">
        <v>239</v>
      </c>
      <c r="N20" s="99">
        <v>6.6969683938961262E-4</v>
      </c>
      <c r="O20" s="99">
        <v>1.1445727800477033E-2</v>
      </c>
      <c r="P20" s="99">
        <v>7.3057837024321438E-5</v>
      </c>
      <c r="Q20" s="99">
        <v>6.0311679724811463E-6</v>
      </c>
      <c r="R20" s="99">
        <v>6.0311679724811463E-6</v>
      </c>
      <c r="S20" s="99">
        <v>2.4352612341440472E-3</v>
      </c>
      <c r="T20" s="99">
        <v>4.8705224682880945E-3</v>
      </c>
      <c r="U20" s="49">
        <v>300.62303278688501</v>
      </c>
      <c r="V20" s="100">
        <v>296.18032786885243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5.2612909836065582E-3</v>
      </c>
      <c r="E21" s="99">
        <v>9.5659836065573794E-2</v>
      </c>
      <c r="F21" s="99">
        <v>5.7395901639344267E-4</v>
      </c>
      <c r="G21" s="99">
        <v>7.2701475409836045E-3</v>
      </c>
      <c r="H21" s="99">
        <v>7.2701475409836045E-3</v>
      </c>
      <c r="I21" s="99">
        <v>1.9131967213114748E-2</v>
      </c>
      <c r="J21" s="99">
        <v>3.8263934426229496E-2</v>
      </c>
      <c r="K21" s="49">
        <v>1941.8946721311484</v>
      </c>
      <c r="L21" s="100">
        <v>1913.196721311476</v>
      </c>
      <c r="M21" s="49" t="s">
        <v>239</v>
      </c>
      <c r="N21" s="99">
        <v>5.2612909836065582E-3</v>
      </c>
      <c r="O21" s="99">
        <v>9.5659836065573794E-2</v>
      </c>
      <c r="P21" s="99">
        <v>5.7395901639344267E-4</v>
      </c>
      <c r="Q21" s="99">
        <v>7.2701475409836045E-3</v>
      </c>
      <c r="R21" s="99">
        <v>7.2701475409836045E-3</v>
      </c>
      <c r="S21" s="99">
        <v>1.9131967213114748E-2</v>
      </c>
      <c r="T21" s="99">
        <v>3.8263934426229496E-2</v>
      </c>
      <c r="U21" s="49">
        <v>1941.8946721311484</v>
      </c>
      <c r="V21" s="100">
        <v>1913.196721311476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0.14462789176330457</v>
      </c>
      <c r="E22" s="99">
        <v>6.8264364912279718E-2</v>
      </c>
      <c r="F22" s="99">
        <v>0.13450393933987317</v>
      </c>
      <c r="G22" s="99">
        <v>0.11555768551888027</v>
      </c>
      <c r="H22" s="99">
        <v>0.11555768551888027</v>
      </c>
      <c r="I22" s="99">
        <v>1.8309167957775534E-2</v>
      </c>
      <c r="J22" s="99">
        <v>1.8884786966993483</v>
      </c>
      <c r="K22" s="49">
        <v>439.66879096044568</v>
      </c>
      <c r="L22" s="100">
        <v>28.925578352660899</v>
      </c>
      <c r="M22" s="49" t="s">
        <v>237</v>
      </c>
      <c r="N22" s="99">
        <v>0.12661476068799091</v>
      </c>
      <c r="O22" s="99">
        <v>5.9762167044731695E-2</v>
      </c>
      <c r="P22" s="99">
        <v>0.11775172743983153</v>
      </c>
      <c r="Q22" s="99">
        <v>0.1011651937897047</v>
      </c>
      <c r="R22" s="99">
        <v>0.1011651937897047</v>
      </c>
      <c r="S22" s="99">
        <v>1.6028795629296204E-2</v>
      </c>
      <c r="T22" s="99">
        <v>1.6532722376834412</v>
      </c>
      <c r="U22" s="49">
        <v>384.90887249149216</v>
      </c>
      <c r="V22" s="100">
        <v>25.322952137598186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3.7337768457277432E-4</v>
      </c>
      <c r="G23" s="99">
        <v>3.2078362362757704E-4</v>
      </c>
      <c r="H23" s="99">
        <v>3.2078362362757704E-4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3.7940475162931154E-4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4.8030744532512695E-5</v>
      </c>
      <c r="T23" s="99">
        <v>4.9540775443997331E-3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1.2267802496122727E-3</v>
      </c>
      <c r="E24" s="99">
        <v>4.8776475754854209E-5</v>
      </c>
      <c r="F24" s="99">
        <v>1.0633485245822148E-5</v>
      </c>
      <c r="G24" s="99">
        <v>3.4500168382878613E-4</v>
      </c>
      <c r="H24" s="99">
        <v>3.4500168382878613E-4</v>
      </c>
      <c r="I24" s="99">
        <v>1.2632663031087653E-5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8.6857798127814742E-6</v>
      </c>
      <c r="Q24" s="99">
        <v>2.9694131175428135E-4</v>
      </c>
      <c r="R24" s="99">
        <v>2.9694131175428135E-4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5.2382327984415976E-4</v>
      </c>
      <c r="E25" s="101">
        <v>2.734616428960358E-2</v>
      </c>
      <c r="F25" s="101">
        <v>1.9363248899601761E-2</v>
      </c>
      <c r="G25" s="101">
        <v>2.7260720241086738E-3</v>
      </c>
      <c r="H25" s="101">
        <v>2.7260720241086738E-3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5.2382327984415976E-4</v>
      </c>
      <c r="O25" s="101">
        <v>2.734616428960358E-2</v>
      </c>
      <c r="P25" s="101">
        <v>1.9363248899601761E-2</v>
      </c>
      <c r="Q25" s="101">
        <v>2.7260720241086738E-3</v>
      </c>
      <c r="R25" s="101">
        <v>2.7260720241086738E-3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11.343103685925142</v>
      </c>
      <c r="E26" s="103">
        <v>3.0139195701521362</v>
      </c>
      <c r="F26" s="103">
        <v>4.7959781421151026</v>
      </c>
      <c r="G26" s="103">
        <v>3.2343022701398514</v>
      </c>
      <c r="H26" s="103">
        <v>3.2343022701398514</v>
      </c>
      <c r="I26" s="103">
        <v>0.15862223483780855</v>
      </c>
      <c r="J26" s="103">
        <v>34.395160143867024</v>
      </c>
      <c r="K26" s="93">
        <v>60060.618917999847</v>
      </c>
      <c r="L26" s="93"/>
      <c r="M26" s="93"/>
      <c r="N26" s="103">
        <v>10.205611807135929</v>
      </c>
      <c r="O26" s="103">
        <v>2.8043188857980756</v>
      </c>
      <c r="P26" s="103">
        <v>4.435677034022909</v>
      </c>
      <c r="Q26" s="103">
        <v>2.8726790288391979</v>
      </c>
      <c r="R26" s="103">
        <v>2.8726790288391979</v>
      </c>
      <c r="S26" s="103">
        <v>0.14360741096885929</v>
      </c>
      <c r="T26" s="103">
        <v>30.299666339918659</v>
      </c>
      <c r="U26" s="93">
        <v>55762.581656115268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3.4241202679643052</v>
      </c>
      <c r="E28" s="99">
        <v>3.8876474658110026E-2</v>
      </c>
      <c r="F28" s="99">
        <v>5.980996101247694E-3</v>
      </c>
      <c r="G28" s="99">
        <v>0.51735616275792562</v>
      </c>
      <c r="H28" s="99">
        <v>0.51735616275792562</v>
      </c>
      <c r="I28" s="99">
        <v>2.6914482455614629E-2</v>
      </c>
      <c r="J28" s="99">
        <v>3.776999037937919</v>
      </c>
      <c r="K28" s="49">
        <v>478.41295462542189</v>
      </c>
      <c r="L28" s="100">
        <v>42.721753608539601</v>
      </c>
      <c r="M28" s="49" t="s">
        <v>237</v>
      </c>
      <c r="N28" s="99">
        <v>3.1666079687590334</v>
      </c>
      <c r="O28" s="99">
        <v>3.5952754230451925E-2</v>
      </c>
      <c r="P28" s="99">
        <v>5.5311929585310634E-3</v>
      </c>
      <c r="Q28" s="99">
        <v>0.47844819091293705</v>
      </c>
      <c r="R28" s="99">
        <v>0.47844819091293705</v>
      </c>
      <c r="S28" s="99">
        <v>2.4890368313389789E-2</v>
      </c>
      <c r="T28" s="99">
        <v>3.4929483533123666</v>
      </c>
      <c r="U28" s="49">
        <v>442.43372192504052</v>
      </c>
      <c r="V28" s="100">
        <v>39.508847478826866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8.0743963159622512E-2</v>
      </c>
      <c r="E29" s="99">
        <v>4.2657188084328865E-3</v>
      </c>
      <c r="F29" s="99">
        <v>6.0938840120469814E-4</v>
      </c>
      <c r="G29" s="99">
        <v>4.6618212692159405E-2</v>
      </c>
      <c r="H29" s="99">
        <v>4.6618212692159405E-2</v>
      </c>
      <c r="I29" s="99">
        <v>2.5899007051199668E-3</v>
      </c>
      <c r="J29" s="99">
        <v>0.35161710749511088</v>
      </c>
      <c r="K29" s="49">
        <v>48.744272793286648</v>
      </c>
      <c r="L29" s="100">
        <v>4.3528102489045288</v>
      </c>
      <c r="M29" s="49" t="s">
        <v>237</v>
      </c>
      <c r="N29" s="99">
        <v>7.0454789013477265E-2</v>
      </c>
      <c r="O29" s="99">
        <v>3.7221397969384208E-3</v>
      </c>
      <c r="P29" s="99">
        <v>5.3173425670548875E-4</v>
      </c>
      <c r="Q29" s="99">
        <v>4.0677670637969898E-2</v>
      </c>
      <c r="R29" s="99">
        <v>4.0677670637969898E-2</v>
      </c>
      <c r="S29" s="99">
        <v>2.2598705909983269E-3</v>
      </c>
      <c r="T29" s="99">
        <v>0.30681066611906693</v>
      </c>
      <c r="U29" s="49">
        <v>42.532807666093845</v>
      </c>
      <c r="V29" s="100">
        <v>3.7981332065160398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3.849048832033837E-2</v>
      </c>
      <c r="E30" s="99">
        <v>6.4150813867230611E-3</v>
      </c>
      <c r="F30" s="99">
        <v>1.2830162773446122E-3</v>
      </c>
      <c r="G30" s="99">
        <v>3.849048832033837E-2</v>
      </c>
      <c r="H30" s="99">
        <v>3.849048832033837E-2</v>
      </c>
      <c r="I30" s="99">
        <v>2.8867866240253788E-3</v>
      </c>
      <c r="J30" s="99">
        <v>0.45162172962530356</v>
      </c>
      <c r="K30" s="49">
        <v>102.62698682396707</v>
      </c>
      <c r="L30" s="100">
        <v>9.1644776804030634</v>
      </c>
      <c r="M30" s="49" t="s">
        <v>237</v>
      </c>
      <c r="N30" s="99">
        <v>3.35856592557158E-2</v>
      </c>
      <c r="O30" s="99">
        <v>5.5976098759526324E-3</v>
      </c>
      <c r="P30" s="99">
        <v>1.1195219751905263E-3</v>
      </c>
      <c r="Q30" s="99">
        <v>3.35856592557158E-2</v>
      </c>
      <c r="R30" s="99">
        <v>3.35856592557158E-2</v>
      </c>
      <c r="S30" s="99">
        <v>2.5189244441786848E-3</v>
      </c>
      <c r="T30" s="99">
        <v>0.3940717352670654</v>
      </c>
      <c r="U30" s="49">
        <v>89.549266853268421</v>
      </c>
      <c r="V30" s="100">
        <v>7.9966515901018358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2.8967615207065953E-2</v>
      </c>
      <c r="E31" s="99">
        <v>3.8623486942754594E-3</v>
      </c>
      <c r="F31" s="99">
        <v>7.724697388550916E-4</v>
      </c>
      <c r="G31" s="99">
        <v>2.5105266512790485E-2</v>
      </c>
      <c r="H31" s="99">
        <v>2.5105266512790485E-2</v>
      </c>
      <c r="I31" s="99">
        <v>1.7380569124239565E-3</v>
      </c>
      <c r="J31" s="99">
        <v>0.20663565514373697</v>
      </c>
      <c r="K31" s="49">
        <v>61.788960211376612</v>
      </c>
      <c r="L31" s="100">
        <v>5.5176865683854528</v>
      </c>
      <c r="M31" s="49" t="s">
        <v>237</v>
      </c>
      <c r="N31" s="99">
        <v>2.5276282433681921E-2</v>
      </c>
      <c r="O31" s="99">
        <v>3.3701709911575901E-3</v>
      </c>
      <c r="P31" s="99">
        <v>6.7403419823151779E-4</v>
      </c>
      <c r="Q31" s="99">
        <v>2.1906111442524329E-2</v>
      </c>
      <c r="R31" s="99">
        <v>2.1906111442524329E-2</v>
      </c>
      <c r="S31" s="99">
        <v>1.516576946020915E-3</v>
      </c>
      <c r="T31" s="99">
        <v>0.18030414802693098</v>
      </c>
      <c r="U31" s="49">
        <v>53.915215264435282</v>
      </c>
      <c r="V31" s="100">
        <v>4.8145697561262972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1.6386358064140338</v>
      </c>
      <c r="E32" s="99">
        <v>4.4896847451208165E-2</v>
      </c>
      <c r="F32" s="99">
        <v>1.236706268991724E-2</v>
      </c>
      <c r="G32" s="99">
        <v>0.37540309647931142</v>
      </c>
      <c r="H32" s="99">
        <v>0.37540309647931142</v>
      </c>
      <c r="I32" s="99">
        <v>1.2275192271493731E-2</v>
      </c>
      <c r="J32" s="99">
        <v>3.7463123051624425</v>
      </c>
      <c r="K32" s="49">
        <v>989.22702863606037</v>
      </c>
      <c r="L32" s="100">
        <v>88.336891741124802</v>
      </c>
      <c r="M32" s="49" t="s">
        <v>237</v>
      </c>
      <c r="N32" s="99">
        <v>1.4298250357441293</v>
      </c>
      <c r="O32" s="99">
        <v>3.9175658349737283E-2</v>
      </c>
      <c r="P32" s="99">
        <v>1.0791132345238715E-2</v>
      </c>
      <c r="Q32" s="99">
        <v>0.32756561509334259</v>
      </c>
      <c r="R32" s="99">
        <v>0.32756561509334259</v>
      </c>
      <c r="S32" s="99">
        <v>1.0710968941148527E-2</v>
      </c>
      <c r="T32" s="99">
        <v>3.2689210773196766</v>
      </c>
      <c r="U32" s="49">
        <v>863.170184639083</v>
      </c>
      <c r="V32" s="100">
        <v>77.08015344037058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0.78113446380357843</v>
      </c>
      <c r="E33" s="99">
        <v>0.10472667388319704</v>
      </c>
      <c r="F33" s="99">
        <v>2.6037815460119282E-2</v>
      </c>
      <c r="G33" s="99">
        <v>0.51588237260173819</v>
      </c>
      <c r="H33" s="99">
        <v>0.51588237260173819</v>
      </c>
      <c r="I33" s="99">
        <v>1.6256823111120349E-2</v>
      </c>
      <c r="J33" s="99">
        <v>8.048350500379458</v>
      </c>
      <c r="K33" s="49">
        <v>2082.7347176615845</v>
      </c>
      <c r="L33" s="100">
        <v>185.98593240343118</v>
      </c>
      <c r="M33" s="49" t="s">
        <v>237</v>
      </c>
      <c r="N33" s="99">
        <v>0.68159478040034949</v>
      </c>
      <c r="O33" s="99">
        <v>9.1381391546726032E-2</v>
      </c>
      <c r="P33" s="99">
        <v>2.2719826013344983E-2</v>
      </c>
      <c r="Q33" s="99">
        <v>0.45014366765196384</v>
      </c>
      <c r="R33" s="99">
        <v>0.45014366765196384</v>
      </c>
      <c r="S33" s="99">
        <v>1.4185221996833681E-2</v>
      </c>
      <c r="T33" s="99">
        <v>7.0227520946644617</v>
      </c>
      <c r="U33" s="49">
        <v>1817.3325826700359</v>
      </c>
      <c r="V33" s="100">
        <v>162.28581201859166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0.58787517539712308</v>
      </c>
      <c r="E34" s="99">
        <v>6.3053125555932968E-2</v>
      </c>
      <c r="F34" s="99">
        <v>1.5676671343923282E-2</v>
      </c>
      <c r="G34" s="99">
        <v>0.34463720239700613</v>
      </c>
      <c r="H34" s="99">
        <v>0.34463720239700613</v>
      </c>
      <c r="I34" s="99">
        <v>9.7877978050683462E-3</v>
      </c>
      <c r="J34" s="99">
        <v>4.8456962854045553</v>
      </c>
      <c r="K34" s="49">
        <v>1253.9587937155584</v>
      </c>
      <c r="L34" s="100">
        <v>111.97714882600084</v>
      </c>
      <c r="M34" s="49" t="s">
        <v>237</v>
      </c>
      <c r="N34" s="99">
        <v>0.51296245351475867</v>
      </c>
      <c r="O34" s="99">
        <v>5.5018288474413771E-2</v>
      </c>
      <c r="P34" s="99">
        <v>1.3678998760393564E-2</v>
      </c>
      <c r="Q34" s="99">
        <v>0.30072020781385739</v>
      </c>
      <c r="R34" s="99">
        <v>0.30072020781385739</v>
      </c>
      <c r="S34" s="99">
        <v>8.5405422557647218E-3</v>
      </c>
      <c r="T34" s="99">
        <v>4.2282109528937895</v>
      </c>
      <c r="U34" s="49">
        <v>1094.1672762355051</v>
      </c>
      <c r="V34" s="100">
        <v>97.707941078768243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9.8503982243749056E-3</v>
      </c>
      <c r="E35" s="99">
        <v>1.7201863811748472E-2</v>
      </c>
      <c r="F35" s="99">
        <v>1.3747743306092692E-3</v>
      </c>
      <c r="G35" s="99">
        <v>1.2716662558135739E-2</v>
      </c>
      <c r="H35" s="99">
        <v>1.2716662558135739E-2</v>
      </c>
      <c r="I35" s="99">
        <v>3.0880868401310705E-4</v>
      </c>
      <c r="J35" s="99">
        <v>4.2669558286285186E-2</v>
      </c>
      <c r="K35" s="49">
        <v>131.32032521520173</v>
      </c>
      <c r="L35" s="100">
        <v>11.726761416880382</v>
      </c>
      <c r="M35" s="49" t="s">
        <v>237</v>
      </c>
      <c r="N35" s="99">
        <v>8.5951655261840808E-3</v>
      </c>
      <c r="O35" s="99">
        <v>1.5009836501329532E-2</v>
      </c>
      <c r="P35" s="99">
        <v>1.1995873327735889E-3</v>
      </c>
      <c r="Q35" s="99">
        <v>1.1096182828155696E-2</v>
      </c>
      <c r="R35" s="99">
        <v>1.1096182828155696E-2</v>
      </c>
      <c r="S35" s="99">
        <v>2.694573046242674E-4</v>
      </c>
      <c r="T35" s="99">
        <v>3.7232191840960271E-2</v>
      </c>
      <c r="U35" s="49">
        <v>114.58622346698191</v>
      </c>
      <c r="V35" s="100">
        <v>10.232424432825617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3.3225699347368715E-2</v>
      </c>
      <c r="E36" s="99">
        <v>5.8022421246812755E-2</v>
      </c>
      <c r="F36" s="99">
        <v>4.6371565432018185E-3</v>
      </c>
      <c r="G36" s="99">
        <v>4.2893698024616823E-2</v>
      </c>
      <c r="H36" s="99">
        <v>4.2893698024616823E-2</v>
      </c>
      <c r="I36" s="99">
        <v>1.0416212885167085E-3</v>
      </c>
      <c r="J36" s="99">
        <v>0.14392574620962653</v>
      </c>
      <c r="K36" s="49">
        <v>442.94753820228038</v>
      </c>
      <c r="L36" s="100">
        <v>39.554730710424323</v>
      </c>
      <c r="M36" s="49" t="s">
        <v>237</v>
      </c>
      <c r="N36" s="99">
        <v>2.8991760445500492E-2</v>
      </c>
      <c r="O36" s="99">
        <v>5.0628645003637257E-2</v>
      </c>
      <c r="P36" s="99">
        <v>4.0462453549360454E-3</v>
      </c>
      <c r="Q36" s="99">
        <v>3.742776953315842E-2</v>
      </c>
      <c r="R36" s="99">
        <v>3.742776953315842E-2</v>
      </c>
      <c r="S36" s="99">
        <v>9.0888786285250932E-4</v>
      </c>
      <c r="T36" s="99">
        <v>0.12558534020382753</v>
      </c>
      <c r="U36" s="49">
        <v>386.50289293313818</v>
      </c>
      <c r="V36" s="100">
        <v>34.51428562131138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1.0831652820335782</v>
      </c>
      <c r="E37" s="99">
        <v>3.8477025260647786E-2</v>
      </c>
      <c r="F37" s="99">
        <v>9.5433064496350493E-3</v>
      </c>
      <c r="G37" s="99">
        <v>0.23548471499329796</v>
      </c>
      <c r="H37" s="99">
        <v>0.23548471499329796</v>
      </c>
      <c r="I37" s="99">
        <v>5.8156568231398946E-3</v>
      </c>
      <c r="J37" s="99">
        <v>1.4451110803602509</v>
      </c>
      <c r="K37" s="49">
        <v>763.35803571470444</v>
      </c>
      <c r="L37" s="100">
        <v>68.167037705816881</v>
      </c>
      <c r="M37" s="49" t="s">
        <v>237</v>
      </c>
      <c r="N37" s="99">
        <v>0.99047763517643495</v>
      </c>
      <c r="O37" s="99">
        <v>3.5184503806510434E-2</v>
      </c>
      <c r="P37" s="99">
        <v>8.7266751997923803E-3</v>
      </c>
      <c r="Q37" s="99">
        <v>0.21533402842164584</v>
      </c>
      <c r="R37" s="99">
        <v>0.21533402842164584</v>
      </c>
      <c r="S37" s="99">
        <v>5.3180046597936783E-3</v>
      </c>
      <c r="T37" s="99">
        <v>1.3214513326675408</v>
      </c>
      <c r="U37" s="49">
        <v>698.036647360149</v>
      </c>
      <c r="V37" s="100">
        <v>62.333909167656763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7.2530123148788303E-2</v>
      </c>
      <c r="E38" s="99">
        <v>1.1364146889548208</v>
      </c>
      <c r="F38" s="99">
        <v>2.9401228639178991</v>
      </c>
      <c r="G38" s="99">
        <v>4.6447466851014474E-2</v>
      </c>
      <c r="H38" s="99">
        <v>4.6447466851014474E-2</v>
      </c>
      <c r="I38" s="99">
        <v>2.491906596556927E-3</v>
      </c>
      <c r="J38" s="99">
        <v>4.5557223736370042E-2</v>
      </c>
      <c r="K38" s="49">
        <v>27305.233570786739</v>
      </c>
      <c r="L38" s="100">
        <v>203.45055581707803</v>
      </c>
      <c r="M38" s="49" t="s">
        <v>238</v>
      </c>
      <c r="N38" s="99">
        <v>6.7048205986729517E-2</v>
      </c>
      <c r="O38" s="99">
        <v>1.0505230495070643</v>
      </c>
      <c r="P38" s="99">
        <v>2.7179047111483325</v>
      </c>
      <c r="Q38" s="99">
        <v>4.2936909380397723E-2</v>
      </c>
      <c r="R38" s="99">
        <v>4.2936909380397723E-2</v>
      </c>
      <c r="S38" s="99">
        <v>2.3035651882583378E-3</v>
      </c>
      <c r="T38" s="99">
        <v>4.2113951950606771E-2</v>
      </c>
      <c r="U38" s="49">
        <v>25241.469964337939</v>
      </c>
      <c r="V38" s="100">
        <v>188.07350907918524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2.0467398182721537E-2</v>
      </c>
      <c r="E39" s="99">
        <v>0.51670850952172209</v>
      </c>
      <c r="F39" s="99">
        <v>0.3652325393525987</v>
      </c>
      <c r="G39" s="99">
        <v>1.3107089266459558E-2</v>
      </c>
      <c r="H39" s="99">
        <v>1.3107089266459558E-2</v>
      </c>
      <c r="I39" s="99">
        <v>7.0319533914555538E-4</v>
      </c>
      <c r="J39" s="99">
        <v>1.2855870055519084E-2</v>
      </c>
      <c r="K39" s="49">
        <v>7951.5698409731667</v>
      </c>
      <c r="L39" s="100">
        <v>59.246931529459651</v>
      </c>
      <c r="M39" s="49" t="s">
        <v>238</v>
      </c>
      <c r="N39" s="99">
        <v>2.0099615509972715E-2</v>
      </c>
      <c r="O39" s="99">
        <v>0.50742367346354689</v>
      </c>
      <c r="P39" s="99">
        <v>0.3586696045672999</v>
      </c>
      <c r="Q39" s="99">
        <v>1.2871565421203764E-2</v>
      </c>
      <c r="R39" s="99">
        <v>1.2871565421203764E-2</v>
      </c>
      <c r="S39" s="99">
        <v>6.9055948484758199E-4</v>
      </c>
      <c r="T39" s="99">
        <v>1.2624860417297358E-2</v>
      </c>
      <c r="U39" s="49">
        <v>7808.686530522361</v>
      </c>
      <c r="V39" s="100">
        <v>58.182311853058074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4.7954950872064971E-4</v>
      </c>
      <c r="E40" s="99">
        <v>1.2106439210338986E-2</v>
      </c>
      <c r="F40" s="99">
        <v>1.9439295202599322E-2</v>
      </c>
      <c r="G40" s="99">
        <v>2.690319824519775E-4</v>
      </c>
      <c r="H40" s="99">
        <v>2.690319824519775E-4</v>
      </c>
      <c r="I40" s="99">
        <v>1.6475810770446552E-5</v>
      </c>
      <c r="J40" s="99">
        <v>3.0121201113413466E-4</v>
      </c>
      <c r="K40" s="49">
        <v>184.28018218004325</v>
      </c>
      <c r="L40" s="100">
        <v>1.3451599122598872</v>
      </c>
      <c r="M40" s="49" t="s">
        <v>238</v>
      </c>
      <c r="N40" s="99">
        <v>4.5341469845649481E-4</v>
      </c>
      <c r="O40" s="99">
        <v>1.1446654378985847E-2</v>
      </c>
      <c r="P40" s="99">
        <v>1.8379879474817229E-2</v>
      </c>
      <c r="Q40" s="99">
        <v>2.5437009731079654E-4</v>
      </c>
      <c r="R40" s="99">
        <v>2.5437009731079654E-4</v>
      </c>
      <c r="S40" s="99">
        <v>1.5577901001792045E-5</v>
      </c>
      <c r="T40" s="99">
        <v>2.8479635723996951E-4</v>
      </c>
      <c r="U40" s="49">
        <v>174.23715740546282</v>
      </c>
      <c r="V40" s="100">
        <v>1.2718504865539828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1.5422302215375714E-3</v>
      </c>
      <c r="E41" s="99">
        <v>2.4163933568815722E-2</v>
      </c>
      <c r="F41" s="99">
        <v>6.2516732895462238E-2</v>
      </c>
      <c r="G41" s="99">
        <v>9.8762671262189608E-4</v>
      </c>
      <c r="H41" s="99">
        <v>9.8762671262189608E-4</v>
      </c>
      <c r="I41" s="99">
        <v>5.2986173132164716E-5</v>
      </c>
      <c r="J41" s="99">
        <v>9.6869720062997653E-4</v>
      </c>
      <c r="K41" s="49">
        <v>540.75393462046668</v>
      </c>
      <c r="L41" s="100">
        <v>4.3260314769637356</v>
      </c>
      <c r="M41" s="49" t="s">
        <v>238</v>
      </c>
      <c r="N41" s="99">
        <v>1.2866502121850413E-3</v>
      </c>
      <c r="O41" s="99">
        <v>2.0159461161735882E-2</v>
      </c>
      <c r="P41" s="99">
        <v>5.2156394370788471E-2</v>
      </c>
      <c r="Q41" s="99">
        <v>8.2395617827258369E-4</v>
      </c>
      <c r="R41" s="99">
        <v>8.2395617827258369E-4</v>
      </c>
      <c r="S41" s="99">
        <v>4.4205248964324127E-5</v>
      </c>
      <c r="T41" s="99">
        <v>8.0816368485569254E-4</v>
      </c>
      <c r="U41" s="49">
        <v>451.1396255908279</v>
      </c>
      <c r="V41" s="100">
        <v>3.6091170047266243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6.2640334377998884E-4</v>
      </c>
      <c r="E42" s="99">
        <v>1.0705802602785267E-2</v>
      </c>
      <c r="F42" s="99">
        <v>6.8334910230544217E-5</v>
      </c>
      <c r="G42" s="99">
        <v>5.6412746225655242E-6</v>
      </c>
      <c r="H42" s="99">
        <v>5.6412746225655242E-6</v>
      </c>
      <c r="I42" s="99">
        <v>2.2778303410181402E-3</v>
      </c>
      <c r="J42" s="99">
        <v>4.5556606820362803E-3</v>
      </c>
      <c r="K42" s="49">
        <v>281.18883333333309</v>
      </c>
      <c r="L42" s="100">
        <v>277.03333333333336</v>
      </c>
      <c r="M42" s="49" t="s">
        <v>239</v>
      </c>
      <c r="N42" s="99">
        <v>6.2640334377998884E-4</v>
      </c>
      <c r="O42" s="99">
        <v>1.0705802602785267E-2</v>
      </c>
      <c r="P42" s="99">
        <v>6.8334910230544217E-5</v>
      </c>
      <c r="Q42" s="99">
        <v>5.6412746225655242E-6</v>
      </c>
      <c r="R42" s="99">
        <v>5.6412746225655242E-6</v>
      </c>
      <c r="S42" s="99">
        <v>2.2778303410181402E-3</v>
      </c>
      <c r="T42" s="99">
        <v>4.5556606820362803E-3</v>
      </c>
      <c r="U42" s="49">
        <v>281.18883333333309</v>
      </c>
      <c r="V42" s="100">
        <v>277.03333333333336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9.7086916666666648E-3</v>
      </c>
      <c r="E43" s="99">
        <v>0.17652166666666649</v>
      </c>
      <c r="F43" s="99">
        <v>1.0591300000000004E-3</v>
      </c>
      <c r="G43" s="99">
        <v>1.3415646666666666E-2</v>
      </c>
      <c r="H43" s="99">
        <v>1.3415646666666666E-2</v>
      </c>
      <c r="I43" s="99">
        <v>3.5304333333333347E-2</v>
      </c>
      <c r="J43" s="99">
        <v>7.0608666666666695E-2</v>
      </c>
      <c r="K43" s="49">
        <v>3583.3898333333327</v>
      </c>
      <c r="L43" s="100">
        <v>3530.4333333333338</v>
      </c>
      <c r="M43" s="49" t="s">
        <v>239</v>
      </c>
      <c r="N43" s="99">
        <v>9.7086916666666648E-3</v>
      </c>
      <c r="O43" s="99">
        <v>0.17652166666666649</v>
      </c>
      <c r="P43" s="99">
        <v>1.0591300000000004E-3</v>
      </c>
      <c r="Q43" s="99">
        <v>1.3415646666666666E-2</v>
      </c>
      <c r="R43" s="99">
        <v>1.3415646666666666E-2</v>
      </c>
      <c r="S43" s="99">
        <v>3.5304333333333347E-2</v>
      </c>
      <c r="T43" s="99">
        <v>7.0608666666666695E-2</v>
      </c>
      <c r="U43" s="49">
        <v>3583.3898333333327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0.10738937425756083</v>
      </c>
      <c r="E44" s="99">
        <v>5.0687784649568718E-2</v>
      </c>
      <c r="F44" s="99">
        <v>9.9872118059531584E-2</v>
      </c>
      <c r="G44" s="99">
        <v>8.5804110031791114E-2</v>
      </c>
      <c r="H44" s="99">
        <v>8.5804110031791114E-2</v>
      </c>
      <c r="I44" s="99">
        <v>1.359495783413592E-2</v>
      </c>
      <c r="J44" s="99">
        <v>1.4022367543681007</v>
      </c>
      <c r="K44" s="49">
        <v>326.46369774298478</v>
      </c>
      <c r="L44" s="100">
        <v>21.477874851512162</v>
      </c>
      <c r="M44" s="49" t="s">
        <v>237</v>
      </c>
      <c r="N44" s="99">
        <v>9.4350268013146971E-2</v>
      </c>
      <c r="O44" s="99">
        <v>4.4533326502205373E-2</v>
      </c>
      <c r="P44" s="99">
        <v>8.7745749252226654E-2</v>
      </c>
      <c r="Q44" s="99">
        <v>7.5385864142504436E-2</v>
      </c>
      <c r="R44" s="99">
        <v>7.5385864142504436E-2</v>
      </c>
      <c r="S44" s="99">
        <v>1.1944272179124341E-2</v>
      </c>
      <c r="T44" s="99">
        <v>1.2319786245816662</v>
      </c>
      <c r="U44" s="49">
        <v>286.82481475996673</v>
      </c>
      <c r="V44" s="100">
        <v>18.870053602629387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1.346721927659249E-4</v>
      </c>
      <c r="F45" s="99">
        <v>2.6534987133964015E-4</v>
      </c>
      <c r="G45" s="99">
        <v>2.279726313982501E-4</v>
      </c>
      <c r="H45" s="99">
        <v>2.279726313982501E-4</v>
      </c>
      <c r="I45" s="99">
        <v>3.6120394583055649E-5</v>
      </c>
      <c r="J45" s="99">
        <v>3.725597790341238E-3</v>
      </c>
      <c r="K45" s="49">
        <v>13.116826184181894</v>
      </c>
      <c r="L45" s="100">
        <v>0.86738022459409281</v>
      </c>
      <c r="M45" s="49" t="s">
        <v>237</v>
      </c>
      <c r="N45" s="99">
        <v>2.6963315214105558E-4</v>
      </c>
      <c r="O45" s="99">
        <v>1.2726684781057826E-4</v>
      </c>
      <c r="P45" s="99">
        <v>2.5075883149118175E-4</v>
      </c>
      <c r="Q45" s="99">
        <v>2.1543688856070345E-4</v>
      </c>
      <c r="R45" s="99">
        <v>2.1543688856070345E-4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8.7184102008962055E-4</v>
      </c>
      <c r="E46" s="99">
        <v>3.4664180803309314E-5</v>
      </c>
      <c r="F46" s="99">
        <v>7.5569431662724817E-6</v>
      </c>
      <c r="G46" s="99">
        <v>2.4518378092326659E-4</v>
      </c>
      <c r="H46" s="99">
        <v>2.4518378092326659E-4</v>
      </c>
      <c r="I46" s="99">
        <v>8.9777071541156657E-6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7.147361454759143E-4</v>
      </c>
      <c r="O46" s="99">
        <v>2.9083381335906241E-5</v>
      </c>
      <c r="P46" s="99">
        <v>6.1727592489711038E-6</v>
      </c>
      <c r="Q46" s="99">
        <v>2.1102851649953144E-4</v>
      </c>
      <c r="R46" s="99">
        <v>2.1102851649953144E-4</v>
      </c>
      <c r="S46" s="99">
        <v>8.1341904248124664E-6</v>
      </c>
      <c r="T46" s="99">
        <v>1.5343025389261339E-3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3.7226766797913594E-4</v>
      </c>
      <c r="E47" s="101">
        <v>1.9434212261993551E-2</v>
      </c>
      <c r="F47" s="101">
        <v>1.3760960594379906E-2</v>
      </c>
      <c r="G47" s="101">
        <v>1.937348938481727E-3</v>
      </c>
      <c r="H47" s="101">
        <v>1.937348938481727E-3</v>
      </c>
      <c r="I47" s="101">
        <v>1.3544093175893139E-5</v>
      </c>
      <c r="J47" s="101">
        <v>4.6265049277175556E-3</v>
      </c>
      <c r="K47" s="94">
        <v>103.11814403022066</v>
      </c>
      <c r="L47" s="102">
        <v>0.74453533595827182</v>
      </c>
      <c r="M47" s="94" t="s">
        <v>238</v>
      </c>
      <c r="N47" s="101">
        <v>3.7226766797913594E-4</v>
      </c>
      <c r="O47" s="101">
        <v>1.9434212261993551E-2</v>
      </c>
      <c r="P47" s="101">
        <v>1.3760960594379906E-2</v>
      </c>
      <c r="Q47" s="101">
        <v>1.937348938481727E-3</v>
      </c>
      <c r="R47" s="101">
        <v>1.937348938481727E-3</v>
      </c>
      <c r="S47" s="101">
        <v>1.3544093175893139E-5</v>
      </c>
      <c r="T47" s="101">
        <v>4.6265049277175556E-3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7.9204823613315316</v>
      </c>
      <c r="E48" s="103">
        <v>2.3267099545673693</v>
      </c>
      <c r="F48" s="103">
        <v>3.5806275390832654</v>
      </c>
      <c r="G48" s="103">
        <v>2.3170349954737519</v>
      </c>
      <c r="H48" s="103">
        <v>2.3170349954737519</v>
      </c>
      <c r="I48" s="103">
        <v>0.13411545430354163</v>
      </c>
      <c r="J48" s="103">
        <v>24.606119098338159</v>
      </c>
      <c r="K48" s="93">
        <v>46652.150422717787</v>
      </c>
      <c r="L48" s="93"/>
      <c r="M48" s="93"/>
      <c r="N48" s="103">
        <v>7.1433014166657998</v>
      </c>
      <c r="O48" s="103">
        <v>2.1759451953509856</v>
      </c>
      <c r="P48" s="103">
        <v>3.3190206443039534</v>
      </c>
      <c r="Q48" s="103">
        <v>2.064962871095791</v>
      </c>
      <c r="R48" s="103">
        <v>2.064962871095791</v>
      </c>
      <c r="S48" s="103">
        <v>0.12375497948464897</v>
      </c>
      <c r="T48" s="103">
        <v>21.750944159006774</v>
      </c>
      <c r="U48" s="93">
        <v>43551.139582286152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4.5201330749092854</v>
      </c>
      <c r="E50" s="99">
        <v>5.1320288186742981E-2</v>
      </c>
      <c r="F50" s="99">
        <v>7.8954289518066104E-3</v>
      </c>
      <c r="G50" s="99">
        <v>0.68295460433127164</v>
      </c>
      <c r="H50" s="99">
        <v>0.68295460433127164</v>
      </c>
      <c r="I50" s="99">
        <v>3.5529430283129736E-2</v>
      </c>
      <c r="J50" s="99">
        <v>4.9859633830658732</v>
      </c>
      <c r="K50" s="49">
        <v>633.92674323501728</v>
      </c>
      <c r="L50" s="100">
        <v>56.396386923316435</v>
      </c>
      <c r="M50" s="49" t="s">
        <v>237</v>
      </c>
      <c r="N50" s="99">
        <v>4.1702193613308296</v>
      </c>
      <c r="O50" s="99">
        <v>4.7347468731267078E-2</v>
      </c>
      <c r="P50" s="99">
        <v>7.2842259586564711E-3</v>
      </c>
      <c r="Q50" s="99">
        <v>0.63008554542378492</v>
      </c>
      <c r="R50" s="99">
        <v>0.63008554542378492</v>
      </c>
      <c r="S50" s="99">
        <v>3.2779016813954127E-2</v>
      </c>
      <c r="T50" s="99">
        <v>4.5999886928915616</v>
      </c>
      <c r="U50" s="49">
        <v>584.85025878901445</v>
      </c>
      <c r="V50" s="100">
        <v>52.030615196310123</v>
      </c>
      <c r="W50" t="s">
        <v>237</v>
      </c>
      <c r="Y50" s="14">
        <f>N50/$U50*2000</f>
        <v>14.260810519142616</v>
      </c>
      <c r="Z50" s="6">
        <f t="shared" ref="Z50:AE65" si="0">O50/$U50*2000</f>
        <v>0.1619131325317503</v>
      </c>
      <c r="AA50" s="249">
        <f t="shared" si="0"/>
        <v>2.4909712697192343E-2</v>
      </c>
      <c r="AB50" s="6">
        <f t="shared" si="0"/>
        <v>2.1546901483071386</v>
      </c>
      <c r="AC50" s="250">
        <f t="shared" si="0"/>
        <v>2.1546901483071386</v>
      </c>
      <c r="AD50" s="6">
        <f t="shared" si="0"/>
        <v>0.11209370713736558</v>
      </c>
      <c r="AE50" s="14">
        <f t="shared" si="0"/>
        <v>15.730483568276966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9.7861214292882012E-2</v>
      </c>
      <c r="E51" s="99">
        <v>5.1700264154730105E-3</v>
      </c>
      <c r="F51" s="99">
        <v>7.3857520221043014E-4</v>
      </c>
      <c r="G51" s="99">
        <v>5.6501002969097901E-2</v>
      </c>
      <c r="H51" s="99">
        <v>5.6501002969097901E-2</v>
      </c>
      <c r="I51" s="99">
        <v>3.1389446093943291E-3</v>
      </c>
      <c r="J51" s="99">
        <v>0.42615789167541829</v>
      </c>
      <c r="K51" s="49">
        <v>59.2899395861728</v>
      </c>
      <c r="L51" s="100">
        <v>5.2755807353943949</v>
      </c>
      <c r="M51" s="49" t="s">
        <v>237</v>
      </c>
      <c r="N51" s="99">
        <v>8.5174516262780775E-2</v>
      </c>
      <c r="O51" s="99">
        <v>4.4997857648261539E-3</v>
      </c>
      <c r="P51" s="99">
        <v>6.4282653783230776E-4</v>
      </c>
      <c r="Q51" s="99">
        <v>4.9176230144171558E-2</v>
      </c>
      <c r="R51" s="99">
        <v>4.9176230144171558E-2</v>
      </c>
      <c r="S51" s="99">
        <v>2.7320127857873092E-3</v>
      </c>
      <c r="T51" s="99">
        <v>0.3709109123292415</v>
      </c>
      <c r="U51" s="49">
        <v>51.603325901644524</v>
      </c>
      <c r="V51" s="100">
        <v>4.5916560548456866</v>
      </c>
      <c r="W51" t="s">
        <v>237</v>
      </c>
      <c r="Y51" s="14">
        <f t="shared" ref="Y51:AE70" si="1">N51/$U51*2000</f>
        <v>3.3011250641139931</v>
      </c>
      <c r="Z51" s="6">
        <f t="shared" si="0"/>
        <v>0.17439905999092792</v>
      </c>
      <c r="AA51" s="249">
        <f t="shared" si="0"/>
        <v>2.4914151427275419E-2</v>
      </c>
      <c r="AB51" s="6">
        <f t="shared" si="0"/>
        <v>1.9059325841865702</v>
      </c>
      <c r="AC51" s="250">
        <f t="shared" si="0"/>
        <v>1.9059325841865702</v>
      </c>
      <c r="AD51" s="6">
        <f t="shared" si="0"/>
        <v>0.10588514356592058</v>
      </c>
      <c r="AE51" s="14">
        <f t="shared" si="0"/>
        <v>14.375465373537915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4.6650248245901367E-2</v>
      </c>
      <c r="E52" s="99">
        <v>7.7750413743168977E-3</v>
      </c>
      <c r="F52" s="99">
        <v>1.5550082748633793E-3</v>
      </c>
      <c r="G52" s="99">
        <v>4.6650248245901367E-2</v>
      </c>
      <c r="H52" s="99">
        <v>4.6650248245901367E-2</v>
      </c>
      <c r="I52" s="99">
        <v>3.4987686184426042E-3</v>
      </c>
      <c r="J52" s="99">
        <v>0.54736291275190962</v>
      </c>
      <c r="K52" s="49">
        <v>124.83000566052118</v>
      </c>
      <c r="L52" s="100">
        <v>11.10729371050669</v>
      </c>
      <c r="M52" s="49" t="s">
        <v>237</v>
      </c>
      <c r="N52" s="99">
        <v>4.06025242645318E-2</v>
      </c>
      <c r="O52" s="99">
        <v>6.7670873774219667E-3</v>
      </c>
      <c r="P52" s="99">
        <v>1.3534174754843934E-3</v>
      </c>
      <c r="Q52" s="99">
        <v>4.06025242645318E-2</v>
      </c>
      <c r="R52" s="99">
        <v>4.06025242645318E-2</v>
      </c>
      <c r="S52" s="99">
        <v>3.0451893198398853E-3</v>
      </c>
      <c r="T52" s="99">
        <v>0.47640295137050642</v>
      </c>
      <c r="U52" s="49">
        <v>108.64648386159396</v>
      </c>
      <c r="V52" s="100">
        <v>9.667347535149549</v>
      </c>
      <c r="W52" t="s">
        <v>237</v>
      </c>
      <c r="Y52" s="14">
        <f t="shared" si="1"/>
        <v>0.74742454281826243</v>
      </c>
      <c r="Z52" s="6">
        <f t="shared" si="0"/>
        <v>0.12457075713637707</v>
      </c>
      <c r="AA52" s="249">
        <f t="shared" si="0"/>
        <v>2.4914151427275419E-2</v>
      </c>
      <c r="AB52" s="6">
        <f t="shared" si="0"/>
        <v>0.74742454281826243</v>
      </c>
      <c r="AC52" s="250">
        <f t="shared" si="0"/>
        <v>0.74742454281826243</v>
      </c>
      <c r="AD52" s="6">
        <f t="shared" si="0"/>
        <v>5.6056840711369689E-2</v>
      </c>
      <c r="AE52" s="14">
        <f t="shared" si="0"/>
        <v>8.7697813024009452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3.5108581352742224E-2</v>
      </c>
      <c r="E53" s="99">
        <v>4.6811441803656321E-3</v>
      </c>
      <c r="F53" s="99">
        <v>9.3622883607312609E-4</v>
      </c>
      <c r="G53" s="99">
        <v>3.0427437172376597E-2</v>
      </c>
      <c r="H53" s="99">
        <v>3.0427437172376597E-2</v>
      </c>
      <c r="I53" s="99">
        <v>2.1065148811645344E-3</v>
      </c>
      <c r="J53" s="99">
        <v>0.25044121364956135</v>
      </c>
      <c r="K53" s="49">
        <v>75.156803211751054</v>
      </c>
      <c r="L53" s="100">
        <v>6.687404067623798</v>
      </c>
      <c r="M53" s="49" t="s">
        <v>237</v>
      </c>
      <c r="N53" s="99">
        <v>3.055711555389734E-2</v>
      </c>
      <c r="O53" s="99">
        <v>4.0742820738529787E-3</v>
      </c>
      <c r="P53" s="99">
        <v>8.1485641477059556E-4</v>
      </c>
      <c r="Q53" s="99">
        <v>2.6482833480044356E-2</v>
      </c>
      <c r="R53" s="99">
        <v>2.6482833480044356E-2</v>
      </c>
      <c r="S53" s="99">
        <v>1.83342693323384E-3</v>
      </c>
      <c r="T53" s="99">
        <v>0.21797409095113437</v>
      </c>
      <c r="U53" s="49">
        <v>65.413138163598873</v>
      </c>
      <c r="V53" s="100">
        <v>5.8204510400709335</v>
      </c>
      <c r="W53" t="s">
        <v>237</v>
      </c>
      <c r="Y53" s="14">
        <f t="shared" si="1"/>
        <v>0.93428067852282848</v>
      </c>
      <c r="Z53" s="6">
        <f t="shared" si="0"/>
        <v>0.12457075713637712</v>
      </c>
      <c r="AA53" s="249">
        <f t="shared" si="0"/>
        <v>2.4914151427275422E-2</v>
      </c>
      <c r="AB53" s="6">
        <f t="shared" si="0"/>
        <v>0.80970992138645115</v>
      </c>
      <c r="AC53" s="250">
        <f t="shared" si="0"/>
        <v>0.80970992138645115</v>
      </c>
      <c r="AD53" s="6">
        <f t="shared" si="0"/>
        <v>5.6056840711369696E-2</v>
      </c>
      <c r="AE53" s="14">
        <f t="shared" si="0"/>
        <v>6.6645355067961773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1.9860170782360564</v>
      </c>
      <c r="E54" s="99">
        <v>5.4414718296793327E-2</v>
      </c>
      <c r="F54" s="99">
        <v>1.4988808137630609E-2</v>
      </c>
      <c r="G54" s="99">
        <v>0.45498637214707049</v>
      </c>
      <c r="H54" s="99">
        <v>0.45498637214707049</v>
      </c>
      <c r="I54" s="99">
        <v>1.487746172419354E-2</v>
      </c>
      <c r="J54" s="99">
        <v>4.5405087508374491</v>
      </c>
      <c r="K54" s="49">
        <v>1203.243117680054</v>
      </c>
      <c r="L54" s="100">
        <v>107.06379962493968</v>
      </c>
      <c r="M54" s="49" t="s">
        <v>237</v>
      </c>
      <c r="N54" s="99">
        <v>1.7285504287951723</v>
      </c>
      <c r="O54" s="99">
        <v>4.7360410781679491E-2</v>
      </c>
      <c r="P54" s="99">
        <v>1.3045663613548463E-2</v>
      </c>
      <c r="Q54" s="99">
        <v>0.39600207736849047</v>
      </c>
      <c r="R54" s="99">
        <v>0.39600207736849047</v>
      </c>
      <c r="S54" s="99">
        <v>1.2948752115253393E-2</v>
      </c>
      <c r="T54" s="99">
        <v>3.9518785785967112</v>
      </c>
      <c r="U54" s="49">
        <v>1047.249283334321</v>
      </c>
      <c r="V54" s="100">
        <v>93.184081233833737</v>
      </c>
      <c r="W54" t="s">
        <v>237</v>
      </c>
      <c r="Y54" s="14">
        <f t="shared" si="1"/>
        <v>3.301125064113994</v>
      </c>
      <c r="Z54" s="6">
        <f t="shared" si="0"/>
        <v>9.0447253648891321E-2</v>
      </c>
      <c r="AA54" s="249">
        <f t="shared" si="0"/>
        <v>2.4914151427275412E-2</v>
      </c>
      <c r="AB54" s="6">
        <f t="shared" si="0"/>
        <v>0.75627089685402404</v>
      </c>
      <c r="AC54" s="250">
        <f t="shared" si="0"/>
        <v>0.75627089685402404</v>
      </c>
      <c r="AD54" s="6">
        <f t="shared" si="0"/>
        <v>2.4729073242286799E-2</v>
      </c>
      <c r="AE54" s="14">
        <f t="shared" si="0"/>
        <v>7.5471592895521216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0.94673043237570609</v>
      </c>
      <c r="E55" s="99">
        <v>0.12692812036986256</v>
      </c>
      <c r="F55" s="99">
        <v>3.1557681079190207E-2</v>
      </c>
      <c r="G55" s="99">
        <v>0.62524643873741625</v>
      </c>
      <c r="H55" s="99">
        <v>0.62524643873741625</v>
      </c>
      <c r="I55" s="99">
        <v>1.9703175171792788E-2</v>
      </c>
      <c r="J55" s="99">
        <v>9.7545540521068084</v>
      </c>
      <c r="K55" s="49">
        <v>2533.3276815484091</v>
      </c>
      <c r="L55" s="100">
        <v>225.41386964636015</v>
      </c>
      <c r="M55" s="49" t="s">
        <v>237</v>
      </c>
      <c r="N55" s="99">
        <v>0.82399658732539605</v>
      </c>
      <c r="O55" s="99">
        <v>0.11047319748446451</v>
      </c>
      <c r="P55" s="99">
        <v>2.7466552910846539E-2</v>
      </c>
      <c r="Q55" s="99">
        <v>0.54418968075648921</v>
      </c>
      <c r="R55" s="99">
        <v>0.54418968075648921</v>
      </c>
      <c r="S55" s="99">
        <v>1.7148861540545478E-2</v>
      </c>
      <c r="T55" s="99">
        <v>8.4899766342647673</v>
      </c>
      <c r="U55" s="49">
        <v>2204.8957188866416</v>
      </c>
      <c r="V55" s="100">
        <v>196.19128420570527</v>
      </c>
      <c r="W55" t="s">
        <v>237</v>
      </c>
      <c r="Y55" s="14">
        <f t="shared" si="1"/>
        <v>0.74742454281826232</v>
      </c>
      <c r="Z55" s="6">
        <f t="shared" si="0"/>
        <v>0.10020718579856264</v>
      </c>
      <c r="AA55" s="249">
        <f t="shared" si="0"/>
        <v>2.4914151427275419E-2</v>
      </c>
      <c r="AB55" s="6">
        <f t="shared" si="0"/>
        <v>0.49361942707320139</v>
      </c>
      <c r="AC55" s="250">
        <f t="shared" si="0"/>
        <v>0.49361942707320139</v>
      </c>
      <c r="AD55" s="6">
        <f t="shared" si="0"/>
        <v>1.5555258594456131E-2</v>
      </c>
      <c r="AE55" s="14">
        <f t="shared" si="0"/>
        <v>7.7010232833612351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0.71250129750594737</v>
      </c>
      <c r="E56" s="99">
        <v>7.6420021886550171E-2</v>
      </c>
      <c r="F56" s="99">
        <v>1.9000034600158606E-2</v>
      </c>
      <c r="G56" s="99">
        <v>0.4176982872440721</v>
      </c>
      <c r="H56" s="99">
        <v>0.4176982872440721</v>
      </c>
      <c r="I56" s="99">
        <v>1.1862754080619393E-2</v>
      </c>
      <c r="J56" s="99">
        <v>5.8729557483664978</v>
      </c>
      <c r="K56" s="49">
        <v>1525.24874949381</v>
      </c>
      <c r="L56" s="100">
        <v>135.71565388119402</v>
      </c>
      <c r="M56" s="49" t="s">
        <v>237</v>
      </c>
      <c r="N56" s="99">
        <v>0.62013284619631825</v>
      </c>
      <c r="O56" s="99">
        <v>6.6512953512896142E-2</v>
      </c>
      <c r="P56" s="99">
        <v>1.653687589856848E-2</v>
      </c>
      <c r="Q56" s="99">
        <v>0.36354800844110946</v>
      </c>
      <c r="R56" s="99">
        <v>0.36354800844110946</v>
      </c>
      <c r="S56" s="99">
        <v>1.0324870252857445E-2</v>
      </c>
      <c r="T56" s="99">
        <v>5.11158755298848</v>
      </c>
      <c r="U56" s="49">
        <v>1327.5086608379775</v>
      </c>
      <c r="V56" s="100">
        <v>118.1215178264805</v>
      </c>
      <c r="W56" t="s">
        <v>237</v>
      </c>
      <c r="Y56" s="14">
        <f t="shared" si="1"/>
        <v>0.93428067852282815</v>
      </c>
      <c r="Z56" s="6">
        <f t="shared" si="0"/>
        <v>0.10020718579856264</v>
      </c>
      <c r="AA56" s="249">
        <f t="shared" si="0"/>
        <v>2.4914151427275405E-2</v>
      </c>
      <c r="AB56" s="6">
        <f t="shared" si="0"/>
        <v>0.54771470675245637</v>
      </c>
      <c r="AC56" s="250">
        <f t="shared" si="0"/>
        <v>0.54771470675245637</v>
      </c>
      <c r="AD56" s="6">
        <f t="shared" si="0"/>
        <v>1.5555258594456124E-2</v>
      </c>
      <c r="AE56" s="14">
        <f t="shared" si="0"/>
        <v>7.7010232833612369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1.1938625425161553E-2</v>
      </c>
      <c r="E57" s="99">
        <v>2.084855901103827E-2</v>
      </c>
      <c r="F57" s="99">
        <v>1.666218502380681E-3</v>
      </c>
      <c r="G57" s="99">
        <v>1.5412521147021305E-2</v>
      </c>
      <c r="H57" s="99">
        <v>1.5412521147021305E-2</v>
      </c>
      <c r="I57" s="99">
        <v>3.7427433109726063E-4</v>
      </c>
      <c r="J57" s="99">
        <v>5.1715256767640397E-2</v>
      </c>
      <c r="K57" s="49">
        <v>159.73105561476771</v>
      </c>
      <c r="L57" s="100">
        <v>14.212766714338185</v>
      </c>
      <c r="M57" s="49" t="s">
        <v>237</v>
      </c>
      <c r="N57" s="99">
        <v>1.0390905659389854E-2</v>
      </c>
      <c r="O57" s="99">
        <v>1.8145758167547949E-2</v>
      </c>
      <c r="P57" s="99">
        <v>1.4502104429608754E-3</v>
      </c>
      <c r="Q57" s="99">
        <v>1.3414446597388096E-2</v>
      </c>
      <c r="R57" s="99">
        <v>1.3414446597388096E-2</v>
      </c>
      <c r="S57" s="99">
        <v>3.2575352075008674E-4</v>
      </c>
      <c r="T57" s="99">
        <v>4.5010906623398163E-2</v>
      </c>
      <c r="U57" s="49">
        <v>139.02280516785788</v>
      </c>
      <c r="V57" s="100">
        <v>12.370227964129793</v>
      </c>
      <c r="W57" t="s">
        <v>237</v>
      </c>
      <c r="Y57" s="14">
        <f t="shared" si="1"/>
        <v>0.14948490856365249</v>
      </c>
      <c r="Z57" s="6">
        <f t="shared" si="0"/>
        <v>0.26104721661512342</v>
      </c>
      <c r="AA57" s="249">
        <f t="shared" si="0"/>
        <v>2.0862914414795083E-2</v>
      </c>
      <c r="AB57" s="6">
        <f t="shared" si="0"/>
        <v>0.1929819583368545</v>
      </c>
      <c r="AC57" s="250">
        <f t="shared" si="0"/>
        <v>0.1929819583368545</v>
      </c>
      <c r="AD57" s="6">
        <f t="shared" si="0"/>
        <v>4.686332150423347E-3</v>
      </c>
      <c r="AE57" s="14">
        <f t="shared" si="0"/>
        <v>0.64753270614920233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4.0269354594792743E-2</v>
      </c>
      <c r="E58" s="99">
        <v>7.0322837488186019E-2</v>
      </c>
      <c r="F58" s="99">
        <v>5.6202067922626192E-3</v>
      </c>
      <c r="G58" s="99">
        <v>5.1986912828429259E-2</v>
      </c>
      <c r="H58" s="99">
        <v>5.1986912828429259E-2</v>
      </c>
      <c r="I58" s="99">
        <v>1.2624389507119912E-3</v>
      </c>
      <c r="J58" s="99">
        <v>0.17443716831485109</v>
      </c>
      <c r="K58" s="49">
        <v>538.77781480564408</v>
      </c>
      <c r="L58" s="100">
        <v>47.940103840305142</v>
      </c>
      <c r="M58" s="49" t="s">
        <v>237</v>
      </c>
      <c r="N58" s="99">
        <v>3.5048847723886632E-2</v>
      </c>
      <c r="O58" s="99">
        <v>6.1206206243836242E-2</v>
      </c>
      <c r="P58" s="99">
        <v>4.8916048946122887E-3</v>
      </c>
      <c r="Q58" s="99">
        <v>4.5247345275163664E-2</v>
      </c>
      <c r="R58" s="99">
        <v>4.5247345275163664E-2</v>
      </c>
      <c r="S58" s="99">
        <v>1.0987767494522853E-3</v>
      </c>
      <c r="T58" s="99">
        <v>0.15182318691652891</v>
      </c>
      <c r="U58" s="49">
        <v>468.92824246485605</v>
      </c>
      <c r="V58" s="100">
        <v>41.725163372333803</v>
      </c>
      <c r="W58" t="s">
        <v>237</v>
      </c>
      <c r="Y58" s="14">
        <f t="shared" si="1"/>
        <v>0.14948490856365249</v>
      </c>
      <c r="Z58" s="6">
        <f t="shared" si="0"/>
        <v>0.26104721661512359</v>
      </c>
      <c r="AA58" s="249">
        <f t="shared" si="0"/>
        <v>2.0862914414795101E-2</v>
      </c>
      <c r="AB58" s="6">
        <f t="shared" si="0"/>
        <v>0.19298195833685464</v>
      </c>
      <c r="AC58" s="250">
        <f t="shared" si="0"/>
        <v>0.19298195833685464</v>
      </c>
      <c r="AD58" s="6">
        <f t="shared" si="0"/>
        <v>4.6863321504233488E-3</v>
      </c>
      <c r="AE58" s="14">
        <f t="shared" si="0"/>
        <v>0.647532706149203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1.1309430905995306</v>
      </c>
      <c r="E59" s="99">
        <v>4.0174225104091035E-2</v>
      </c>
      <c r="F59" s="99">
        <v>9.9642563048416791E-3</v>
      </c>
      <c r="G59" s="99">
        <v>0.245871812714926</v>
      </c>
      <c r="H59" s="99">
        <v>0.245871812714926</v>
      </c>
      <c r="I59" s="99">
        <v>6.0721821595683175E-3</v>
      </c>
      <c r="J59" s="99">
        <v>1.508854113578932</v>
      </c>
      <c r="K59" s="49">
        <v>799.61294702327291</v>
      </c>
      <c r="L59" s="100">
        <v>71.173847222368224</v>
      </c>
      <c r="M59" s="49" t="s">
        <v>237</v>
      </c>
      <c r="N59" s="99">
        <v>1.034037532370184</v>
      </c>
      <c r="O59" s="99">
        <v>3.6731871777470892E-2</v>
      </c>
      <c r="P59" s="99">
        <v>9.1104628402659382E-3</v>
      </c>
      <c r="Q59" s="99">
        <v>0.22480413436572588</v>
      </c>
      <c r="R59" s="99">
        <v>0.22480413436572588</v>
      </c>
      <c r="S59" s="99">
        <v>5.5518834754574205E-3</v>
      </c>
      <c r="T59" s="99">
        <v>1.3795670155999344</v>
      </c>
      <c r="U59" s="49">
        <v>731.09738665272243</v>
      </c>
      <c r="V59" s="100">
        <v>65.075272100646146</v>
      </c>
      <c r="W59" t="s">
        <v>237</v>
      </c>
      <c r="Y59" s="14">
        <f t="shared" si="1"/>
        <v>2.828727201732868</v>
      </c>
      <c r="Z59" s="6">
        <f t="shared" si="0"/>
        <v>0.10048421030649601</v>
      </c>
      <c r="AA59" s="249">
        <f t="shared" si="0"/>
        <v>2.4922706623197073E-2</v>
      </c>
      <c r="AB59" s="6">
        <f t="shared" si="0"/>
        <v>0.61497726149720133</v>
      </c>
      <c r="AC59" s="250">
        <f t="shared" si="0"/>
        <v>0.61497726149720133</v>
      </c>
      <c r="AD59" s="6">
        <f t="shared" si="0"/>
        <v>1.5187808291522763E-2</v>
      </c>
      <c r="AE59" s="14">
        <f t="shared" si="0"/>
        <v>3.7739623770676687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8.5154698810070581E-2</v>
      </c>
      <c r="E60" s="99">
        <v>1.3342187543618484</v>
      </c>
      <c r="F60" s="99">
        <v>3.4518799372218272</v>
      </c>
      <c r="G60" s="99">
        <v>5.4532101676914788E-2</v>
      </c>
      <c r="H60" s="99">
        <v>5.4532101676914788E-2</v>
      </c>
      <c r="I60" s="99">
        <v>2.9256472549664793E-3</v>
      </c>
      <c r="J60" s="99">
        <v>5.3486903061440605E-2</v>
      </c>
      <c r="K60" s="49">
        <v>32057.975910079753</v>
      </c>
      <c r="L60" s="100">
        <v>238.86311026667764</v>
      </c>
      <c r="M60" s="49" t="s">
        <v>238</v>
      </c>
      <c r="N60" s="99">
        <v>7.8626370890034769E-2</v>
      </c>
      <c r="O60" s="99">
        <v>1.2319317676511896</v>
      </c>
      <c r="P60" s="99">
        <v>3.1872438750235581</v>
      </c>
      <c r="Q60" s="99">
        <v>5.0351434645143987E-2</v>
      </c>
      <c r="R60" s="99">
        <v>5.0351434645143987E-2</v>
      </c>
      <c r="S60" s="99">
        <v>2.7013544687119759E-3</v>
      </c>
      <c r="T60" s="99">
        <v>4.9386365481112089E-2</v>
      </c>
      <c r="U60" s="49">
        <v>29600.272669764145</v>
      </c>
      <c r="V60" s="100">
        <v>220.55082998607227</v>
      </c>
      <c r="W60" t="s">
        <v>238</v>
      </c>
      <c r="Y60" s="14">
        <f t="shared" si="1"/>
        <v>5.3125436895281996E-3</v>
      </c>
      <c r="Z60" s="6">
        <f t="shared" si="0"/>
        <v>8.323786617746759E-2</v>
      </c>
      <c r="AA60" s="249">
        <f t="shared" si="0"/>
        <v>0.215352332093835</v>
      </c>
      <c r="AB60" s="6">
        <f t="shared" si="0"/>
        <v>3.4020926230572584E-3</v>
      </c>
      <c r="AC60" s="250">
        <f t="shared" si="0"/>
        <v>3.4020926230572584E-3</v>
      </c>
      <c r="AD60" s="6">
        <f t="shared" si="0"/>
        <v>1.8252226922702198E-4</v>
      </c>
      <c r="AE60" s="14">
        <f t="shared" si="0"/>
        <v>3.3368858477819965E-3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2.499079719385491E-2</v>
      </c>
      <c r="E61" s="99">
        <v>0.63090371597389694</v>
      </c>
      <c r="F61" s="99">
        <v>0.44595078661550475</v>
      </c>
      <c r="G61" s="99">
        <v>1.6003822602931754E-2</v>
      </c>
      <c r="H61" s="99">
        <v>1.6003822602931754E-2</v>
      </c>
      <c r="I61" s="99">
        <v>8.5860508264728888E-4</v>
      </c>
      <c r="J61" s="99">
        <v>1.5697082669708901E-2</v>
      </c>
      <c r="K61" s="49">
        <v>9708.9071847094165</v>
      </c>
      <c r="L61" s="100">
        <v>72.340804482949494</v>
      </c>
      <c r="M61" s="49" t="s">
        <v>238</v>
      </c>
      <c r="N61" s="99">
        <v>2.4541732681403153E-2</v>
      </c>
      <c r="O61" s="99">
        <v>0.61956688396249193</v>
      </c>
      <c r="P61" s="99">
        <v>0.43793740989064345</v>
      </c>
      <c r="Q61" s="99">
        <v>1.5716246790971777E-2</v>
      </c>
      <c r="R61" s="99">
        <v>1.5716246790971777E-2</v>
      </c>
      <c r="S61" s="99">
        <v>8.4317664033563603E-4</v>
      </c>
      <c r="T61" s="99">
        <v>1.541501872747816E-2</v>
      </c>
      <c r="U61" s="49">
        <v>9534.4459365339044</v>
      </c>
      <c r="V61" s="100">
        <v>71.040898447799421</v>
      </c>
      <c r="W61" t="s">
        <v>238</v>
      </c>
      <c r="Y61" s="14">
        <f t="shared" si="1"/>
        <v>5.1480144404332127E-3</v>
      </c>
      <c r="Z61" s="6">
        <f t="shared" si="0"/>
        <v>0.1299638989169675</v>
      </c>
      <c r="AA61" s="249">
        <f t="shared" si="0"/>
        <v>9.1864259927797884E-2</v>
      </c>
      <c r="AB61" s="6">
        <f t="shared" si="0"/>
        <v>3.2967299611507722E-3</v>
      </c>
      <c r="AC61" s="250">
        <f t="shared" si="0"/>
        <v>3.2967299611507722E-3</v>
      </c>
      <c r="AD61" s="6">
        <f t="shared" si="0"/>
        <v>1.7686956241573897E-4</v>
      </c>
      <c r="AE61" s="14">
        <f t="shared" si="0"/>
        <v>3.2335426368953839E-3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5.6546677906591707E-4</v>
      </c>
      <c r="E62" s="99">
        <v>1.427545865804559E-2</v>
      </c>
      <c r="F62" s="99">
        <v>2.2922087178966665E-2</v>
      </c>
      <c r="G62" s="99">
        <v>3.1723241462323551E-4</v>
      </c>
      <c r="H62" s="99">
        <v>3.1723241462323551E-4</v>
      </c>
      <c r="I62" s="99">
        <v>1.9427657581630582E-5</v>
      </c>
      <c r="J62" s="99">
        <v>3.5517789645199145E-4</v>
      </c>
      <c r="K62" s="49">
        <v>217.29627320655067</v>
      </c>
      <c r="L62" s="100">
        <v>1.5861620731161776</v>
      </c>
      <c r="M62" s="49" t="s">
        <v>238</v>
      </c>
      <c r="N62" s="99">
        <v>5.3391321081434039E-4</v>
      </c>
      <c r="O62" s="99">
        <v>1.3478874887318547E-2</v>
      </c>
      <c r="P62" s="99">
        <v>2.1643013555110488E-2</v>
      </c>
      <c r="Q62" s="99">
        <v>2.9953055305152325E-4</v>
      </c>
      <c r="R62" s="99">
        <v>2.9953055305152325E-4</v>
      </c>
      <c r="S62" s="99">
        <v>1.8343576354997139E-5</v>
      </c>
      <c r="T62" s="99">
        <v>3.3535864196694061E-4</v>
      </c>
      <c r="U62" s="49">
        <v>205.17094057646713</v>
      </c>
      <c r="V62" s="100">
        <v>1.4976527652576164</v>
      </c>
      <c r="W62" t="s">
        <v>238</v>
      </c>
      <c r="Y62" s="14">
        <f t="shared" si="1"/>
        <v>5.2045695098361273E-3</v>
      </c>
      <c r="Z62" s="6">
        <f t="shared" si="0"/>
        <v>0.13139165662980401</v>
      </c>
      <c r="AA62" s="249">
        <f t="shared" si="0"/>
        <v>0.2109754285309634</v>
      </c>
      <c r="AB62" s="6">
        <f t="shared" si="0"/>
        <v>2.9198145917734225E-3</v>
      </c>
      <c r="AC62" s="250">
        <f t="shared" si="0"/>
        <v>2.9198145917734225E-3</v>
      </c>
      <c r="AD62" s="6">
        <f t="shared" si="0"/>
        <v>1.7881261647928641E-4</v>
      </c>
      <c r="AE62" s="14">
        <f t="shared" si="0"/>
        <v>3.2690656973612944E-3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2.1965277380011959E-3</v>
      </c>
      <c r="E63" s="99">
        <v>3.4415581799587314E-2</v>
      </c>
      <c r="F63" s="99">
        <v>8.9039714029977748E-2</v>
      </c>
      <c r="G63" s="99">
        <v>1.4066314087024794E-3</v>
      </c>
      <c r="H63" s="99">
        <v>1.4066314087024794E-3</v>
      </c>
      <c r="I63" s="99">
        <v>7.5465775076888044E-5</v>
      </c>
      <c r="J63" s="99">
        <v>1.3796709733690151E-3</v>
      </c>
      <c r="K63" s="49">
        <v>770.17101612945135</v>
      </c>
      <c r="L63" s="100">
        <v>6.1613681290356146</v>
      </c>
      <c r="M63" s="49" t="s">
        <v>238</v>
      </c>
      <c r="N63" s="99">
        <v>1.8197705960856173E-3</v>
      </c>
      <c r="O63" s="99">
        <v>2.851248482892331E-2</v>
      </c>
      <c r="P63" s="99">
        <v>7.3767269437294641E-2</v>
      </c>
      <c r="Q63" s="99">
        <v>1.1653604153510897E-3</v>
      </c>
      <c r="R63" s="99">
        <v>1.1653604153510897E-3</v>
      </c>
      <c r="S63" s="99">
        <v>6.2521586283585949E-5</v>
      </c>
      <c r="T63" s="99">
        <v>1.1430243407235265E-3</v>
      </c>
      <c r="U63" s="49">
        <v>638.06823144656983</v>
      </c>
      <c r="V63" s="100">
        <v>5.1045458515725617</v>
      </c>
      <c r="W63" t="s">
        <v>238</v>
      </c>
      <c r="Y63" s="14">
        <f t="shared" si="1"/>
        <v>5.7040000000000007E-3</v>
      </c>
      <c r="Z63" s="6">
        <f t="shared" si="0"/>
        <v>8.9371272298833682E-2</v>
      </c>
      <c r="AA63" s="249">
        <f t="shared" si="0"/>
        <v>0.23122063065279477</v>
      </c>
      <c r="AB63" s="6">
        <f t="shared" si="0"/>
        <v>3.6527767969550574E-3</v>
      </c>
      <c r="AC63" s="250">
        <f t="shared" si="0"/>
        <v>3.6527767969550574E-3</v>
      </c>
      <c r="AD63" s="6">
        <f t="shared" si="0"/>
        <v>1.9597147515663875E-4</v>
      </c>
      <c r="AE63" s="14">
        <f t="shared" si="0"/>
        <v>3.5827652416800834E-3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6.4990552711092716E-4</v>
      </c>
      <c r="E64" s="99">
        <v>1.1107476281532221E-2</v>
      </c>
      <c r="F64" s="99">
        <v>7.089878477573757E-5</v>
      </c>
      <c r="G64" s="99">
        <v>5.8529310125197154E-6</v>
      </c>
      <c r="H64" s="99">
        <v>5.8529310125197154E-6</v>
      </c>
      <c r="I64" s="99">
        <v>2.363292825857918E-3</v>
      </c>
      <c r="J64" s="99">
        <v>4.726585651715836E-3</v>
      </c>
      <c r="K64" s="49">
        <v>291.73882732240412</v>
      </c>
      <c r="L64" s="100">
        <v>287.42741608118655</v>
      </c>
      <c r="M64" s="49" t="s">
        <v>239</v>
      </c>
      <c r="N64" s="99">
        <v>6.4990552711092716E-4</v>
      </c>
      <c r="O64" s="99">
        <v>1.1107476281532221E-2</v>
      </c>
      <c r="P64" s="99">
        <v>7.089878477573757E-5</v>
      </c>
      <c r="Q64" s="99">
        <v>5.8529310125197154E-6</v>
      </c>
      <c r="R64" s="99">
        <v>5.8529310125197154E-6</v>
      </c>
      <c r="S64" s="99">
        <v>2.363292825857918E-3</v>
      </c>
      <c r="T64" s="99">
        <v>4.726585651715836E-3</v>
      </c>
      <c r="U64" s="49">
        <v>291.73882732240412</v>
      </c>
      <c r="V64" s="100">
        <v>287.42741608118655</v>
      </c>
      <c r="W64" t="s">
        <v>239</v>
      </c>
      <c r="Y64" s="14">
        <f t="shared" si="1"/>
        <v>4.4553927434054482E-3</v>
      </c>
      <c r="Z64" s="6">
        <f t="shared" si="0"/>
        <v>7.6146712341838646E-2</v>
      </c>
      <c r="AA64" s="249">
        <f t="shared" si="0"/>
        <v>4.8604284473514019E-4</v>
      </c>
      <c r="AB64" s="6">
        <f t="shared" si="0"/>
        <v>4.012445697570156E-5</v>
      </c>
      <c r="AC64" s="250">
        <f t="shared" si="0"/>
        <v>4.012445697570156E-5</v>
      </c>
      <c r="AD64" s="6">
        <f t="shared" si="0"/>
        <v>1.6201428157838E-2</v>
      </c>
      <c r="AE64" s="14">
        <f t="shared" si="0"/>
        <v>3.2402856315676E-2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7.2943884387197486E-3</v>
      </c>
      <c r="E65" s="99">
        <v>0.13262524434035905</v>
      </c>
      <c r="F65" s="99">
        <v>7.9575146604215531E-4</v>
      </c>
      <c r="G65" s="99">
        <v>1.0079518569867291E-2</v>
      </c>
      <c r="H65" s="99">
        <v>1.0079518569867291E-2</v>
      </c>
      <c r="I65" s="99">
        <v>2.6525048868071832E-2</v>
      </c>
      <c r="J65" s="99">
        <v>5.3050097736143664E-2</v>
      </c>
      <c r="K65" s="49">
        <v>2692.2924601092905</v>
      </c>
      <c r="L65" s="100">
        <v>2652.5048868071826</v>
      </c>
      <c r="M65" s="49" t="s">
        <v>239</v>
      </c>
      <c r="N65" s="99">
        <v>7.2943884387197486E-3</v>
      </c>
      <c r="O65" s="99">
        <v>0.13262524434035905</v>
      </c>
      <c r="P65" s="99">
        <v>7.9575146604215531E-4</v>
      </c>
      <c r="Q65" s="99">
        <v>1.0079518569867291E-2</v>
      </c>
      <c r="R65" s="99">
        <v>1.0079518569867291E-2</v>
      </c>
      <c r="S65" s="99">
        <v>2.6525048868071832E-2</v>
      </c>
      <c r="T65" s="99">
        <v>5.3050097736143664E-2</v>
      </c>
      <c r="U65" s="49">
        <v>2692.2924601092905</v>
      </c>
      <c r="V65" s="100">
        <v>2652.5048868071826</v>
      </c>
      <c r="W65" t="s">
        <v>239</v>
      </c>
      <c r="Y65" s="14">
        <f t="shared" si="1"/>
        <v>5.4187192118226564E-3</v>
      </c>
      <c r="Z65" s="6">
        <f t="shared" si="0"/>
        <v>9.8522167487684664E-2</v>
      </c>
      <c r="AA65" s="249">
        <f t="shared" si="0"/>
        <v>5.9113300492610876E-4</v>
      </c>
      <c r="AB65" s="6">
        <f t="shared" si="0"/>
        <v>7.4876847290640371E-3</v>
      </c>
      <c r="AC65" s="250">
        <f t="shared" si="0"/>
        <v>7.4876847290640371E-3</v>
      </c>
      <c r="AD65" s="6">
        <f t="shared" si="0"/>
        <v>1.970443349753695E-2</v>
      </c>
      <c r="AE65" s="14">
        <f t="shared" si="0"/>
        <v>3.9408866995073899E-2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0.12760456947496457</v>
      </c>
      <c r="E66" s="99">
        <v>6.0229356792183261E-2</v>
      </c>
      <c r="F66" s="99">
        <v>0.11867224961171698</v>
      </c>
      <c r="G66" s="99">
        <v>0.10195605101049666</v>
      </c>
      <c r="H66" s="99">
        <v>0.10195605101049666</v>
      </c>
      <c r="I66" s="99">
        <v>1.615410047268314E-2</v>
      </c>
      <c r="J66" s="99">
        <v>1.6661966659193492</v>
      </c>
      <c r="K66" s="49">
        <v>387.91789120389217</v>
      </c>
      <c r="L66" s="100">
        <v>25.520913894992908</v>
      </c>
      <c r="M66" s="49" t="s">
        <v>237</v>
      </c>
      <c r="N66" s="99">
        <v>0.11186527832234792</v>
      </c>
      <c r="O66" s="99">
        <v>5.280041136814824E-2</v>
      </c>
      <c r="P66" s="99">
        <v>0.10403470883978358</v>
      </c>
      <c r="Q66" s="99">
        <v>8.9380357379555991E-2</v>
      </c>
      <c r="R66" s="99">
        <v>8.9380357379555991E-2</v>
      </c>
      <c r="S66" s="99">
        <v>1.4161584909217642E-2</v>
      </c>
      <c r="T66" s="99">
        <v>1.4606808716940585</v>
      </c>
      <c r="U66" s="49">
        <v>340.07044609993767</v>
      </c>
      <c r="V66" s="100">
        <v>22.373055664469589</v>
      </c>
      <c r="W66" t="s">
        <v>237</v>
      </c>
      <c r="Y66" s="14">
        <f t="shared" si="1"/>
        <v>0.65789473684210531</v>
      </c>
      <c r="Z66" s="6">
        <f t="shared" si="1"/>
        <v>0.31052631578947382</v>
      </c>
      <c r="AA66" s="249">
        <f t="shared" si="1"/>
        <v>0.61184210526315808</v>
      </c>
      <c r="AB66" s="6">
        <f t="shared" si="1"/>
        <v>0.5256578947368421</v>
      </c>
      <c r="AC66" s="250">
        <f t="shared" si="1"/>
        <v>0.5256578947368421</v>
      </c>
      <c r="AD66" s="6">
        <f t="shared" si="1"/>
        <v>8.3286184210526346E-2</v>
      </c>
      <c r="AE66" s="14">
        <f t="shared" si="1"/>
        <v>8.5904605263157929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3.2399354138048429E-4</v>
      </c>
      <c r="G67" s="99">
        <v>2.7835574146559892E-4</v>
      </c>
      <c r="H67" s="99">
        <v>2.7835574146559892E-4</v>
      </c>
      <c r="I67" s="99">
        <v>4.4103185345228471E-5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1.5539346793088334E-4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4.1678042526928352E-5</v>
      </c>
      <c r="T67" s="99">
        <v>4.2988351853972635E-3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2.9937064250054862E-4</v>
      </c>
      <c r="H68" s="99">
        <v>2.9937064250054862E-4</v>
      </c>
      <c r="I68" s="99">
        <v>1.0961826058757603E-5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8.7269646582558813E-4</v>
      </c>
      <c r="O68" s="99">
        <v>3.5510956409239786E-5</v>
      </c>
      <c r="P68" s="99">
        <v>7.5369704121824456E-6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2.3729271934124711E-2</v>
      </c>
      <c r="F69" s="101">
        <v>1.6802202817214628E-2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5.6489860280612321E-3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2.3729271934124711E-2</v>
      </c>
      <c r="P69" s="101">
        <v>1.6802202817214628E-2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5.6489860280612321E-3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0.37693099395384788</v>
      </c>
      <c r="AA69" s="253">
        <f t="shared" si="1"/>
        <v>0.26689697964980841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8.9732121756607164E-2</v>
      </c>
    </row>
    <row r="70" spans="1:31" x14ac:dyDescent="0.25">
      <c r="A70" s="17" t="s">
        <v>236</v>
      </c>
      <c r="B70" s="17" t="s">
        <v>219</v>
      </c>
      <c r="C70" s="17"/>
      <c r="D70" s="103">
        <v>9.7784767946823496</v>
      </c>
      <c r="E70" s="103">
        <v>2.6997666030276726</v>
      </c>
      <c r="F70" s="103">
        <v>4.2403892950148343</v>
      </c>
      <c r="G70" s="103">
        <v>2.8149800874353494</v>
      </c>
      <c r="H70" s="103">
        <v>2.8149800874353494</v>
      </c>
      <c r="I70" s="103">
        <v>0.1474191351650008</v>
      </c>
      <c r="J70" s="103">
        <v>29.920169951625255</v>
      </c>
      <c r="K70" s="93">
        <v>53931.033320156639</v>
      </c>
      <c r="L70" s="93"/>
      <c r="M70" s="93"/>
      <c r="N70" s="103">
        <v>8.8056984857781533</v>
      </c>
      <c r="O70" s="103">
        <v>2.5170623415936921</v>
      </c>
      <c r="P70" s="103">
        <v>3.9252055415799574</v>
      </c>
      <c r="Q70" s="103">
        <v>2.5034373567279267</v>
      </c>
      <c r="R70" s="103">
        <v>2.5034373567279267</v>
      </c>
      <c r="S70" s="103">
        <v>0.13453201371893453</v>
      </c>
      <c r="T70" s="103">
        <v>26.391679057216091</v>
      </c>
      <c r="U70" s="93">
        <v>50180.20813665053</v>
      </c>
      <c r="Y70" s="14">
        <f t="shared" si="1"/>
        <v>0.35096301162396587</v>
      </c>
      <c r="Z70" s="6">
        <f t="shared" si="1"/>
        <v>0.10032092073987571</v>
      </c>
      <c r="AA70" s="249">
        <f t="shared" si="1"/>
        <v>0.1564443706925589</v>
      </c>
      <c r="AB70" s="6">
        <f t="shared" si="1"/>
        <v>9.9777878557640753E-2</v>
      </c>
      <c r="AC70" s="250">
        <f t="shared" si="1"/>
        <v>9.9777878557640753E-2</v>
      </c>
      <c r="AD70" s="6">
        <f t="shared" si="1"/>
        <v>5.3619551896866404E-3</v>
      </c>
      <c r="AE70" s="14">
        <f t="shared" si="1"/>
        <v>1.0518760299019241</v>
      </c>
    </row>
    <row r="71" spans="1:31" x14ac:dyDescent="0.25">
      <c r="R71" s="99"/>
      <c r="T71" s="1" t="s">
        <v>33</v>
      </c>
      <c r="U71" s="49">
        <f>SUM(U50:U60,U62:U64,U66)</f>
        <v>37804.53641926976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7.1298471170813142</v>
      </c>
      <c r="O74" s="99">
        <f t="shared" si="2"/>
        <v>0.18873994842339187</v>
      </c>
      <c r="P74" s="99">
        <f t="shared" si="2"/>
        <v>0.13411788779008676</v>
      </c>
      <c r="Q74" s="99">
        <f>SUM(Q50,Q51,Q54, Q59,Q66)</f>
        <v>1.3894483446817287</v>
      </c>
      <c r="R74" s="99">
        <f t="shared" ref="R74:U74" si="3">SUM(R50,R51,R54, R59,R66)</f>
        <v>1.3894483446817287</v>
      </c>
      <c r="S74" s="99">
        <f t="shared" si="3"/>
        <v>6.8173250099669888E-2</v>
      </c>
      <c r="T74" s="99">
        <f t="shared" si="3"/>
        <v>11.763026071111508</v>
      </c>
      <c r="U74" s="49">
        <f t="shared" si="3"/>
        <v>2754.8707007776402</v>
      </c>
      <c r="Y74" s="14">
        <f t="shared" ref="Y74:AE81" si="4">N74/$U74*2000</f>
        <v>5.1761755025879896</v>
      </c>
      <c r="Z74" s="6">
        <f t="shared" si="4"/>
        <v>0.13702272732445459</v>
      </c>
      <c r="AA74" s="249">
        <f t="shared" si="4"/>
        <v>9.736782764594229E-2</v>
      </c>
      <c r="AB74" s="6">
        <f t="shared" si="4"/>
        <v>1.0087212763121822</v>
      </c>
      <c r="AC74" s="250">
        <f t="shared" si="4"/>
        <v>1.0087212763121822</v>
      </c>
      <c r="AD74" s="6">
        <f t="shared" si="4"/>
        <v>4.9492885513956107E-2</v>
      </c>
      <c r="AE74" s="14">
        <f t="shared" si="4"/>
        <v>8.5398026613670552</v>
      </c>
    </row>
    <row r="75" spans="1:31" x14ac:dyDescent="0.25">
      <c r="M75" s="1" t="s">
        <v>588</v>
      </c>
      <c r="N75" s="99">
        <f t="shared" ref="N75:U75" si="5">SUM(N52:N53,N55:N56)</f>
        <v>1.5152890733401434</v>
      </c>
      <c r="O75" s="99">
        <f t="shared" si="5"/>
        <v>0.1878275204486356</v>
      </c>
      <c r="P75" s="99">
        <f t="shared" si="5"/>
        <v>4.6171702699670011E-2</v>
      </c>
      <c r="Q75" s="99">
        <f t="shared" si="5"/>
        <v>0.97482304694217481</v>
      </c>
      <c r="R75" s="99">
        <f t="shared" si="5"/>
        <v>0.97482304694217481</v>
      </c>
      <c r="S75" s="99">
        <f t="shared" si="5"/>
        <v>3.2352348046476645E-2</v>
      </c>
      <c r="T75" s="99">
        <f t="shared" si="5"/>
        <v>14.295941229574888</v>
      </c>
      <c r="U75" s="49">
        <f t="shared" si="5"/>
        <v>3706.4640017498118</v>
      </c>
      <c r="Y75" s="14">
        <f t="shared" si="4"/>
        <v>0.81764672346731515</v>
      </c>
      <c r="Z75" s="6">
        <f t="shared" si="4"/>
        <v>0.10135132587822934</v>
      </c>
      <c r="AA75" s="249">
        <f t="shared" si="4"/>
        <v>2.4914151427275415E-2</v>
      </c>
      <c r="AB75" s="6">
        <f t="shared" si="4"/>
        <v>0.52601241856495218</v>
      </c>
      <c r="AC75" s="250">
        <f t="shared" si="4"/>
        <v>0.52601241856495218</v>
      </c>
      <c r="AD75" s="6">
        <f t="shared" si="4"/>
        <v>1.7457257392060565E-2</v>
      </c>
      <c r="AE75" s="14">
        <f t="shared" si="4"/>
        <v>7.7140591263402598</v>
      </c>
    </row>
    <row r="76" spans="1:31" x14ac:dyDescent="0.25">
      <c r="M76" s="1" t="s">
        <v>589</v>
      </c>
      <c r="N76" s="99">
        <f t="shared" ref="N76:V76" si="6">SUM(N60,N62:N63)</f>
        <v>8.0980054696934728E-2</v>
      </c>
      <c r="O76" s="99">
        <f t="shared" si="6"/>
        <v>1.2739231273674314</v>
      </c>
      <c r="P76" s="99">
        <f t="shared" si="6"/>
        <v>3.2826541580159634</v>
      </c>
      <c r="Q76" s="99">
        <f t="shared" si="6"/>
        <v>5.1816325613546599E-2</v>
      </c>
      <c r="R76" s="99">
        <f t="shared" si="6"/>
        <v>5.1816325613546599E-2</v>
      </c>
      <c r="S76" s="99">
        <f t="shared" si="6"/>
        <v>2.7822196313505589E-3</v>
      </c>
      <c r="T76" s="99">
        <f t="shared" si="6"/>
        <v>5.0864748463802553E-2</v>
      </c>
      <c r="U76" s="49">
        <f t="shared" si="6"/>
        <v>30443.511841787182</v>
      </c>
      <c r="V76" s="100">
        <f t="shared" si="6"/>
        <v>227.15302860290245</v>
      </c>
      <c r="W76" t="s">
        <v>238</v>
      </c>
      <c r="Y76" s="14">
        <f t="shared" si="4"/>
        <v>5.3200205756669897E-3</v>
      </c>
      <c r="Z76" s="6">
        <f t="shared" si="4"/>
        <v>8.3690944329151085E-2</v>
      </c>
      <c r="AA76" s="249">
        <f t="shared" si="4"/>
        <v>0.21565541945854927</v>
      </c>
      <c r="AB76" s="6">
        <f t="shared" si="4"/>
        <v>3.4040964710531718E-3</v>
      </c>
      <c r="AC76" s="250">
        <f t="shared" si="4"/>
        <v>3.4040964710531718E-3</v>
      </c>
      <c r="AD76" s="6">
        <f t="shared" si="4"/>
        <v>1.8277915148617288E-4</v>
      </c>
      <c r="AE76" s="14">
        <f t="shared" si="4"/>
        <v>3.3415821885558485E-3</v>
      </c>
    </row>
    <row r="77" spans="1:31" x14ac:dyDescent="0.25">
      <c r="M77" s="1" t="s">
        <v>590</v>
      </c>
      <c r="N77" s="99">
        <f t="shared" ref="N77:U77" si="7">SUM(N64,N66)</f>
        <v>0.11251518384945886</v>
      </c>
      <c r="O77" s="99">
        <f t="shared" si="7"/>
        <v>6.3907887649680459E-2</v>
      </c>
      <c r="P77" s="99">
        <f t="shared" si="7"/>
        <v>0.10410560762455932</v>
      </c>
      <c r="Q77" s="99">
        <f t="shared" si="7"/>
        <v>8.9386210310568509E-2</v>
      </c>
      <c r="R77" s="99">
        <f t="shared" si="7"/>
        <v>8.9386210310568509E-2</v>
      </c>
      <c r="S77" s="99">
        <f t="shared" si="7"/>
        <v>1.652487773507556E-2</v>
      </c>
      <c r="T77" s="99">
        <f t="shared" si="7"/>
        <v>1.4654074573457743</v>
      </c>
      <c r="U77" s="49">
        <f t="shared" si="7"/>
        <v>631.80927342234179</v>
      </c>
      <c r="Y77" s="14">
        <f t="shared" si="4"/>
        <v>0.35616819373351138</v>
      </c>
      <c r="Z77" s="6">
        <f t="shared" si="4"/>
        <v>0.20230120176460384</v>
      </c>
      <c r="AA77" s="249">
        <f t="shared" si="4"/>
        <v>0.32954757710549926</v>
      </c>
      <c r="AB77" s="6">
        <f t="shared" si="4"/>
        <v>0.28295314447155018</v>
      </c>
      <c r="AC77" s="250">
        <f t="shared" si="4"/>
        <v>0.28295314447155018</v>
      </c>
      <c r="AD77" s="6">
        <f t="shared" si="4"/>
        <v>5.2309703039224859E-2</v>
      </c>
      <c r="AE77" s="14">
        <f t="shared" si="4"/>
        <v>4.6387652698038258</v>
      </c>
    </row>
    <row r="78" spans="1:31" x14ac:dyDescent="0.25">
      <c r="M78" s="1" t="s">
        <v>591</v>
      </c>
      <c r="N78" s="99">
        <f t="shared" ref="N78:V78" si="8">N61</f>
        <v>2.4541732681403153E-2</v>
      </c>
      <c r="O78" s="99">
        <f t="shared" si="8"/>
        <v>0.61956688396249193</v>
      </c>
      <c r="P78" s="99">
        <f t="shared" si="8"/>
        <v>0.43793740989064345</v>
      </c>
      <c r="Q78" s="99">
        <f t="shared" si="8"/>
        <v>1.5716246790971777E-2</v>
      </c>
      <c r="R78" s="99">
        <f t="shared" si="8"/>
        <v>1.5716246790971777E-2</v>
      </c>
      <c r="S78" s="99">
        <f t="shared" si="8"/>
        <v>8.4317664033563603E-4</v>
      </c>
      <c r="T78" s="99">
        <f t="shared" si="8"/>
        <v>1.541501872747816E-2</v>
      </c>
      <c r="U78" s="49">
        <f t="shared" si="8"/>
        <v>9534.4459365339044</v>
      </c>
      <c r="V78" s="100">
        <f t="shared" si="8"/>
        <v>71.040898447799421</v>
      </c>
      <c r="W78" t="s">
        <v>238</v>
      </c>
      <c r="Y78" s="14">
        <f t="shared" si="4"/>
        <v>5.1480144404332127E-3</v>
      </c>
      <c r="Z78" s="6">
        <f t="shared" si="4"/>
        <v>0.1299638989169675</v>
      </c>
      <c r="AA78" s="249">
        <f t="shared" si="4"/>
        <v>9.1864259927797884E-2</v>
      </c>
      <c r="AB78" s="6">
        <f t="shared" si="4"/>
        <v>3.2967299611507722E-3</v>
      </c>
      <c r="AC78" s="250">
        <f t="shared" si="4"/>
        <v>3.2967299611507722E-3</v>
      </c>
      <c r="AD78" s="6">
        <f t="shared" si="4"/>
        <v>1.7686956241573897E-4</v>
      </c>
      <c r="AE78" s="14">
        <f t="shared" si="4"/>
        <v>3.2335426368953839E-3</v>
      </c>
    </row>
    <row r="79" spans="1:31" x14ac:dyDescent="0.25">
      <c r="M79" s="1" t="s">
        <v>592</v>
      </c>
      <c r="N79" s="99">
        <f t="shared" ref="N79:V79" si="9">SUM(N50:N59,N68)</f>
        <v>8.5795833619482114</v>
      </c>
      <c r="O79" s="99">
        <f t="shared" si="9"/>
        <v>0.40315453287167269</v>
      </c>
      <c r="P79" s="99">
        <f t="shared" si="9"/>
        <v>8.2604233957958531E-2</v>
      </c>
      <c r="Q79" s="99">
        <f t="shared" si="9"/>
        <v>2.3338104930079657</v>
      </c>
      <c r="R79" s="99">
        <f t="shared" si="9"/>
        <v>2.3338104930079657</v>
      </c>
      <c r="S79" s="99">
        <f t="shared" si="9"/>
        <v>8.7798475394976899E-2</v>
      </c>
      <c r="T79" s="99">
        <f t="shared" si="9"/>
        <v>24.796993913729434</v>
      </c>
      <c r="U79" s="49">
        <f t="shared" si="9"/>
        <v>6737.1103284074297</v>
      </c>
      <c r="V79" s="100">
        <f t="shared" si="9"/>
        <v>599.42956447015945</v>
      </c>
      <c r="W79" t="s">
        <v>743</v>
      </c>
      <c r="Y79" s="14">
        <f t="shared" si="4"/>
        <v>2.5469624048672275</v>
      </c>
      <c r="Z79" s="6">
        <f t="shared" si="4"/>
        <v>0.11968173689296653</v>
      </c>
      <c r="AA79" s="249">
        <f t="shared" si="4"/>
        <v>2.4522155622018784E-2</v>
      </c>
      <c r="AB79" s="6">
        <f t="shared" si="4"/>
        <v>0.692822405822067</v>
      </c>
      <c r="AC79" s="250">
        <f t="shared" si="4"/>
        <v>0.692822405822067</v>
      </c>
      <c r="AD79" s="6">
        <f t="shared" si="4"/>
        <v>2.6064134655705239E-2</v>
      </c>
      <c r="AE79" s="14">
        <f t="shared" si="4"/>
        <v>7.361314482018031</v>
      </c>
    </row>
    <row r="80" spans="1:31" x14ac:dyDescent="0.25">
      <c r="M80" s="1" t="s">
        <v>593</v>
      </c>
      <c r="N80" s="99">
        <f t="shared" ref="N80:U80" si="10">SUM(N65,N67,N69)</f>
        <v>8.0781526021460066E-3</v>
      </c>
      <c r="O80" s="99">
        <f t="shared" si="10"/>
        <v>0.15650990974241466</v>
      </c>
      <c r="P80" s="99">
        <f t="shared" si="10"/>
        <v>1.7904132090832463E-2</v>
      </c>
      <c r="Q80" s="99">
        <f t="shared" si="10"/>
        <v>1.2708081004873813E-2</v>
      </c>
      <c r="R80" s="99">
        <f t="shared" si="10"/>
        <v>1.2708081004873813E-2</v>
      </c>
      <c r="S80" s="99">
        <f t="shared" si="10"/>
        <v>2.6583264317195911E-2</v>
      </c>
      <c r="T80" s="99">
        <f t="shared" si="10"/>
        <v>6.2997918949602161E-2</v>
      </c>
      <c r="U80" s="49">
        <f t="shared" si="10"/>
        <v>2833.3307564996644</v>
      </c>
      <c r="Y80" s="14">
        <f t="shared" si="4"/>
        <v>5.7022305522323605E-3</v>
      </c>
      <c r="Z80" s="6">
        <f t="shared" si="4"/>
        <v>0.110477683823804</v>
      </c>
      <c r="AA80" s="249">
        <f t="shared" si="4"/>
        <v>1.2638222381739485E-2</v>
      </c>
      <c r="AB80" s="6">
        <f t="shared" si="4"/>
        <v>8.9704182794200487E-3</v>
      </c>
      <c r="AC80" s="250">
        <f t="shared" si="4"/>
        <v>8.9704182794200487E-3</v>
      </c>
      <c r="AD80" s="6">
        <f t="shared" si="4"/>
        <v>1.8764674231001002E-2</v>
      </c>
      <c r="AE80" s="14">
        <f t="shared" si="4"/>
        <v>4.4469159701940805E-2</v>
      </c>
    </row>
    <row r="81" spans="13:31" x14ac:dyDescent="0.25">
      <c r="M81" s="1" t="s">
        <v>594</v>
      </c>
      <c r="N81" s="99">
        <f>SUM(N76:N80)</f>
        <v>8.8056984857781533</v>
      </c>
      <c r="O81" s="99">
        <f t="shared" ref="O81:U81" si="11">SUM(O76:O80)</f>
        <v>2.5170623415936908</v>
      </c>
      <c r="P81" s="99">
        <f t="shared" si="11"/>
        <v>3.9252055415799574</v>
      </c>
      <c r="Q81" s="99">
        <f t="shared" si="11"/>
        <v>2.5034373567279267</v>
      </c>
      <c r="R81" s="99">
        <f t="shared" si="11"/>
        <v>2.5034373567279267</v>
      </c>
      <c r="S81" s="99">
        <f t="shared" si="11"/>
        <v>0.13453201371893456</v>
      </c>
      <c r="T81" s="99">
        <f t="shared" si="11"/>
        <v>26.391679057216091</v>
      </c>
      <c r="U81" s="49">
        <f t="shared" si="11"/>
        <v>50180.208136650523</v>
      </c>
      <c r="Y81" s="14">
        <f t="shared" si="4"/>
        <v>0.35096301162396593</v>
      </c>
      <c r="Z81" s="6">
        <f t="shared" si="4"/>
        <v>0.10032092073987567</v>
      </c>
      <c r="AA81" s="249">
        <f t="shared" si="4"/>
        <v>0.1564443706925589</v>
      </c>
      <c r="AB81" s="6">
        <f t="shared" si="4"/>
        <v>9.9777878557640767E-2</v>
      </c>
      <c r="AC81" s="250">
        <f t="shared" si="4"/>
        <v>9.9777878557640767E-2</v>
      </c>
      <c r="AD81" s="6">
        <f t="shared" si="4"/>
        <v>5.3619551896866421E-3</v>
      </c>
      <c r="AE81" s="14">
        <f t="shared" si="4"/>
        <v>1.0518760299019243</v>
      </c>
    </row>
    <row r="83" spans="13:31" x14ac:dyDescent="0.25">
      <c r="V83" s="42">
        <f>V79/Lookup!B37</f>
        <v>356.219040245028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67357.975458685018</v>
      </c>
      <c r="W84" t="s">
        <v>746</v>
      </c>
    </row>
  </sheetData>
  <sheetProtection algorithmName="SHA-512" hashValue="FO8g3UWBNAG58IViz3TiBUi1KzTV3F3iJE4Auu5ZN8ClJyn1SfQN0v0yyFSGjOIpwcftoMcfhAPp3gO5lt1umQ==" saltValue="bukQ2c97Y+b5iVwA1q8AXQ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0CE2D-5727-4EA1-8DB4-9C08C3B1D378}">
  <sheetPr codeName="Sheet20">
    <tabColor rgb="FFFF0000"/>
  </sheetPr>
  <dimension ref="A1:AE84"/>
  <sheetViews>
    <sheetView zoomScale="84" zoomScaleNormal="84" workbookViewId="0">
      <pane ySplit="5" topLeftCell="A44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1538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5.6294236223523981</v>
      </c>
      <c r="E6" s="99">
        <v>6.3914853354219384E-2</v>
      </c>
      <c r="F6" s="99">
        <v>9.8330543621875984E-3</v>
      </c>
      <c r="G6" s="99">
        <v>0.85055920232922733</v>
      </c>
      <c r="H6" s="99">
        <v>0.85055920232922733</v>
      </c>
      <c r="I6" s="99">
        <v>4.424874462984419E-2</v>
      </c>
      <c r="J6" s="99">
        <v>6.2095738297214664</v>
      </c>
      <c r="K6" s="49">
        <v>791.06992288940364</v>
      </c>
      <c r="L6" s="100">
        <v>70.236682748066045</v>
      </c>
      <c r="M6" s="49" t="s">
        <v>237</v>
      </c>
      <c r="N6" s="99">
        <v>5.1870653434757541</v>
      </c>
      <c r="O6" s="99">
        <v>5.8892444947759692E-2</v>
      </c>
      <c r="P6" s="99">
        <v>9.0603761458091792E-3</v>
      </c>
      <c r="Q6" s="99">
        <v>0.78372253661249414</v>
      </c>
      <c r="R6" s="99">
        <v>0.78372253661249414</v>
      </c>
      <c r="S6" s="99">
        <v>4.0771692656141313E-2</v>
      </c>
      <c r="T6" s="99">
        <v>5.7216275360784961</v>
      </c>
      <c r="U6" s="49">
        <v>728.90790541909553</v>
      </c>
      <c r="V6" s="100">
        <v>64.717507042213583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0.11611836953776916</v>
      </c>
      <c r="E7" s="99">
        <v>6.1345553718066713E-3</v>
      </c>
      <c r="F7" s="99">
        <v>8.7636505311523892E-4</v>
      </c>
      <c r="G7" s="99">
        <v>6.7041926563315798E-2</v>
      </c>
      <c r="H7" s="99">
        <v>6.7041926563315798E-2</v>
      </c>
      <c r="I7" s="99">
        <v>3.724551475739767E-3</v>
      </c>
      <c r="J7" s="99">
        <v>0.50566263564749281</v>
      </c>
      <c r="K7" s="49">
        <v>70.503630861307144</v>
      </c>
      <c r="L7" s="100">
        <v>6.2598020858956334</v>
      </c>
      <c r="M7" s="49" t="s">
        <v>237</v>
      </c>
      <c r="N7" s="99">
        <v>0.10090961614452185</v>
      </c>
      <c r="O7" s="99">
        <v>5.3310740604653045E-3</v>
      </c>
      <c r="P7" s="99">
        <v>7.6158200863790096E-4</v>
      </c>
      <c r="Q7" s="99">
        <v>5.8261023660799438E-2</v>
      </c>
      <c r="R7" s="99">
        <v>5.8261023660799438E-2</v>
      </c>
      <c r="S7" s="99">
        <v>3.2367235367110787E-3</v>
      </c>
      <c r="T7" s="99">
        <v>0.43943281898406883</v>
      </c>
      <c r="U7" s="49">
        <v>61.269326768280855</v>
      </c>
      <c r="V7" s="100">
        <v>5.4399164244460412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5.5353398217952106E-2</v>
      </c>
      <c r="E8" s="99">
        <v>9.2255663696586849E-3</v>
      </c>
      <c r="F8" s="99">
        <v>1.8451132739317375E-3</v>
      </c>
      <c r="G8" s="99">
        <v>5.5353398217952106E-2</v>
      </c>
      <c r="H8" s="99">
        <v>5.5353398217952106E-2</v>
      </c>
      <c r="I8" s="99">
        <v>4.151504866346409E-3</v>
      </c>
      <c r="J8" s="99">
        <v>0.64947987242397143</v>
      </c>
      <c r="K8" s="49">
        <v>148.43949413564201</v>
      </c>
      <c r="L8" s="100">
        <v>13.179489391794373</v>
      </c>
      <c r="M8" s="49" t="s">
        <v>237</v>
      </c>
      <c r="N8" s="99">
        <v>4.8103415408804737E-2</v>
      </c>
      <c r="O8" s="99">
        <v>8.0172359014674555E-3</v>
      </c>
      <c r="P8" s="99">
        <v>1.6034471802934911E-3</v>
      </c>
      <c r="Q8" s="99">
        <v>4.8103415408804737E-2</v>
      </c>
      <c r="R8" s="99">
        <v>4.8103415408804737E-2</v>
      </c>
      <c r="S8" s="99">
        <v>3.607756155660355E-3</v>
      </c>
      <c r="T8" s="99">
        <v>0.56441340746330904</v>
      </c>
      <c r="U8" s="49">
        <v>128.99743971209062</v>
      </c>
      <c r="V8" s="100">
        <v>11.453288750098986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4.1658498240820199E-2</v>
      </c>
      <c r="E9" s="99">
        <v>5.5544664321093623E-3</v>
      </c>
      <c r="F9" s="99">
        <v>1.1108932864218721E-3</v>
      </c>
      <c r="G9" s="99">
        <v>3.6104031808710836E-2</v>
      </c>
      <c r="H9" s="99">
        <v>3.6104031808710836E-2</v>
      </c>
      <c r="I9" s="99">
        <v>2.4995098944492126E-3</v>
      </c>
      <c r="J9" s="99">
        <v>0.29716395411785085</v>
      </c>
      <c r="K9" s="49">
        <v>89.371443913445205</v>
      </c>
      <c r="L9" s="100">
        <v>7.9350175897950432</v>
      </c>
      <c r="M9" s="49" t="s">
        <v>237</v>
      </c>
      <c r="N9" s="99">
        <v>3.6202222640329774E-2</v>
      </c>
      <c r="O9" s="99">
        <v>4.8269630187106356E-3</v>
      </c>
      <c r="P9" s="99">
        <v>9.6539260374212707E-4</v>
      </c>
      <c r="Q9" s="99">
        <v>3.1375259621619127E-2</v>
      </c>
      <c r="R9" s="99">
        <v>3.1375259621619127E-2</v>
      </c>
      <c r="S9" s="99">
        <v>2.1721333584197866E-3</v>
      </c>
      <c r="T9" s="99">
        <v>0.25824252150101895</v>
      </c>
      <c r="U9" s="49">
        <v>77.665903642007692</v>
      </c>
      <c r="V9" s="100">
        <v>6.8957184145252874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2.3565318156460764</v>
      </c>
      <c r="E10" s="99">
        <v>6.4566421060036211E-2</v>
      </c>
      <c r="F10" s="99">
        <v>1.7785145778460954E-2</v>
      </c>
      <c r="G10" s="99">
        <v>0.53986940666303673</v>
      </c>
      <c r="H10" s="99">
        <v>0.53986940666303673</v>
      </c>
      <c r="I10" s="99">
        <v>1.7653026387999524E-2</v>
      </c>
      <c r="J10" s="99">
        <v>5.3875938167013571</v>
      </c>
      <c r="K10" s="49">
        <v>1430.8162429820907</v>
      </c>
      <c r="L10" s="100">
        <v>127.03780490357831</v>
      </c>
      <c r="M10" s="49" t="s">
        <v>237</v>
      </c>
      <c r="N10" s="99">
        <v>2.0478820181147301</v>
      </c>
      <c r="O10" s="99">
        <v>5.6109750687419094E-2</v>
      </c>
      <c r="P10" s="99">
        <v>1.545571334426211E-2</v>
      </c>
      <c r="Q10" s="99">
        <v>0.46915931399482885</v>
      </c>
      <c r="R10" s="99">
        <v>0.46915931399482885</v>
      </c>
      <c r="S10" s="99">
        <v>1.5340898461571443E-2</v>
      </c>
      <c r="T10" s="99">
        <v>4.6819467595874258</v>
      </c>
      <c r="U10" s="49">
        <v>1243.4132379520447</v>
      </c>
      <c r="V10" s="100">
        <v>110.39886436308488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1.1233540784630371</v>
      </c>
      <c r="E11" s="99">
        <v>0.15060804724670349</v>
      </c>
      <c r="F11" s="99">
        <v>3.7445135948767881E-2</v>
      </c>
      <c r="G11" s="99">
        <v>0.74189348201012706</v>
      </c>
      <c r="H11" s="99">
        <v>0.74189348201012706</v>
      </c>
      <c r="I11" s="99">
        <v>2.3379033176702008E-2</v>
      </c>
      <c r="J11" s="99">
        <v>11.574380312804564</v>
      </c>
      <c r="K11" s="49">
        <v>3012.4638506508763</v>
      </c>
      <c r="L11" s="100">
        <v>267.4674660810785</v>
      </c>
      <c r="M11" s="49" t="s">
        <v>237</v>
      </c>
      <c r="N11" s="99">
        <v>0.976221327455145</v>
      </c>
      <c r="O11" s="99">
        <v>0.13088196377918959</v>
      </c>
      <c r="P11" s="99">
        <v>3.2540710915171495E-2</v>
      </c>
      <c r="Q11" s="99">
        <v>0.64472302520071123</v>
      </c>
      <c r="R11" s="99">
        <v>0.64472302520071123</v>
      </c>
      <c r="S11" s="99">
        <v>2.0316934117161262E-2</v>
      </c>
      <c r="T11" s="99">
        <v>10.058410905398746</v>
      </c>
      <c r="U11" s="49">
        <v>2617.9025078332002</v>
      </c>
      <c r="V11" s="100">
        <v>232.43556933178124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0.84542675622566232</v>
      </c>
      <c r="E12" s="99">
        <v>9.0677071663439163E-2</v>
      </c>
      <c r="F12" s="99">
        <v>2.2544713499350985E-2</v>
      </c>
      <c r="G12" s="99">
        <v>0.49562479296793549</v>
      </c>
      <c r="H12" s="99">
        <v>0.49562479296793549</v>
      </c>
      <c r="I12" s="99">
        <v>1.4075889738568608E-2</v>
      </c>
      <c r="J12" s="99">
        <v>6.9686244013568226</v>
      </c>
      <c r="K12" s="49">
        <v>1813.7238046884534</v>
      </c>
      <c r="L12" s="100">
        <v>161.03499801537518</v>
      </c>
      <c r="M12" s="49" t="s">
        <v>237</v>
      </c>
      <c r="N12" s="99">
        <v>0.73469589513389588</v>
      </c>
      <c r="O12" s="99">
        <v>7.8800525111495934E-2</v>
      </c>
      <c r="P12" s="99">
        <v>1.9591890536903887E-2</v>
      </c>
      <c r="Q12" s="99">
        <v>0.43070969571127959</v>
      </c>
      <c r="R12" s="99">
        <v>0.43070969571127959</v>
      </c>
      <c r="S12" s="99">
        <v>1.2232281903937423E-2</v>
      </c>
      <c r="T12" s="99">
        <v>6.0558998218411864</v>
      </c>
      <c r="U12" s="49">
        <v>1576.1689873174028</v>
      </c>
      <c r="V12" s="100">
        <v>139.94323120666806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1.4165915770705379E-2</v>
      </c>
      <c r="E13" s="99">
        <v>2.473810178083816E-2</v>
      </c>
      <c r="F13" s="99">
        <v>1.9770710713956563E-3</v>
      </c>
      <c r="G13" s="99">
        <v>1.828790741040983E-2</v>
      </c>
      <c r="H13" s="99">
        <v>1.828790741040983E-2</v>
      </c>
      <c r="I13" s="99">
        <v>4.4409958941224968E-4</v>
      </c>
      <c r="J13" s="99">
        <v>6.1363343378442743E-2</v>
      </c>
      <c r="K13" s="49">
        <v>189.94148856877669</v>
      </c>
      <c r="L13" s="100">
        <v>16.86432474208188</v>
      </c>
      <c r="M13" s="49" t="s">
        <v>237</v>
      </c>
      <c r="N13" s="99">
        <v>1.2310516660264939E-2</v>
      </c>
      <c r="O13" s="99">
        <v>2.1497996955912563E-2</v>
      </c>
      <c r="P13" s="99">
        <v>1.7181216348381659E-3</v>
      </c>
      <c r="Q13" s="99">
        <v>1.5892625122253045E-2</v>
      </c>
      <c r="R13" s="99">
        <v>1.5892625122253045E-2</v>
      </c>
      <c r="S13" s="99">
        <v>3.8593307222552318E-4</v>
      </c>
      <c r="T13" s="99">
        <v>5.332620024128959E-2</v>
      </c>
      <c r="U13" s="49">
        <v>165.06365683303903</v>
      </c>
      <c r="V13" s="100">
        <v>14.655498032174133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4.7782074151370105E-2</v>
      </c>
      <c r="E14" s="99">
        <v>8.3442386132251509E-2</v>
      </c>
      <c r="F14" s="99">
        <v>6.668722168411711E-3</v>
      </c>
      <c r="G14" s="99">
        <v>6.1685680057808327E-2</v>
      </c>
      <c r="H14" s="99">
        <v>6.1685680057808327E-2</v>
      </c>
      <c r="I14" s="99">
        <v>1.4979617170794808E-3</v>
      </c>
      <c r="J14" s="99">
        <v>0.20698046430207853</v>
      </c>
      <c r="K14" s="49">
        <v>640.67854405737341</v>
      </c>
      <c r="L14" s="100">
        <v>56.88389147458679</v>
      </c>
      <c r="M14" s="49" t="s">
        <v>237</v>
      </c>
      <c r="N14" s="99">
        <v>4.1523755288654124E-2</v>
      </c>
      <c r="O14" s="99">
        <v>7.2513411859866872E-2</v>
      </c>
      <c r="P14" s="99">
        <v>5.7952776711182328E-3</v>
      </c>
      <c r="Q14" s="99">
        <v>5.3606318457843645E-2</v>
      </c>
      <c r="R14" s="99">
        <v>5.3606318457843645E-2</v>
      </c>
      <c r="S14" s="99">
        <v>1.301764246874933E-3</v>
      </c>
      <c r="T14" s="99">
        <v>0.17987093071733218</v>
      </c>
      <c r="U14" s="49">
        <v>556.76484444463472</v>
      </c>
      <c r="V14" s="100">
        <v>49.4334503348338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1.2112634298112155</v>
      </c>
      <c r="E15" s="99">
        <v>4.3027425600869869E-2</v>
      </c>
      <c r="F15" s="99">
        <v>1.0671924491728768E-2</v>
      </c>
      <c r="G15" s="99">
        <v>0.26333379428058173</v>
      </c>
      <c r="H15" s="99">
        <v>0.26333379428058173</v>
      </c>
      <c r="I15" s="99">
        <v>6.5034326220059276E-3</v>
      </c>
      <c r="J15" s="99">
        <v>1.6160139479074309</v>
      </c>
      <c r="K15" s="49">
        <v>858.55708448206303</v>
      </c>
      <c r="L15" s="100">
        <v>76.228661739048036</v>
      </c>
      <c r="M15" s="49" t="s">
        <v>237</v>
      </c>
      <c r="N15" s="99">
        <v>1.1073690888574403</v>
      </c>
      <c r="O15" s="99">
        <v>3.9336811391179186E-2</v>
      </c>
      <c r="P15" s="99">
        <v>9.7565558489642323E-3</v>
      </c>
      <c r="Q15" s="99">
        <v>0.24074672499879704</v>
      </c>
      <c r="R15" s="99">
        <v>0.24074672499879704</v>
      </c>
      <c r="S15" s="99">
        <v>5.945610244502221E-3</v>
      </c>
      <c r="T15" s="99">
        <v>1.4774027259735552</v>
      </c>
      <c r="U15" s="49">
        <v>784.91561205904043</v>
      </c>
      <c r="V15" s="100">
        <v>69.690260282974208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9.8405498410167089E-2</v>
      </c>
      <c r="E16" s="99">
        <v>1.541834606261832</v>
      </c>
      <c r="F16" s="99">
        <v>3.9890219849406434</v>
      </c>
      <c r="G16" s="99">
        <v>6.3017763198712454E-2</v>
      </c>
      <c r="H16" s="99">
        <v>6.3017763198712454E-2</v>
      </c>
      <c r="I16" s="99">
        <v>3.3809029956109239E-3</v>
      </c>
      <c r="J16" s="99">
        <v>6.1809922737403822E-2</v>
      </c>
      <c r="K16" s="49">
        <v>37046.47120517381</v>
      </c>
      <c r="L16" s="100">
        <v>276.03225360495674</v>
      </c>
      <c r="M16" s="49" t="s">
        <v>238</v>
      </c>
      <c r="N16" s="99">
        <v>9.0799298114766364E-2</v>
      </c>
      <c r="O16" s="99">
        <v>1.4226593261496776</v>
      </c>
      <c r="P16" s="99">
        <v>3.6806926670630067</v>
      </c>
      <c r="Q16" s="99">
        <v>5.8146838943447306E-2</v>
      </c>
      <c r="R16" s="99">
        <v>5.8146838943447306E-2</v>
      </c>
      <c r="S16" s="99">
        <v>3.1195779093159486E-3</v>
      </c>
      <c r="T16" s="99">
        <v>5.7032357863697897E-2</v>
      </c>
      <c r="U16" s="49">
        <v>34182.984054792832</v>
      </c>
      <c r="V16" s="100">
        <v>254.69648840046668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3.0520565446904999E-2</v>
      </c>
      <c r="E17" s="99">
        <v>0.77050515854739143</v>
      </c>
      <c r="F17" s="99">
        <v>0.54462729073500948</v>
      </c>
      <c r="G17" s="99">
        <v>1.9545023368583946E-2</v>
      </c>
      <c r="H17" s="99">
        <v>1.9545023368583946E-2</v>
      </c>
      <c r="I17" s="99">
        <v>1.0485905037245285E-3</v>
      </c>
      <c r="J17" s="99">
        <v>1.9170410420686079E-2</v>
      </c>
      <c r="K17" s="49">
        <v>11857.218273201528</v>
      </c>
      <c r="L17" s="100">
        <v>88.347812219712765</v>
      </c>
      <c r="M17" s="49" t="s">
        <v>238</v>
      </c>
      <c r="N17" s="99">
        <v>2.999629974862315E-2</v>
      </c>
      <c r="O17" s="99">
        <v>0.75726983937618064</v>
      </c>
      <c r="P17" s="99">
        <v>0.53527197890839018</v>
      </c>
      <c r="Q17" s="99">
        <v>1.9209289571577737E-2</v>
      </c>
      <c r="R17" s="99">
        <v>1.9209289571577737E-2</v>
      </c>
      <c r="S17" s="99">
        <v>1.0305783855151455E-3</v>
      </c>
      <c r="T17" s="99">
        <v>1.8841111521455834E-2</v>
      </c>
      <c r="U17" s="49">
        <v>11653.541417066783</v>
      </c>
      <c r="V17" s="100">
        <v>86.83022148091672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6.5611886216738048E-4</v>
      </c>
      <c r="E18" s="99">
        <v>1.6564010545600073E-2</v>
      </c>
      <c r="F18" s="99">
        <v>2.6596812253424928E-2</v>
      </c>
      <c r="G18" s="99">
        <v>3.6808912323555706E-4</v>
      </c>
      <c r="H18" s="99">
        <v>3.6808912323555706E-4</v>
      </c>
      <c r="I18" s="99">
        <v>2.2542177646745589E-5</v>
      </c>
      <c r="J18" s="99">
        <v>4.1211778642776578E-4</v>
      </c>
      <c r="K18" s="49">
        <v>252.13184718827574</v>
      </c>
      <c r="L18" s="100">
        <v>1.8404456161777853</v>
      </c>
      <c r="M18" s="49" t="s">
        <v>238</v>
      </c>
      <c r="N18" s="99">
        <v>6.1896839943036271E-4</v>
      </c>
      <c r="O18" s="99">
        <v>1.5626130700906772E-2</v>
      </c>
      <c r="P18" s="99">
        <v>2.5090859689768479E-2</v>
      </c>
      <c r="Q18" s="99">
        <v>3.4724734890903948E-4</v>
      </c>
      <c r="R18" s="99">
        <v>3.4724734890903948E-4</v>
      </c>
      <c r="S18" s="99">
        <v>2.1265804753105145E-5</v>
      </c>
      <c r="T18" s="99">
        <v>3.887830412302696E-4</v>
      </c>
      <c r="U18" s="49">
        <v>237.85575281896936</v>
      </c>
      <c r="V18" s="100">
        <v>1.7362367445451967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2.8218244937245722E-3</v>
      </c>
      <c r="E19" s="99">
        <v>4.4212841025276527E-2</v>
      </c>
      <c r="F19" s="99">
        <v>0.1143871036168476</v>
      </c>
      <c r="G19" s="99">
        <v>1.8070643470821464E-3</v>
      </c>
      <c r="H19" s="99">
        <v>1.8070643470821464E-3</v>
      </c>
      <c r="I19" s="99">
        <v>9.6949002220957152E-5</v>
      </c>
      <c r="J19" s="99">
        <v>1.772428947096406E-3</v>
      </c>
      <c r="K19" s="49">
        <v>989.41952795391762</v>
      </c>
      <c r="L19" s="100">
        <v>7.9153562236313411</v>
      </c>
      <c r="M19" s="49" t="s">
        <v>238</v>
      </c>
      <c r="N19" s="99">
        <v>2.3303396688882845E-3</v>
      </c>
      <c r="O19" s="99">
        <v>3.651217059905134E-2</v>
      </c>
      <c r="P19" s="99">
        <v>9.4463991563038932E-2</v>
      </c>
      <c r="Q19" s="99">
        <v>1.4923230490075476E-3</v>
      </c>
      <c r="R19" s="99">
        <v>1.4923230490075476E-3</v>
      </c>
      <c r="S19" s="99">
        <v>8.0063131579254961E-5</v>
      </c>
      <c r="T19" s="99">
        <v>1.4637201905682365E-3</v>
      </c>
      <c r="U19" s="49">
        <v>817.0896454727507</v>
      </c>
      <c r="V19" s="100">
        <v>6.5367171637820061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6.6969683938961262E-4</v>
      </c>
      <c r="E20" s="99">
        <v>1.1445727800477033E-2</v>
      </c>
      <c r="F20" s="99">
        <v>7.3057837024321452E-5</v>
      </c>
      <c r="G20" s="99">
        <v>6.0311679724811471E-6</v>
      </c>
      <c r="H20" s="99">
        <v>6.0311679724811471E-6</v>
      </c>
      <c r="I20" s="99">
        <v>2.4352612341440468E-3</v>
      </c>
      <c r="J20" s="99">
        <v>4.8705224682880936E-3</v>
      </c>
      <c r="K20" s="49">
        <v>300.62303278688501</v>
      </c>
      <c r="L20" s="100">
        <v>296.18032786885243</v>
      </c>
      <c r="M20" s="49" t="s">
        <v>239</v>
      </c>
      <c r="N20" s="99">
        <v>6.6969683938961262E-4</v>
      </c>
      <c r="O20" s="99">
        <v>1.1445727800477033E-2</v>
      </c>
      <c r="P20" s="99">
        <v>7.3057837024321452E-5</v>
      </c>
      <c r="Q20" s="99">
        <v>6.0311679724811471E-6</v>
      </c>
      <c r="R20" s="99">
        <v>6.0311679724811471E-6</v>
      </c>
      <c r="S20" s="99">
        <v>2.4352612341440468E-3</v>
      </c>
      <c r="T20" s="99">
        <v>4.8705224682880936E-3</v>
      </c>
      <c r="U20" s="49">
        <v>300.62303278688501</v>
      </c>
      <c r="V20" s="100">
        <v>296.18032786885243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5.2612909836065582E-3</v>
      </c>
      <c r="E21" s="99">
        <v>9.5659836065573781E-2</v>
      </c>
      <c r="F21" s="99">
        <v>5.7395901639344267E-4</v>
      </c>
      <c r="G21" s="99">
        <v>7.2701475409836071E-3</v>
      </c>
      <c r="H21" s="99">
        <v>7.2701475409836071E-3</v>
      </c>
      <c r="I21" s="99">
        <v>1.9131967213114758E-2</v>
      </c>
      <c r="J21" s="99">
        <v>3.8263934426229516E-2</v>
      </c>
      <c r="K21" s="49">
        <v>1941.894672131147</v>
      </c>
      <c r="L21" s="100">
        <v>1913.1967213114763</v>
      </c>
      <c r="M21" s="49" t="s">
        <v>239</v>
      </c>
      <c r="N21" s="99">
        <v>5.2612909836065582E-3</v>
      </c>
      <c r="O21" s="99">
        <v>9.5659836065573781E-2</v>
      </c>
      <c r="P21" s="99">
        <v>5.7395901639344267E-4</v>
      </c>
      <c r="Q21" s="99">
        <v>7.2701475409836071E-3</v>
      </c>
      <c r="R21" s="99">
        <v>7.2701475409836071E-3</v>
      </c>
      <c r="S21" s="99">
        <v>1.9131967213114758E-2</v>
      </c>
      <c r="T21" s="99">
        <v>3.8263934426229516E-2</v>
      </c>
      <c r="U21" s="49">
        <v>1941.894672131147</v>
      </c>
      <c r="V21" s="100">
        <v>1913.1967213114763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0.14877775719442674</v>
      </c>
      <c r="E22" s="99">
        <v>7.0223101395769441E-2</v>
      </c>
      <c r="F22" s="99">
        <v>0.13836331419081691</v>
      </c>
      <c r="G22" s="99">
        <v>0.11887342799834695</v>
      </c>
      <c r="H22" s="99">
        <v>0.11887342799834695</v>
      </c>
      <c r="I22" s="99">
        <v>1.8834520172028458E-2</v>
      </c>
      <c r="J22" s="99">
        <v>1.9426655645662281</v>
      </c>
      <c r="K22" s="49">
        <v>452.28438187105741</v>
      </c>
      <c r="L22" s="100">
        <v>29.755551438885355</v>
      </c>
      <c r="M22" s="49" t="s">
        <v>237</v>
      </c>
      <c r="N22" s="99">
        <v>0.1302490430186112</v>
      </c>
      <c r="O22" s="99">
        <v>6.1477548304784489E-2</v>
      </c>
      <c r="P22" s="99">
        <v>0.12113161000730842</v>
      </c>
      <c r="Q22" s="99">
        <v>0.10406898537187033</v>
      </c>
      <c r="R22" s="99">
        <v>0.10406898537187033</v>
      </c>
      <c r="S22" s="99">
        <v>1.6488877600941088E-2</v>
      </c>
      <c r="T22" s="99">
        <v>1.7007268792155159</v>
      </c>
      <c r="U22" s="49">
        <v>395.95709077657807</v>
      </c>
      <c r="V22" s="100">
        <v>26.049808603722237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3.7337768457277432E-4</v>
      </c>
      <c r="G23" s="99">
        <v>3.2078362362757709E-4</v>
      </c>
      <c r="H23" s="99">
        <v>3.2078362362757709E-4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3.7940475162931149E-4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4.8030744532512695E-5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1.2267802496122727E-3</v>
      </c>
      <c r="E24" s="99">
        <v>4.8776475754854209E-5</v>
      </c>
      <c r="F24" s="99">
        <v>1.0633485245822149E-5</v>
      </c>
      <c r="G24" s="99">
        <v>3.4500168382878613E-4</v>
      </c>
      <c r="H24" s="99">
        <v>3.4500168382878613E-4</v>
      </c>
      <c r="I24" s="99">
        <v>1.2632663031087653E-5</v>
      </c>
      <c r="J24" s="99">
        <v>2.4538740814386123E-3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4.0923651207836463E-5</v>
      </c>
      <c r="P24" s="99">
        <v>8.6857798127814725E-6</v>
      </c>
      <c r="Q24" s="99">
        <v>2.9694131175428135E-4</v>
      </c>
      <c r="R24" s="99">
        <v>2.9694131175428135E-4</v>
      </c>
      <c r="S24" s="99">
        <v>1.1445738305269714E-5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5.2382327984415965E-4</v>
      </c>
      <c r="E25" s="101">
        <v>2.7346164289603587E-2</v>
      </c>
      <c r="F25" s="101">
        <v>1.9363248899601757E-2</v>
      </c>
      <c r="G25" s="101">
        <v>2.7260720241086738E-3</v>
      </c>
      <c r="H25" s="101">
        <v>2.7260720241086738E-3</v>
      </c>
      <c r="I25" s="101">
        <v>1.9058091583470191E-5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5.2382327984415965E-4</v>
      </c>
      <c r="O25" s="101">
        <v>2.7346164289603587E-2</v>
      </c>
      <c r="P25" s="101">
        <v>1.9363248899601757E-2</v>
      </c>
      <c r="Q25" s="101">
        <v>2.7260720241086738E-3</v>
      </c>
      <c r="R25" s="101">
        <v>2.7260720241086738E-3</v>
      </c>
      <c r="S25" s="101">
        <v>1.9058091583470191E-5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11.73034279555811</v>
      </c>
      <c r="E26" s="103">
        <v>3.1199186166311663</v>
      </c>
      <c r="F26" s="103">
        <v>4.944148921593353</v>
      </c>
      <c r="G26" s="103">
        <v>3.3440330263855871</v>
      </c>
      <c r="H26" s="103">
        <v>3.3440330263855871</v>
      </c>
      <c r="I26" s="103">
        <v>0.16321100368671307</v>
      </c>
      <c r="J26" s="103">
        <v>35.560007719675234</v>
      </c>
      <c r="K26" s="93">
        <v>62060.303017294114</v>
      </c>
      <c r="L26" s="93"/>
      <c r="M26" s="93"/>
      <c r="N26" s="103">
        <v>10.554117079667293</v>
      </c>
      <c r="O26" s="103">
        <v>2.9044249236936985</v>
      </c>
      <c r="P26" s="103">
        <v>4.5742719730731016</v>
      </c>
      <c r="Q26" s="103">
        <v>2.970166959515613</v>
      </c>
      <c r="R26" s="103">
        <v>2.970166959515613</v>
      </c>
      <c r="S26" s="103">
        <v>0.14769785360698998</v>
      </c>
      <c r="T26" s="103">
        <v>31.325783976342901</v>
      </c>
      <c r="U26" s="93">
        <v>57642.649306878768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3.5413372207971769</v>
      </c>
      <c r="E28" s="99">
        <v>4.0207322157522547E-2</v>
      </c>
      <c r="F28" s="99">
        <v>6.1857418703880809E-3</v>
      </c>
      <c r="G28" s="99">
        <v>0.53506667178856904</v>
      </c>
      <c r="H28" s="99">
        <v>0.53506667178856904</v>
      </c>
      <c r="I28" s="99">
        <v>2.7835838416746361E-2</v>
      </c>
      <c r="J28" s="99">
        <v>3.9062959911500732</v>
      </c>
      <c r="K28" s="49">
        <v>494.79033168826129</v>
      </c>
      <c r="L28" s="100">
        <v>44.184235468339153</v>
      </c>
      <c r="M28" s="49" t="s">
        <v>237</v>
      </c>
      <c r="N28" s="99">
        <v>3.275015115791243</v>
      </c>
      <c r="O28" s="99">
        <v>3.7183577733874387E-2</v>
      </c>
      <c r="P28" s="99">
        <v>5.7205504205960567E-3</v>
      </c>
      <c r="Q28" s="99">
        <v>0.4948276113815589</v>
      </c>
      <c r="R28" s="99">
        <v>0.4948276113815589</v>
      </c>
      <c r="S28" s="99">
        <v>2.5742476892682255E-2</v>
      </c>
      <c r="T28" s="99">
        <v>3.6125275906064105</v>
      </c>
      <c r="U28" s="49">
        <v>457.58020611819808</v>
      </c>
      <c r="V28" s="100">
        <v>40.861411951589439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8.3507423320692553E-2</v>
      </c>
      <c r="E29" s="99">
        <v>4.4117129301497948E-3</v>
      </c>
      <c r="F29" s="99">
        <v>6.3024470430711368E-4</v>
      </c>
      <c r="G29" s="99">
        <v>4.8213719879494195E-2</v>
      </c>
      <c r="H29" s="99">
        <v>4.8213719879494195E-2</v>
      </c>
      <c r="I29" s="99">
        <v>2.678539993305233E-3</v>
      </c>
      <c r="J29" s="99">
        <v>0.36365119438520449</v>
      </c>
      <c r="K29" s="49">
        <v>50.412544335498239</v>
      </c>
      <c r="L29" s="100">
        <v>4.5017850730380111</v>
      </c>
      <c r="M29" s="49" t="s">
        <v>237</v>
      </c>
      <c r="N29" s="99">
        <v>7.2866249639823827E-2</v>
      </c>
      <c r="O29" s="99">
        <v>3.8495377168208814E-3</v>
      </c>
      <c r="P29" s="99">
        <v>5.499339595458402E-4</v>
      </c>
      <c r="Q29" s="99">
        <v>4.2069947905256769E-2</v>
      </c>
      <c r="R29" s="99">
        <v>4.2069947905256769E-2</v>
      </c>
      <c r="S29" s="99">
        <v>2.3372193280698211E-3</v>
      </c>
      <c r="T29" s="99">
        <v>0.31731189465794973</v>
      </c>
      <c r="U29" s="49">
        <v>43.988580828584425</v>
      </c>
      <c r="V29" s="100">
        <v>3.9281321577495869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3.9807824340160815E-2</v>
      </c>
      <c r="E30" s="99">
        <v>6.6346373900268048E-3</v>
      </c>
      <c r="F30" s="99">
        <v>1.3269274780053602E-3</v>
      </c>
      <c r="G30" s="99">
        <v>3.9807824340160815E-2</v>
      </c>
      <c r="H30" s="99">
        <v>3.9807824340160815E-2</v>
      </c>
      <c r="I30" s="99">
        <v>2.9855868255120621E-3</v>
      </c>
      <c r="J30" s="99">
        <v>0.46707847225788679</v>
      </c>
      <c r="K30" s="49">
        <v>106.13939293385836</v>
      </c>
      <c r="L30" s="100">
        <v>9.4781317045032125</v>
      </c>
      <c r="M30" s="49" t="s">
        <v>237</v>
      </c>
      <c r="N30" s="99">
        <v>3.4735197790130519E-2</v>
      </c>
      <c r="O30" s="99">
        <v>5.7891996316884221E-3</v>
      </c>
      <c r="P30" s="99">
        <v>1.1578399263376836E-3</v>
      </c>
      <c r="Q30" s="99">
        <v>3.4735197790130519E-2</v>
      </c>
      <c r="R30" s="99">
        <v>3.4735197790130519E-2</v>
      </c>
      <c r="S30" s="99">
        <v>2.6051398342597895E-3</v>
      </c>
      <c r="T30" s="99">
        <v>0.40755965407086464</v>
      </c>
      <c r="U30" s="49">
        <v>92.614275409231212</v>
      </c>
      <c r="V30" s="100">
        <v>8.2703535019541796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2.9959031127878274E-2</v>
      </c>
      <c r="E31" s="99">
        <v>3.994537483717104E-3</v>
      </c>
      <c r="F31" s="99">
        <v>7.9890749674342066E-4</v>
      </c>
      <c r="G31" s="99">
        <v>2.5964493644161174E-2</v>
      </c>
      <c r="H31" s="99">
        <v>2.5964493644161174E-2</v>
      </c>
      <c r="I31" s="99">
        <v>1.7975418676726967E-3</v>
      </c>
      <c r="J31" s="99">
        <v>0.21370775537886499</v>
      </c>
      <c r="K31" s="49">
        <v>63.903685860903167</v>
      </c>
      <c r="L31" s="100">
        <v>5.7065292560159957</v>
      </c>
      <c r="M31" s="49" t="s">
        <v>237</v>
      </c>
      <c r="N31" s="99">
        <v>2.6141415389478298E-2</v>
      </c>
      <c r="O31" s="99">
        <v>3.48552205193044E-3</v>
      </c>
      <c r="P31" s="99">
        <v>6.9710441038608757E-4</v>
      </c>
      <c r="Q31" s="99">
        <v>2.2655893337547851E-2</v>
      </c>
      <c r="R31" s="99">
        <v>2.2655893337547851E-2</v>
      </c>
      <c r="S31" s="99">
        <v>1.5684849233686981E-3</v>
      </c>
      <c r="T31" s="99">
        <v>0.18647542977827852</v>
      </c>
      <c r="U31" s="49">
        <v>55.760574828940044</v>
      </c>
      <c r="V31" s="100">
        <v>4.9793583469696632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1.6947180767452041</v>
      </c>
      <c r="E32" s="99">
        <v>4.6433440955341465E-2</v>
      </c>
      <c r="F32" s="99">
        <v>1.2790325107510983E-2</v>
      </c>
      <c r="G32" s="99">
        <v>0.38825125825967949</v>
      </c>
      <c r="H32" s="99">
        <v>0.38825125825967949</v>
      </c>
      <c r="I32" s="99">
        <v>1.2695310426267582E-2</v>
      </c>
      <c r="J32" s="99">
        <v>3.8745297520293565</v>
      </c>
      <c r="K32" s="49">
        <v>1023.0832994570164</v>
      </c>
      <c r="L32" s="100">
        <v>91.360219696884982</v>
      </c>
      <c r="M32" s="49" t="s">
        <v>237</v>
      </c>
      <c r="N32" s="99">
        <v>1.4787637498406538</v>
      </c>
      <c r="O32" s="99">
        <v>4.0516526145161755E-2</v>
      </c>
      <c r="P32" s="99">
        <v>1.1160481130872861E-2</v>
      </c>
      <c r="Q32" s="99">
        <v>0.33877722461489662</v>
      </c>
      <c r="R32" s="99">
        <v>0.33877722461489662</v>
      </c>
      <c r="S32" s="99">
        <v>1.1077573968759351E-2</v>
      </c>
      <c r="T32" s="99">
        <v>3.3808066507344656</v>
      </c>
      <c r="U32" s="49">
        <v>892.71396644922061</v>
      </c>
      <c r="V32" s="100">
        <v>79.718380844027251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0.8078687716910008</v>
      </c>
      <c r="E33" s="99">
        <v>0.10831094173125227</v>
      </c>
      <c r="F33" s="99">
        <v>2.6928959056366674E-2</v>
      </c>
      <c r="G33" s="99">
        <v>0.53353843416593083</v>
      </c>
      <c r="H33" s="99">
        <v>0.53353843416593083</v>
      </c>
      <c r="I33" s="99">
        <v>1.6813212483838311E-2</v>
      </c>
      <c r="J33" s="99">
        <v>8.3238050990862202</v>
      </c>
      <c r="K33" s="49">
        <v>2154.0162623506544</v>
      </c>
      <c r="L33" s="100">
        <v>192.35129638364958</v>
      </c>
      <c r="M33" s="49" t="s">
        <v>237</v>
      </c>
      <c r="N33" s="99">
        <v>0.70492376909044918</v>
      </c>
      <c r="O33" s="99">
        <v>9.4509108353223542E-2</v>
      </c>
      <c r="P33" s="99">
        <v>2.3497458969681632E-2</v>
      </c>
      <c r="Q33" s="99">
        <v>0.46555076411682306</v>
      </c>
      <c r="R33" s="99">
        <v>0.46555076411682306</v>
      </c>
      <c r="S33" s="99">
        <v>1.4670740508780485E-2</v>
      </c>
      <c r="T33" s="99">
        <v>7.263120285414943</v>
      </c>
      <c r="U33" s="49">
        <v>1879.5345426708986</v>
      </c>
      <c r="V33" s="100">
        <v>167.84037901648097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0.60799518887330595</v>
      </c>
      <c r="E34" s="99">
        <v>6.5211117233407417E-2</v>
      </c>
      <c r="F34" s="99">
        <v>1.6213205036621492E-2</v>
      </c>
      <c r="G34" s="99">
        <v>0.35643240220611111</v>
      </c>
      <c r="H34" s="99">
        <v>0.35643240220611111</v>
      </c>
      <c r="I34" s="99">
        <v>1.0122784945165044E-2</v>
      </c>
      <c r="J34" s="99">
        <v>5.011540122062514</v>
      </c>
      <c r="K34" s="49">
        <v>1296.8755027109532</v>
      </c>
      <c r="L34" s="100">
        <v>115.80956400135119</v>
      </c>
      <c r="M34" s="49" t="s">
        <v>237</v>
      </c>
      <c r="N34" s="99">
        <v>0.53051965263160439</v>
      </c>
      <c r="O34" s="99">
        <v>5.6901402997113514E-2</v>
      </c>
      <c r="P34" s="99">
        <v>1.4147190736842782E-2</v>
      </c>
      <c r="Q34" s="99">
        <v>0.31101297784189835</v>
      </c>
      <c r="R34" s="99">
        <v>0.31101297784189835</v>
      </c>
      <c r="S34" s="99">
        <v>8.8328599486540722E-3</v>
      </c>
      <c r="T34" s="99">
        <v>4.3729302030052368</v>
      </c>
      <c r="U34" s="49">
        <v>1131.617410459512</v>
      </c>
      <c r="V34" s="100">
        <v>101.05219710581804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1.0187527862288784E-2</v>
      </c>
      <c r="E35" s="99">
        <v>1.779059717929379E-2</v>
      </c>
      <c r="F35" s="99">
        <v>1.4218259483951086E-3</v>
      </c>
      <c r="G35" s="99">
        <v>1.3151890022654754E-2</v>
      </c>
      <c r="H35" s="99">
        <v>1.3151890022654754E-2</v>
      </c>
      <c r="I35" s="99">
        <v>3.1937765365825125E-4</v>
      </c>
      <c r="J35" s="99">
        <v>4.4129922873313208E-2</v>
      </c>
      <c r="K35" s="49">
        <v>135.81476012860279</v>
      </c>
      <c r="L35" s="100">
        <v>12.128109539090561</v>
      </c>
      <c r="M35" s="49" t="s">
        <v>237</v>
      </c>
      <c r="N35" s="99">
        <v>8.8893528132875776E-3</v>
      </c>
      <c r="O35" s="99">
        <v>1.5523579147325274E-2</v>
      </c>
      <c r="P35" s="99">
        <v>1.2406456860999222E-3</v>
      </c>
      <c r="Q35" s="99">
        <v>1.1475972596424279E-2</v>
      </c>
      <c r="R35" s="99">
        <v>1.1475972596424279E-2</v>
      </c>
      <c r="S35" s="99">
        <v>2.7868003724019499E-4</v>
      </c>
      <c r="T35" s="99">
        <v>3.8506540482326337E-2</v>
      </c>
      <c r="U35" s="49">
        <v>118.50817355840175</v>
      </c>
      <c r="V35" s="100">
        <v>10.582650286558648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3.4362848093568259E-2</v>
      </c>
      <c r="E36" s="99">
        <v>6.0008237192549919E-2</v>
      </c>
      <c r="F36" s="99">
        <v>4.7958631122917003E-3</v>
      </c>
      <c r="G36" s="99">
        <v>4.4361733788698225E-2</v>
      </c>
      <c r="H36" s="99">
        <v>4.4361733788698225E-2</v>
      </c>
      <c r="I36" s="99">
        <v>1.0772707515985236E-3</v>
      </c>
      <c r="J36" s="99">
        <v>0.14885160134775371</v>
      </c>
      <c r="K36" s="49">
        <v>458.10740684591138</v>
      </c>
      <c r="L36" s="100">
        <v>40.908490399975619</v>
      </c>
      <c r="M36" s="49" t="s">
        <v>237</v>
      </c>
      <c r="N36" s="99">
        <v>2.9984063307828598E-2</v>
      </c>
      <c r="O36" s="99">
        <v>5.2361514914981318E-2</v>
      </c>
      <c r="P36" s="99">
        <v>4.1847364567417656E-3</v>
      </c>
      <c r="Q36" s="99">
        <v>3.8708812224861319E-2</v>
      </c>
      <c r="R36" s="99">
        <v>3.8708812224861319E-2</v>
      </c>
      <c r="S36" s="99">
        <v>9.3999642659561898E-4</v>
      </c>
      <c r="T36" s="99">
        <v>0.12988375777612249</v>
      </c>
      <c r="U36" s="49">
        <v>399.73175248020186</v>
      </c>
      <c r="V36" s="100">
        <v>35.6956083104809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1.1202392635995895</v>
      </c>
      <c r="E37" s="99">
        <v>3.9793995578003269E-2</v>
      </c>
      <c r="F37" s="99">
        <v>9.8699494590272184E-3</v>
      </c>
      <c r="G37" s="99">
        <v>0.24354475543915499</v>
      </c>
      <c r="H37" s="99">
        <v>0.24354475543915499</v>
      </c>
      <c r="I37" s="99">
        <v>6.0147119049742568E-3</v>
      </c>
      <c r="J37" s="99">
        <v>1.4945735423157602</v>
      </c>
      <c r="K37" s="49">
        <v>789.48583191882631</v>
      </c>
      <c r="L37" s="100">
        <v>70.500221330914542</v>
      </c>
      <c r="M37" s="49" t="s">
        <v>237</v>
      </c>
      <c r="N37" s="99">
        <v>1.0243805799634658</v>
      </c>
      <c r="O37" s="99">
        <v>3.6388830131050515E-2</v>
      </c>
      <c r="P37" s="99">
        <v>9.025379559149475E-3</v>
      </c>
      <c r="Q37" s="99">
        <v>0.22270467205566125</v>
      </c>
      <c r="R37" s="99">
        <v>0.22270467205566125</v>
      </c>
      <c r="S37" s="99">
        <v>5.5000340282064597E-3</v>
      </c>
      <c r="T37" s="99">
        <v>1.3666831379896212</v>
      </c>
      <c r="U37" s="49">
        <v>721.92966328933699</v>
      </c>
      <c r="V37" s="100">
        <v>64.46752935837857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7.4514045502723197E-2</v>
      </c>
      <c r="E38" s="99">
        <v>1.1674991323126849</v>
      </c>
      <c r="F38" s="99">
        <v>3.0205442835958438</v>
      </c>
      <c r="G38" s="99">
        <v>4.7717948187166959E-2</v>
      </c>
      <c r="H38" s="99">
        <v>4.7717948187166959E-2</v>
      </c>
      <c r="I38" s="99">
        <v>2.5600679202415081E-3</v>
      </c>
      <c r="J38" s="99">
        <v>4.6803354180246268E-2</v>
      </c>
      <c r="K38" s="49">
        <v>28052.115844092266</v>
      </c>
      <c r="L38" s="100">
        <v>209.01555540735816</v>
      </c>
      <c r="M38" s="49" t="s">
        <v>238</v>
      </c>
      <c r="N38" s="99">
        <v>6.8886603775233174E-2</v>
      </c>
      <c r="O38" s="99">
        <v>1.0793273884534063</v>
      </c>
      <c r="P38" s="99">
        <v>2.7924270631904986</v>
      </c>
      <c r="Q38" s="99">
        <v>4.4114198438150107E-2</v>
      </c>
      <c r="R38" s="99">
        <v>4.4114198438150107E-2</v>
      </c>
      <c r="S38" s="99">
        <v>2.3667267462067539E-3</v>
      </c>
      <c r="T38" s="99">
        <v>4.3268676301418903E-2</v>
      </c>
      <c r="U38" s="49">
        <v>25933.566969442061</v>
      </c>
      <c r="V38" s="100">
        <v>193.23030511986869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2.1690177129401588E-2</v>
      </c>
      <c r="E39" s="99">
        <v>0.54757810424856734</v>
      </c>
      <c r="F39" s="99">
        <v>0.38705254088752084</v>
      </c>
      <c r="G39" s="99">
        <v>1.3890143011943079E-2</v>
      </c>
      <c r="H39" s="99">
        <v>1.3890143011943079E-2</v>
      </c>
      <c r="I39" s="99">
        <v>7.4520617259074616E-4</v>
      </c>
      <c r="J39" s="99">
        <v>1.3623915270880841E-2</v>
      </c>
      <c r="K39" s="49">
        <v>8426.6186042696227</v>
      </c>
      <c r="L39" s="100">
        <v>62.786506998840807</v>
      </c>
      <c r="M39" s="49" t="s">
        <v>238</v>
      </c>
      <c r="N39" s="99">
        <v>2.1317595046072068E-2</v>
      </c>
      <c r="O39" s="99">
        <v>0.53817210494992618</v>
      </c>
      <c r="P39" s="99">
        <v>0.38040396253882774</v>
      </c>
      <c r="Q39" s="99">
        <v>1.3651545678677436E-2</v>
      </c>
      <c r="R39" s="99">
        <v>1.3651545678677436E-2</v>
      </c>
      <c r="S39" s="99">
        <v>7.3240542566104471E-4</v>
      </c>
      <c r="T39" s="99">
        <v>1.3389891053169452E-2</v>
      </c>
      <c r="U39" s="49">
        <v>8281.8707261738673</v>
      </c>
      <c r="V39" s="100">
        <v>61.707994479415547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4.9329574557835322E-4</v>
      </c>
      <c r="E40" s="99">
        <v>1.2453469032833604E-2</v>
      </c>
      <c r="F40" s="99">
        <v>1.9996520580464135E-2</v>
      </c>
      <c r="G40" s="99">
        <v>2.7674375628519135E-4</v>
      </c>
      <c r="H40" s="99">
        <v>2.7674375628519135E-4</v>
      </c>
      <c r="I40" s="99">
        <v>1.6948088174874453E-5</v>
      </c>
      <c r="J40" s="99">
        <v>3.0984622214705229E-4</v>
      </c>
      <c r="K40" s="49">
        <v>189.56255446144897</v>
      </c>
      <c r="L40" s="100">
        <v>1.3837187814259562</v>
      </c>
      <c r="M40" s="49" t="s">
        <v>238</v>
      </c>
      <c r="N40" s="99">
        <v>4.6641400602968387E-4</v>
      </c>
      <c r="O40" s="99">
        <v>1.1774827641703104E-2</v>
      </c>
      <c r="P40" s="99">
        <v>1.890682689682327E-2</v>
      </c>
      <c r="Q40" s="99">
        <v>2.6166283648229116E-4</v>
      </c>
      <c r="R40" s="99">
        <v>2.6166283648229116E-4</v>
      </c>
      <c r="S40" s="99">
        <v>1.6024516268470294E-5</v>
      </c>
      <c r="T40" s="99">
        <v>2.9296141112130378E-4</v>
      </c>
      <c r="U40" s="49">
        <v>179.23250141945746</v>
      </c>
      <c r="V40" s="100">
        <v>1.3083141824114559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1.5839675599254139E-3</v>
      </c>
      <c r="E41" s="99">
        <v>2.4817881506068264E-2</v>
      </c>
      <c r="F41" s="99">
        <v>6.4208621693464696E-2</v>
      </c>
      <c r="G41" s="99">
        <v>1.0143548299482944E-3</v>
      </c>
      <c r="H41" s="99">
        <v>1.0143548299482944E-3</v>
      </c>
      <c r="I41" s="99">
        <v>5.4420136626725982E-5</v>
      </c>
      <c r="J41" s="99">
        <v>9.9491302904095155E-4</v>
      </c>
      <c r="K41" s="49">
        <v>555.38834499488598</v>
      </c>
      <c r="L41" s="100">
        <v>4.443106759959087</v>
      </c>
      <c r="M41" s="49" t="s">
        <v>238</v>
      </c>
      <c r="N41" s="99">
        <v>1.3216150655717259E-3</v>
      </c>
      <c r="O41" s="99">
        <v>2.07072966163134E-2</v>
      </c>
      <c r="P41" s="99">
        <v>5.3573749814468628E-2</v>
      </c>
      <c r="Q41" s="99">
        <v>8.4634727314632425E-4</v>
      </c>
      <c r="R41" s="99">
        <v>8.4634727314632425E-4</v>
      </c>
      <c r="S41" s="99">
        <v>4.5406531204300306E-5</v>
      </c>
      <c r="T41" s="99">
        <v>8.3012561707768639E-4</v>
      </c>
      <c r="U41" s="49">
        <v>463.39939185544398</v>
      </c>
      <c r="V41" s="100">
        <v>3.7071951348435501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6.2640334377998873E-4</v>
      </c>
      <c r="E42" s="99">
        <v>1.0705802602785268E-2</v>
      </c>
      <c r="F42" s="99">
        <v>6.8334910230544217E-5</v>
      </c>
      <c r="G42" s="99">
        <v>5.6412746225655242E-6</v>
      </c>
      <c r="H42" s="99">
        <v>5.6412746225655242E-6</v>
      </c>
      <c r="I42" s="99">
        <v>2.2778303410181402E-3</v>
      </c>
      <c r="J42" s="99">
        <v>4.5556606820362803E-3</v>
      </c>
      <c r="K42" s="49">
        <v>281.18883333333309</v>
      </c>
      <c r="L42" s="100">
        <v>277.03333333333336</v>
      </c>
      <c r="M42" s="49" t="s">
        <v>239</v>
      </c>
      <c r="N42" s="99">
        <v>6.2640334377998873E-4</v>
      </c>
      <c r="O42" s="99">
        <v>1.0705802602785268E-2</v>
      </c>
      <c r="P42" s="99">
        <v>6.8334910230544217E-5</v>
      </c>
      <c r="Q42" s="99">
        <v>5.6412746225655242E-6</v>
      </c>
      <c r="R42" s="99">
        <v>5.6412746225655242E-6</v>
      </c>
      <c r="S42" s="99">
        <v>2.2778303410181402E-3</v>
      </c>
      <c r="T42" s="99">
        <v>4.5556606820362803E-3</v>
      </c>
      <c r="U42" s="49">
        <v>281.18883333333309</v>
      </c>
      <c r="V42" s="100">
        <v>277.03333333333336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9.7086916666666717E-3</v>
      </c>
      <c r="E43" s="99">
        <v>0.1765216666666668</v>
      </c>
      <c r="F43" s="99">
        <v>1.0591300000000006E-3</v>
      </c>
      <c r="G43" s="99">
        <v>1.3415646666666666E-2</v>
      </c>
      <c r="H43" s="99">
        <v>1.3415646666666666E-2</v>
      </c>
      <c r="I43" s="99">
        <v>3.530433333333332E-2</v>
      </c>
      <c r="J43" s="99">
        <v>7.0608666666666639E-2</v>
      </c>
      <c r="K43" s="49">
        <v>3583.3898333333341</v>
      </c>
      <c r="L43" s="100">
        <v>3530.4333333333338</v>
      </c>
      <c r="M43" s="49" t="s">
        <v>239</v>
      </c>
      <c r="N43" s="99">
        <v>9.7086916666666717E-3</v>
      </c>
      <c r="O43" s="99">
        <v>0.1765216666666668</v>
      </c>
      <c r="P43" s="99">
        <v>1.0591300000000006E-3</v>
      </c>
      <c r="Q43" s="99">
        <v>1.3415646666666666E-2</v>
      </c>
      <c r="R43" s="99">
        <v>1.3415646666666666E-2</v>
      </c>
      <c r="S43" s="99">
        <v>3.530433333333332E-2</v>
      </c>
      <c r="T43" s="99">
        <v>7.0608666666666639E-2</v>
      </c>
      <c r="U43" s="49">
        <v>3583.3898333333341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0.11046696038131996</v>
      </c>
      <c r="E44" s="99">
        <v>5.2140405299983039E-2</v>
      </c>
      <c r="F44" s="99">
        <v>0.10273427315462753</v>
      </c>
      <c r="G44" s="99">
        <v>8.8263101344674647E-2</v>
      </c>
      <c r="H44" s="99">
        <v>8.8263101344674647E-2</v>
      </c>
      <c r="I44" s="99">
        <v>1.3984564849473205E-2</v>
      </c>
      <c r="J44" s="99">
        <v>1.4424223351790852</v>
      </c>
      <c r="K44" s="49">
        <v>335.81955955921268</v>
      </c>
      <c r="L44" s="100">
        <v>22.093392076263989</v>
      </c>
      <c r="M44" s="49" t="s">
        <v>237</v>
      </c>
      <c r="N44" s="99">
        <v>9.7055184411861589E-2</v>
      </c>
      <c r="O44" s="99">
        <v>4.5810047042398681E-2</v>
      </c>
      <c r="P44" s="99">
        <v>9.0261321503031275E-2</v>
      </c>
      <c r="Q44" s="99">
        <v>7.7547092345077423E-2</v>
      </c>
      <c r="R44" s="99">
        <v>7.7547092345077423E-2</v>
      </c>
      <c r="S44" s="99">
        <v>1.2286701070619622E-2</v>
      </c>
      <c r="T44" s="99">
        <v>1.2672980704578829</v>
      </c>
      <c r="U44" s="49">
        <v>295.04776061205922</v>
      </c>
      <c r="V44" s="100">
        <v>19.411036882372319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2.8532244230068839E-4</v>
      </c>
      <c r="E45" s="99">
        <v>1.346721927659249E-4</v>
      </c>
      <c r="F45" s="99">
        <v>2.653498713396401E-4</v>
      </c>
      <c r="G45" s="99">
        <v>2.2797263139825007E-4</v>
      </c>
      <c r="H45" s="99">
        <v>2.2797263139825007E-4</v>
      </c>
      <c r="I45" s="99">
        <v>3.6120394583055642E-5</v>
      </c>
      <c r="J45" s="99">
        <v>3.7255977903412384E-3</v>
      </c>
      <c r="K45" s="49">
        <v>13.116826184181894</v>
      </c>
      <c r="L45" s="100">
        <v>0.86738022459409281</v>
      </c>
      <c r="M45" s="49" t="s">
        <v>237</v>
      </c>
      <c r="N45" s="99">
        <v>2.6963315214105558E-4</v>
      </c>
      <c r="O45" s="99">
        <v>1.2726684781057824E-4</v>
      </c>
      <c r="P45" s="99">
        <v>2.5075883149118169E-4</v>
      </c>
      <c r="Q45" s="99">
        <v>2.1543688856070343E-4</v>
      </c>
      <c r="R45" s="99">
        <v>2.1543688856070343E-4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8.7184102008962055E-4</v>
      </c>
      <c r="E46" s="99">
        <v>3.4664180803309314E-5</v>
      </c>
      <c r="F46" s="99">
        <v>7.5569431662724817E-6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2.9083381335906245E-5</v>
      </c>
      <c r="P46" s="99">
        <v>6.1727592489711021E-6</v>
      </c>
      <c r="Q46" s="99">
        <v>2.1102851649953144E-4</v>
      </c>
      <c r="R46" s="99">
        <v>2.1102851649953144E-4</v>
      </c>
      <c r="S46" s="99">
        <v>8.1341904248124647E-6</v>
      </c>
      <c r="T46" s="99">
        <v>1.5343025389261339E-3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1.9434212261993555E-2</v>
      </c>
      <c r="F47" s="101">
        <v>1.3760960594379902E-2</v>
      </c>
      <c r="G47" s="101">
        <v>1.9373489384817266E-3</v>
      </c>
      <c r="H47" s="101">
        <v>1.9373489384817266E-3</v>
      </c>
      <c r="I47" s="101">
        <v>1.3544093175893141E-5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1.9434212261993555E-2</v>
      </c>
      <c r="P47" s="101">
        <v>1.3760960594379902E-2</v>
      </c>
      <c r="Q47" s="101">
        <v>1.9373489384817266E-3</v>
      </c>
      <c r="R47" s="101">
        <v>1.9373489384817266E-3</v>
      </c>
      <c r="S47" s="101">
        <v>1.3544093175893141E-5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8.1905961489106325</v>
      </c>
      <c r="E48" s="103">
        <v>2.4041165501364166</v>
      </c>
      <c r="F48" s="103">
        <v>3.6906595215006939</v>
      </c>
      <c r="G48" s="103">
        <v>2.3953272679567257</v>
      </c>
      <c r="H48" s="103">
        <v>2.3953272679567257</v>
      </c>
      <c r="I48" s="103">
        <v>0.13734218830510989</v>
      </c>
      <c r="J48" s="103">
        <v>25.437578151730062</v>
      </c>
      <c r="K48" s="93">
        <v>48120.863508422874</v>
      </c>
      <c r="L48" s="93"/>
      <c r="M48" s="93"/>
      <c r="N48" s="103">
        <v>7.3869582905387761</v>
      </c>
      <c r="O48" s="103">
        <v>2.2491184952875103</v>
      </c>
      <c r="P48" s="103">
        <v>3.4220996022952543</v>
      </c>
      <c r="Q48" s="103">
        <v>2.1347250227214234</v>
      </c>
      <c r="R48" s="103">
        <v>2.1347250227214234</v>
      </c>
      <c r="S48" s="103">
        <v>0.12663844635342442</v>
      </c>
      <c r="T48" s="103">
        <v>22.485730739056315</v>
      </c>
      <c r="U48" s="93">
        <v>44933.651166251286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4.6748698387842982</v>
      </c>
      <c r="E50" s="99">
        <v>5.3077124807157969E-2</v>
      </c>
      <c r="F50" s="99">
        <v>8.1657115087935359E-3</v>
      </c>
      <c r="G50" s="99">
        <v>0.70633404551064061</v>
      </c>
      <c r="H50" s="99">
        <v>0.70633404551064061</v>
      </c>
      <c r="I50" s="99">
        <v>3.6745701789570893E-2</v>
      </c>
      <c r="J50" s="99">
        <v>5.1566468178031135</v>
      </c>
      <c r="K50" s="49">
        <v>655.62782405459586</v>
      </c>
      <c r="L50" s="100">
        <v>58.326992563048016</v>
      </c>
      <c r="M50" s="49" t="s">
        <v>237</v>
      </c>
      <c r="N50" s="99">
        <v>4.3129852393914048</v>
      </c>
      <c r="O50" s="99">
        <v>4.8968391364269268E-2</v>
      </c>
      <c r="P50" s="99">
        <v>7.5335986714260388E-3</v>
      </c>
      <c r="Q50" s="99">
        <v>0.65165628507835227</v>
      </c>
      <c r="R50" s="99">
        <v>0.65165628507835227</v>
      </c>
      <c r="S50" s="99">
        <v>3.3901194021417169E-2</v>
      </c>
      <c r="T50" s="99">
        <v>4.7574675610055435</v>
      </c>
      <c r="U50" s="49">
        <v>604.87238573868535</v>
      </c>
      <c r="V50" s="100">
        <v>53.811863572213987</v>
      </c>
      <c r="W50" t="s">
        <v>237</v>
      </c>
      <c r="Y50" s="14">
        <f>N50/$U50*2000</f>
        <v>14.260810515012283</v>
      </c>
      <c r="Z50" s="6">
        <f t="shared" ref="Z50:AE65" si="0">O50/$U50*2000</f>
        <v>0.16191313248485575</v>
      </c>
      <c r="AA50" s="249">
        <f t="shared" si="0"/>
        <v>2.4909712689977801E-2</v>
      </c>
      <c r="AB50" s="6">
        <f t="shared" si="0"/>
        <v>2.1546901476830795</v>
      </c>
      <c r="AC50" s="250">
        <f t="shared" si="0"/>
        <v>2.1546901476830795</v>
      </c>
      <c r="AD50" s="6">
        <f t="shared" si="0"/>
        <v>0.11209370710490009</v>
      </c>
      <c r="AE50" s="14">
        <f t="shared" si="0"/>
        <v>15.730483563720979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0.10121050840996269</v>
      </c>
      <c r="E51" s="99">
        <v>5.3469702556206708E-3</v>
      </c>
      <c r="F51" s="99">
        <v>7.6385289366009599E-4</v>
      </c>
      <c r="G51" s="99">
        <v>5.8434746364997348E-2</v>
      </c>
      <c r="H51" s="99">
        <v>5.8434746364997348E-2</v>
      </c>
      <c r="I51" s="99">
        <v>3.2463747980554084E-3</v>
      </c>
      <c r="J51" s="99">
        <v>0.44074311964187529</v>
      </c>
      <c r="K51" s="49">
        <v>61.319134163794502</v>
      </c>
      <c r="L51" s="100">
        <v>5.4561371657321489</v>
      </c>
      <c r="M51" s="49" t="s">
        <v>237</v>
      </c>
      <c r="N51" s="99">
        <v>8.8089791456659891E-2</v>
      </c>
      <c r="O51" s="99">
        <v>4.653800303370711E-3</v>
      </c>
      <c r="P51" s="99">
        <v>6.6482861476724472E-4</v>
      </c>
      <c r="Q51" s="99">
        <v>5.085938902969421E-2</v>
      </c>
      <c r="R51" s="99">
        <v>5.085938902969421E-2</v>
      </c>
      <c r="S51" s="99">
        <v>2.8255216127607888E-3</v>
      </c>
      <c r="T51" s="99">
        <v>0.38360611072070022</v>
      </c>
      <c r="U51" s="49">
        <v>53.369557195848209</v>
      </c>
      <c r="V51" s="100">
        <v>4.7488150453848048</v>
      </c>
      <c r="W51" t="s">
        <v>237</v>
      </c>
      <c r="Y51" s="14">
        <f t="shared" ref="Y51:AE70" si="1">N51/$U51*2000</f>
        <v>3.3011250639910754</v>
      </c>
      <c r="Z51" s="6">
        <f t="shared" si="0"/>
        <v>0.17439905998443417</v>
      </c>
      <c r="AA51" s="249">
        <f t="shared" si="0"/>
        <v>2.4914151426347748E-2</v>
      </c>
      <c r="AB51" s="6">
        <f t="shared" si="0"/>
        <v>1.9059325841156023</v>
      </c>
      <c r="AC51" s="250">
        <f t="shared" si="0"/>
        <v>1.9059325841156023</v>
      </c>
      <c r="AD51" s="6">
        <f t="shared" si="0"/>
        <v>0.1058851435619779</v>
      </c>
      <c r="AE51" s="14">
        <f t="shared" si="0"/>
        <v>14.375465373002651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4.8246850159533249E-2</v>
      </c>
      <c r="E52" s="99">
        <v>8.0411416932555397E-3</v>
      </c>
      <c r="F52" s="99">
        <v>1.6082283386511075E-3</v>
      </c>
      <c r="G52" s="99">
        <v>4.8246850159533249E-2</v>
      </c>
      <c r="H52" s="99">
        <v>4.8246850159533249E-2</v>
      </c>
      <c r="I52" s="99">
        <v>3.6185137619649927E-3</v>
      </c>
      <c r="J52" s="99">
        <v>0.56609637520518996</v>
      </c>
      <c r="K52" s="49">
        <v>129.10230501482664</v>
      </c>
      <c r="L52" s="100">
        <v>11.487440163318414</v>
      </c>
      <c r="M52" s="49" t="s">
        <v>237</v>
      </c>
      <c r="N52" s="99">
        <v>4.1992230211696527E-2</v>
      </c>
      <c r="O52" s="99">
        <v>6.998705035282755E-3</v>
      </c>
      <c r="P52" s="99">
        <v>1.399741007056551E-3</v>
      </c>
      <c r="Q52" s="99">
        <v>4.1992230211696527E-2</v>
      </c>
      <c r="R52" s="99">
        <v>4.1992230211696527E-2</v>
      </c>
      <c r="S52" s="99">
        <v>3.1494172658772393E-3</v>
      </c>
      <c r="T52" s="99">
        <v>0.49270883448390596</v>
      </c>
      <c r="U52" s="49">
        <v>112.36513603078349</v>
      </c>
      <c r="V52" s="100">
        <v>9.9982326366613616</v>
      </c>
      <c r="W52" t="s">
        <v>237</v>
      </c>
      <c r="Y52" s="14">
        <f t="shared" si="1"/>
        <v>0.74742454279043202</v>
      </c>
      <c r="Z52" s="6">
        <f t="shared" si="0"/>
        <v>0.12457075713173869</v>
      </c>
      <c r="AA52" s="249">
        <f t="shared" si="0"/>
        <v>2.4914151426347737E-2</v>
      </c>
      <c r="AB52" s="6">
        <f t="shared" si="0"/>
        <v>0.74742454279043202</v>
      </c>
      <c r="AC52" s="250">
        <f t="shared" si="0"/>
        <v>0.74742454279043202</v>
      </c>
      <c r="AD52" s="6">
        <f t="shared" si="0"/>
        <v>5.60568407092824E-2</v>
      </c>
      <c r="AE52" s="14">
        <f t="shared" si="0"/>
        <v>8.7697813020744029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3.6310170417761037E-2</v>
      </c>
      <c r="E53" s="99">
        <v>4.8413560557014736E-3</v>
      </c>
      <c r="F53" s="99">
        <v>9.682712111402942E-4</v>
      </c>
      <c r="G53" s="99">
        <v>3.1468814362059568E-2</v>
      </c>
      <c r="H53" s="99">
        <v>3.1468814362059568E-2</v>
      </c>
      <c r="I53" s="99">
        <v>2.1786102250656619E-3</v>
      </c>
      <c r="J53" s="99">
        <v>0.25901254898002879</v>
      </c>
      <c r="K53" s="49">
        <v>77.729040232283154</v>
      </c>
      <c r="L53" s="100">
        <v>6.9162800657817645</v>
      </c>
      <c r="M53" s="49" t="s">
        <v>237</v>
      </c>
      <c r="N53" s="99">
        <v>3.1602996468511953E-2</v>
      </c>
      <c r="O53" s="99">
        <v>4.2137328624682604E-3</v>
      </c>
      <c r="P53" s="99">
        <v>8.4274657249365211E-4</v>
      </c>
      <c r="Q53" s="99">
        <v>2.7389263606043691E-2</v>
      </c>
      <c r="R53" s="99">
        <v>2.7389263606043691E-2</v>
      </c>
      <c r="S53" s="99">
        <v>1.8961797881107173E-3</v>
      </c>
      <c r="T53" s="99">
        <v>0.22543470814205185</v>
      </c>
      <c r="U53" s="49">
        <v>67.65203904174821</v>
      </c>
      <c r="V53" s="100">
        <v>6.0196680979284309</v>
      </c>
      <c r="W53" t="s">
        <v>237</v>
      </c>
      <c r="Y53" s="14">
        <f t="shared" si="1"/>
        <v>0.93428067848804031</v>
      </c>
      <c r="Z53" s="6">
        <f t="shared" si="0"/>
        <v>0.12457075713173869</v>
      </c>
      <c r="AA53" s="249">
        <f t="shared" si="0"/>
        <v>2.4914151426347741E-2</v>
      </c>
      <c r="AB53" s="6">
        <f t="shared" si="0"/>
        <v>0.80970992135630149</v>
      </c>
      <c r="AC53" s="250">
        <f t="shared" si="0"/>
        <v>0.80970992135630149</v>
      </c>
      <c r="AD53" s="6">
        <f t="shared" si="0"/>
        <v>5.6056840709282414E-2</v>
      </c>
      <c r="AE53" s="14">
        <f t="shared" si="0"/>
        <v>6.6645355065480176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2.0539883921485349</v>
      </c>
      <c r="E54" s="99">
        <v>5.6277058726461465E-2</v>
      </c>
      <c r="F54" s="99">
        <v>1.5501799186026684E-2</v>
      </c>
      <c r="G54" s="99">
        <v>0.47055825310721633</v>
      </c>
      <c r="H54" s="99">
        <v>0.47055825310721633</v>
      </c>
      <c r="I54" s="99">
        <v>1.538664194835063E-2</v>
      </c>
      <c r="J54" s="99">
        <v>4.6959073871370132</v>
      </c>
      <c r="K54" s="49">
        <v>1244.4240402277705</v>
      </c>
      <c r="L54" s="100">
        <v>110.7280516662328</v>
      </c>
      <c r="M54" s="49" t="s">
        <v>237</v>
      </c>
      <c r="N54" s="99">
        <v>1.7877136669037237</v>
      </c>
      <c r="O54" s="99">
        <v>4.8981419468101445E-2</v>
      </c>
      <c r="P54" s="99">
        <v>1.3492178618141309E-2</v>
      </c>
      <c r="Q54" s="99">
        <v>0.4095560731354313</v>
      </c>
      <c r="R54" s="99">
        <v>0.4095560731354313</v>
      </c>
      <c r="S54" s="99">
        <v>1.33919501220002E-2</v>
      </c>
      <c r="T54" s="99">
        <v>4.0871398526832152</v>
      </c>
      <c r="U54" s="49">
        <v>1083.0935709793252</v>
      </c>
      <c r="V54" s="100">
        <v>96.373500468658534</v>
      </c>
      <c r="W54" t="s">
        <v>237</v>
      </c>
      <c r="Y54" s="14">
        <f t="shared" si="1"/>
        <v>3.3011250639910754</v>
      </c>
      <c r="Z54" s="6">
        <f t="shared" si="0"/>
        <v>9.0447253645523543E-2</v>
      </c>
      <c r="AA54" s="249">
        <f t="shared" si="0"/>
        <v>2.4914151426347737E-2</v>
      </c>
      <c r="AB54" s="6">
        <f t="shared" si="0"/>
        <v>0.75627089682586457</v>
      </c>
      <c r="AC54" s="250">
        <f t="shared" si="0"/>
        <v>0.75627089682586457</v>
      </c>
      <c r="AD54" s="6">
        <f t="shared" si="0"/>
        <v>2.4729073241366018E-2</v>
      </c>
      <c r="AE54" s="14">
        <f t="shared" si="0"/>
        <v>7.5471592892711072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0.97913222393867771</v>
      </c>
      <c r="E55" s="99">
        <v>0.13127222758249724</v>
      </c>
      <c r="F55" s="99">
        <v>3.2637740797955901E-2</v>
      </c>
      <c r="G55" s="99">
        <v>0.64664546013849444</v>
      </c>
      <c r="H55" s="99">
        <v>0.64664546013849444</v>
      </c>
      <c r="I55" s="99">
        <v>2.03775151456786E-2</v>
      </c>
      <c r="J55" s="99">
        <v>10.088403072247607</v>
      </c>
      <c r="K55" s="49">
        <v>2620.0306674279182</v>
      </c>
      <c r="L55" s="100">
        <v>233.1286456479682</v>
      </c>
      <c r="M55" s="49" t="s">
        <v>237</v>
      </c>
      <c r="N55" s="99">
        <v>0.85219958648842686</v>
      </c>
      <c r="O55" s="99">
        <v>0.11425437272731942</v>
      </c>
      <c r="P55" s="99">
        <v>2.8406652882947556E-2</v>
      </c>
      <c r="Q55" s="99">
        <v>0.56281570584807661</v>
      </c>
      <c r="R55" s="99">
        <v>0.56281570584807661</v>
      </c>
      <c r="S55" s="99">
        <v>1.7735817039044335E-2</v>
      </c>
      <c r="T55" s="99">
        <v>8.780563764834719</v>
      </c>
      <c r="U55" s="49">
        <v>2280.3628666161476</v>
      </c>
      <c r="V55" s="100">
        <v>202.90633947335829</v>
      </c>
      <c r="W55" t="s">
        <v>237</v>
      </c>
      <c r="Y55" s="14">
        <f t="shared" si="1"/>
        <v>0.74742454279043224</v>
      </c>
      <c r="Z55" s="6">
        <f t="shared" si="0"/>
        <v>0.1002071857948315</v>
      </c>
      <c r="AA55" s="249">
        <f t="shared" si="0"/>
        <v>2.4914151426347737E-2</v>
      </c>
      <c r="AB55" s="6">
        <f t="shared" si="0"/>
        <v>0.49361942705482159</v>
      </c>
      <c r="AC55" s="250">
        <f t="shared" si="0"/>
        <v>0.49361942705482159</v>
      </c>
      <c r="AD55" s="6">
        <f t="shared" si="0"/>
        <v>1.5555258593876933E-2</v>
      </c>
      <c r="AE55" s="14">
        <f t="shared" si="0"/>
        <v>7.7010232830744885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0.73688661115029941</v>
      </c>
      <c r="E56" s="99">
        <v>7.9035492495424658E-2</v>
      </c>
      <c r="F56" s="99">
        <v>1.9650309630674653E-2</v>
      </c>
      <c r="G56" s="99">
        <v>0.43199398576253001</v>
      </c>
      <c r="H56" s="99">
        <v>0.43199398576253001</v>
      </c>
      <c r="I56" s="99">
        <v>1.2268756118726985E-2</v>
      </c>
      <c r="J56" s="99">
        <v>6.0739573022508528</v>
      </c>
      <c r="K56" s="49">
        <v>1577.4502952130247</v>
      </c>
      <c r="L56" s="100">
        <v>140.36051389467852</v>
      </c>
      <c r="M56" s="49" t="s">
        <v>237</v>
      </c>
      <c r="N56" s="99">
        <v>0.64135818427570557</v>
      </c>
      <c r="O56" s="99">
        <v>6.8789497859206808E-2</v>
      </c>
      <c r="P56" s="99">
        <v>1.7102884914018811E-2</v>
      </c>
      <c r="Q56" s="99">
        <v>0.37599119611384829</v>
      </c>
      <c r="R56" s="99">
        <v>0.37599119611384829</v>
      </c>
      <c r="S56" s="99">
        <v>1.0678260438665035E-2</v>
      </c>
      <c r="T56" s="99">
        <v>5.2865422818018954</v>
      </c>
      <c r="U56" s="49">
        <v>1372.9454093252241</v>
      </c>
      <c r="V56" s="100">
        <v>122.16447276056515</v>
      </c>
      <c r="W56" t="s">
        <v>237</v>
      </c>
      <c r="Y56" s="14">
        <f t="shared" si="1"/>
        <v>0.93428067848804075</v>
      </c>
      <c r="Z56" s="6">
        <f t="shared" si="0"/>
        <v>0.10020718579483143</v>
      </c>
      <c r="AA56" s="249">
        <f t="shared" si="0"/>
        <v>2.4914151426347744E-2</v>
      </c>
      <c r="AB56" s="6">
        <f t="shared" si="0"/>
        <v>0.54771470673206246</v>
      </c>
      <c r="AC56" s="250">
        <f t="shared" si="0"/>
        <v>0.54771470673206246</v>
      </c>
      <c r="AD56" s="6">
        <f t="shared" si="0"/>
        <v>1.5555258593876929E-2</v>
      </c>
      <c r="AE56" s="14">
        <f t="shared" si="0"/>
        <v>7.7010232830744929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1.2347224155429219E-2</v>
      </c>
      <c r="E57" s="99">
        <v>2.1562099677275015E-2</v>
      </c>
      <c r="F57" s="99">
        <v>1.723244729452549E-3</v>
      </c>
      <c r="G57" s="99">
        <v>1.5940013747436085E-2</v>
      </c>
      <c r="H57" s="99">
        <v>1.5940013747436085E-2</v>
      </c>
      <c r="I57" s="99">
        <v>3.8708384735327899E-4</v>
      </c>
      <c r="J57" s="99">
        <v>5.3485208290383543E-2</v>
      </c>
      <c r="K57" s="49">
        <v>165.19784128184008</v>
      </c>
      <c r="L57" s="100">
        <v>14.699197792142987</v>
      </c>
      <c r="M57" s="49" t="s">
        <v>237</v>
      </c>
      <c r="N57" s="99">
        <v>1.0746556044503858E-2</v>
      </c>
      <c r="O57" s="99">
        <v>1.8766834529129802E-2</v>
      </c>
      <c r="P57" s="99">
        <v>1.4998469154149686E-3</v>
      </c>
      <c r="Q57" s="99">
        <v>1.3873583967588464E-2</v>
      </c>
      <c r="R57" s="99">
        <v>1.3873583967588464E-2</v>
      </c>
      <c r="S57" s="99">
        <v>3.3690311337508736E-4</v>
      </c>
      <c r="T57" s="99">
        <v>4.6551498637192108E-2</v>
      </c>
      <c r="U57" s="49">
        <v>143.78115019320484</v>
      </c>
      <c r="V57" s="100">
        <v>12.793624777035625</v>
      </c>
      <c r="W57" t="s">
        <v>237</v>
      </c>
      <c r="Y57" s="14">
        <f t="shared" si="1"/>
        <v>0.14948490855808644</v>
      </c>
      <c r="Z57" s="6">
        <f t="shared" si="0"/>
        <v>0.26104721660540359</v>
      </c>
      <c r="AA57" s="249">
        <f t="shared" si="0"/>
        <v>2.0862914414018257E-2</v>
      </c>
      <c r="AB57" s="6">
        <f t="shared" si="0"/>
        <v>0.19298195832966897</v>
      </c>
      <c r="AC57" s="250">
        <f t="shared" si="0"/>
        <v>0.19298195832966897</v>
      </c>
      <c r="AD57" s="6">
        <f t="shared" si="0"/>
        <v>4.6863321502488521E-3</v>
      </c>
      <c r="AE57" s="14">
        <f t="shared" si="0"/>
        <v>0.64753270612509195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4.1647570810660672E-2</v>
      </c>
      <c r="E58" s="99">
        <v>7.2729632331245075E-2</v>
      </c>
      <c r="F58" s="99">
        <v>5.8125580284711367E-3</v>
      </c>
      <c r="G58" s="99">
        <v>5.3766161763357995E-2</v>
      </c>
      <c r="H58" s="99">
        <v>5.3766161763357995E-2</v>
      </c>
      <c r="I58" s="99">
        <v>1.3056458471453294E-3</v>
      </c>
      <c r="J58" s="99">
        <v>0.18040726980867286</v>
      </c>
      <c r="K58" s="49">
        <v>557.21745276070499</v>
      </c>
      <c r="L58" s="100">
        <v>49.580850983335978</v>
      </c>
      <c r="M58" s="49" t="s">
        <v>237</v>
      </c>
      <c r="N58" s="99">
        <v>3.6248467525991035E-2</v>
      </c>
      <c r="O58" s="99">
        <v>6.3301116113633496E-2</v>
      </c>
      <c r="P58" s="99">
        <v>5.0590302588318474E-3</v>
      </c>
      <c r="Q58" s="99">
        <v>4.6796029894194582E-2</v>
      </c>
      <c r="R58" s="99">
        <v>4.6796029894194582E-2</v>
      </c>
      <c r="S58" s="99">
        <v>1.1363846718901037E-3</v>
      </c>
      <c r="T58" s="99">
        <v>0.15701965165849349</v>
      </c>
      <c r="U58" s="49">
        <v>484.97828811803691</v>
      </c>
      <c r="V58" s="100">
        <v>43.153293980843898</v>
      </c>
      <c r="W58" t="s">
        <v>237</v>
      </c>
      <c r="Y58" s="14">
        <f t="shared" si="1"/>
        <v>0.14948490855808649</v>
      </c>
      <c r="Z58" s="6">
        <f t="shared" si="0"/>
        <v>0.26104721660540359</v>
      </c>
      <c r="AA58" s="249">
        <f t="shared" si="0"/>
        <v>2.0862914414018264E-2</v>
      </c>
      <c r="AB58" s="6">
        <f t="shared" si="0"/>
        <v>0.19298195832966891</v>
      </c>
      <c r="AC58" s="250">
        <f t="shared" si="0"/>
        <v>0.19298195832966891</v>
      </c>
      <c r="AD58" s="6">
        <f t="shared" si="0"/>
        <v>4.6863321502488529E-3</v>
      </c>
      <c r="AE58" s="14">
        <f t="shared" si="0"/>
        <v>0.64753270612509206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1.1696523824001865</v>
      </c>
      <c r="E59" s="99">
        <v>4.1549286161845146E-2</v>
      </c>
      <c r="F59" s="99">
        <v>1.0305307333922348E-2</v>
      </c>
      <c r="G59" s="99">
        <v>0.25428737652450095</v>
      </c>
      <c r="H59" s="99">
        <v>0.25428737652450095</v>
      </c>
      <c r="I59" s="99">
        <v>6.280017437077165E-3</v>
      </c>
      <c r="J59" s="99">
        <v>1.5604983339226668</v>
      </c>
      <c r="K59" s="49">
        <v>826.981654738869</v>
      </c>
      <c r="L59" s="100">
        <v>73.609946123901281</v>
      </c>
      <c r="M59" s="49" t="s">
        <v>237</v>
      </c>
      <c r="N59" s="99">
        <v>1.0694314847916233</v>
      </c>
      <c r="O59" s="99">
        <v>3.7989162815120367E-2</v>
      </c>
      <c r="P59" s="99">
        <v>9.4223038307631977E-3</v>
      </c>
      <c r="Q59" s="99">
        <v>0.23249892936764927</v>
      </c>
      <c r="R59" s="99">
        <v>0.23249892936764927</v>
      </c>
      <c r="S59" s="99">
        <v>5.7419182599098744E-3</v>
      </c>
      <c r="T59" s="99">
        <v>1.4267880571808995</v>
      </c>
      <c r="U59" s="49">
        <v>756.12203547860452</v>
      </c>
      <c r="V59" s="100">
        <v>67.302726146016198</v>
      </c>
      <c r="W59" t="s">
        <v>237</v>
      </c>
      <c r="Y59" s="14">
        <f t="shared" si="1"/>
        <v>2.8287272017266432</v>
      </c>
      <c r="Z59" s="6">
        <f t="shared" si="0"/>
        <v>0.10048421030627488</v>
      </c>
      <c r="AA59" s="249">
        <f t="shared" si="0"/>
        <v>2.4922706623142221E-2</v>
      </c>
      <c r="AB59" s="6">
        <f t="shared" si="0"/>
        <v>0.61497726149584786</v>
      </c>
      <c r="AC59" s="250">
        <f t="shared" si="0"/>
        <v>0.61497726149584786</v>
      </c>
      <c r="AD59" s="6">
        <f t="shared" si="0"/>
        <v>1.5187808291489342E-2</v>
      </c>
      <c r="AE59" s="14">
        <f t="shared" si="0"/>
        <v>3.7739623770593638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8.7483691366764149E-2</v>
      </c>
      <c r="E60" s="99">
        <v>1.3707098181707935</v>
      </c>
      <c r="F60" s="99">
        <v>3.546289321468735</v>
      </c>
      <c r="G60" s="99">
        <v>5.6023562050577382E-2</v>
      </c>
      <c r="H60" s="99">
        <v>5.6023562050577382E-2</v>
      </c>
      <c r="I60" s="99">
        <v>3.0056641040134761E-3</v>
      </c>
      <c r="J60" s="99">
        <v>5.4949777111274654E-2</v>
      </c>
      <c r="K60" s="49">
        <v>32934.765897250814</v>
      </c>
      <c r="L60" s="100">
        <v>245.39604871462595</v>
      </c>
      <c r="M60" s="49" t="s">
        <v>238</v>
      </c>
      <c r="N60" s="99">
        <v>8.078206641669404E-2</v>
      </c>
      <c r="O60" s="99">
        <v>1.2657075832028106</v>
      </c>
      <c r="P60" s="99">
        <v>3.2746283910070026</v>
      </c>
      <c r="Q60" s="99">
        <v>5.1731917569597156E-2</v>
      </c>
      <c r="R60" s="99">
        <v>5.1731917569597156E-2</v>
      </c>
      <c r="S60" s="99">
        <v>2.7754173776088887E-3</v>
      </c>
      <c r="T60" s="99">
        <v>5.0740389149513225E-2</v>
      </c>
      <c r="U60" s="49">
        <v>30411.821958632481</v>
      </c>
      <c r="V60" s="100">
        <v>226.59766175790759</v>
      </c>
      <c r="W60" t="s">
        <v>238</v>
      </c>
      <c r="Y60" s="14">
        <f t="shared" si="1"/>
        <v>5.3125436895281987E-3</v>
      </c>
      <c r="Z60" s="6">
        <f t="shared" si="0"/>
        <v>8.3237866177467604E-2</v>
      </c>
      <c r="AA60" s="249">
        <f t="shared" si="0"/>
        <v>0.215352332093835</v>
      </c>
      <c r="AB60" s="6">
        <f t="shared" si="0"/>
        <v>3.4020926230572588E-3</v>
      </c>
      <c r="AC60" s="250">
        <f t="shared" si="0"/>
        <v>3.4020926230572588E-3</v>
      </c>
      <c r="AD60" s="6">
        <f t="shared" si="0"/>
        <v>1.8252226922702201E-4</v>
      </c>
      <c r="AE60" s="14">
        <f t="shared" si="0"/>
        <v>3.3368858477819956E-3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2.6483816501760581E-2</v>
      </c>
      <c r="E61" s="99">
        <v>0.66859564801078619</v>
      </c>
      <c r="F61" s="99">
        <v>0.4725931193761575</v>
      </c>
      <c r="G61" s="99">
        <v>1.6959935205548116E-2</v>
      </c>
      <c r="H61" s="99">
        <v>1.6959935205548116E-2</v>
      </c>
      <c r="I61" s="99">
        <v>9.0990052377765693E-4</v>
      </c>
      <c r="J61" s="99">
        <v>1.6634869780775115E-2</v>
      </c>
      <c r="K61" s="49">
        <v>10288.944138832658</v>
      </c>
      <c r="L61" s="100">
        <v>76.662644118742705</v>
      </c>
      <c r="M61" s="49" t="s">
        <v>238</v>
      </c>
      <c r="N61" s="99">
        <v>2.6028891884599798E-2</v>
      </c>
      <c r="O61" s="99">
        <v>0.65711087506703569</v>
      </c>
      <c r="P61" s="99">
        <v>0.4644751714251617</v>
      </c>
      <c r="Q61" s="99">
        <v>1.6668606649109026E-2</v>
      </c>
      <c r="R61" s="99">
        <v>1.6668606649109026E-2</v>
      </c>
      <c r="S61" s="99">
        <v>8.9427074672469929E-4</v>
      </c>
      <c r="T61" s="99">
        <v>1.6349125021667767E-2</v>
      </c>
      <c r="U61" s="49">
        <v>10112.206244087163</v>
      </c>
      <c r="V61" s="100">
        <v>75.345774851659016</v>
      </c>
      <c r="W61" t="s">
        <v>238</v>
      </c>
      <c r="Y61" s="14">
        <f t="shared" si="1"/>
        <v>5.1480144404332101E-3</v>
      </c>
      <c r="Z61" s="6">
        <f t="shared" si="0"/>
        <v>0.12996389891696747</v>
      </c>
      <c r="AA61" s="249">
        <f t="shared" si="0"/>
        <v>9.1864259927797828E-2</v>
      </c>
      <c r="AB61" s="6">
        <f t="shared" si="0"/>
        <v>3.2967299611507705E-3</v>
      </c>
      <c r="AC61" s="250">
        <f t="shared" si="0"/>
        <v>3.2967299611507705E-3</v>
      </c>
      <c r="AD61" s="6">
        <f t="shared" si="0"/>
        <v>1.7686956241573886E-4</v>
      </c>
      <c r="AE61" s="14">
        <f t="shared" si="0"/>
        <v>3.2335426368953805E-3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5.8168543744096797E-4</v>
      </c>
      <c r="E62" s="99">
        <v>1.4684905854049687E-2</v>
      </c>
      <c r="F62" s="99">
        <v>2.3579536060071429E-2</v>
      </c>
      <c r="G62" s="99">
        <v>3.2633124120110425E-4</v>
      </c>
      <c r="H62" s="99">
        <v>3.2633124120110425E-4</v>
      </c>
      <c r="I62" s="99">
        <v>1.9984879602461642E-5</v>
      </c>
      <c r="J62" s="99">
        <v>3.6536507132801113E-4</v>
      </c>
      <c r="K62" s="49">
        <v>223.52874194172634</v>
      </c>
      <c r="L62" s="100">
        <v>1.6316562060055202</v>
      </c>
      <c r="M62" s="49" t="s">
        <v>238</v>
      </c>
      <c r="N62" s="99">
        <v>5.4922924816148098E-4</v>
      </c>
      <c r="O62" s="99">
        <v>1.3865535016699378E-2</v>
      </c>
      <c r="P62" s="99">
        <v>2.2263873270136389E-2</v>
      </c>
      <c r="Q62" s="99">
        <v>3.081230003710974E-4</v>
      </c>
      <c r="R62" s="99">
        <v>3.081230003710974E-4</v>
      </c>
      <c r="S62" s="99">
        <v>1.8869787160129215E-5</v>
      </c>
      <c r="T62" s="99">
        <v>3.4497886746617085E-4</v>
      </c>
      <c r="U62" s="49">
        <v>211.05655217919244</v>
      </c>
      <c r="V62" s="100">
        <v>1.5406150018554867</v>
      </c>
      <c r="W62" t="s">
        <v>238</v>
      </c>
      <c r="Y62" s="14">
        <f t="shared" si="1"/>
        <v>5.2045695098361247E-3</v>
      </c>
      <c r="Z62" s="6">
        <f t="shared" si="0"/>
        <v>0.13139165662980395</v>
      </c>
      <c r="AA62" s="249">
        <f t="shared" si="0"/>
        <v>0.21097542853096346</v>
      </c>
      <c r="AB62" s="6">
        <f t="shared" si="0"/>
        <v>2.9198145917734225E-3</v>
      </c>
      <c r="AC62" s="250">
        <f t="shared" si="0"/>
        <v>2.9198145917734225E-3</v>
      </c>
      <c r="AD62" s="6">
        <f t="shared" si="0"/>
        <v>1.7881261647928638E-4</v>
      </c>
      <c r="AE62" s="14">
        <f t="shared" si="0"/>
        <v>3.2690656973612922E-3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2.2559470382735288E-3</v>
      </c>
      <c r="E63" s="99">
        <v>3.5346573816495599E-2</v>
      </c>
      <c r="F63" s="99">
        <v>9.1448369023301154E-2</v>
      </c>
      <c r="G63" s="99">
        <v>1.4446828535352424E-3</v>
      </c>
      <c r="H63" s="99">
        <v>1.4446828535352424E-3</v>
      </c>
      <c r="I63" s="99">
        <v>7.7507235092165775E-5</v>
      </c>
      <c r="J63" s="99">
        <v>1.4169930988424837E-3</v>
      </c>
      <c r="K63" s="49">
        <v>791.00527288693149</v>
      </c>
      <c r="L63" s="100">
        <v>6.3280421830954534</v>
      </c>
      <c r="M63" s="49" t="s">
        <v>238</v>
      </c>
      <c r="N63" s="99">
        <v>1.8692084216578577E-3</v>
      </c>
      <c r="O63" s="99">
        <v>2.9287085349799718E-2</v>
      </c>
      <c r="P63" s="99">
        <v>7.5771309620835364E-2</v>
      </c>
      <c r="Q63" s="99">
        <v>1.1970198371852739E-3</v>
      </c>
      <c r="R63" s="99">
        <v>1.1970198371852739E-3</v>
      </c>
      <c r="S63" s="99">
        <v>6.4220114264989972E-5</v>
      </c>
      <c r="T63" s="99">
        <v>1.1740769569725566E-3</v>
      </c>
      <c r="U63" s="49">
        <v>655.40267239055322</v>
      </c>
      <c r="V63" s="100">
        <v>5.2432213791244262</v>
      </c>
      <c r="W63" t="s">
        <v>238</v>
      </c>
      <c r="Y63" s="14">
        <f t="shared" si="1"/>
        <v>5.7039999999999999E-3</v>
      </c>
      <c r="Z63" s="6">
        <f t="shared" si="0"/>
        <v>8.9371272298833723E-2</v>
      </c>
      <c r="AA63" s="249">
        <f t="shared" si="0"/>
        <v>0.23122063065279472</v>
      </c>
      <c r="AB63" s="6">
        <f t="shared" si="0"/>
        <v>3.6527767969550544E-3</v>
      </c>
      <c r="AC63" s="250">
        <f t="shared" si="0"/>
        <v>3.6527767969550544E-3</v>
      </c>
      <c r="AD63" s="6">
        <f t="shared" si="0"/>
        <v>1.9597147515663872E-4</v>
      </c>
      <c r="AE63" s="14">
        <f t="shared" si="0"/>
        <v>3.5827652416800838E-3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6.4990552711092716E-4</v>
      </c>
      <c r="E64" s="99">
        <v>1.1107476281532221E-2</v>
      </c>
      <c r="F64" s="99">
        <v>7.0898784775737584E-5</v>
      </c>
      <c r="G64" s="99">
        <v>5.8529310125197163E-6</v>
      </c>
      <c r="H64" s="99">
        <v>5.8529310125197163E-6</v>
      </c>
      <c r="I64" s="99">
        <v>2.3632928258579176E-3</v>
      </c>
      <c r="J64" s="99">
        <v>4.7265856517158351E-3</v>
      </c>
      <c r="K64" s="49">
        <v>291.73882732240412</v>
      </c>
      <c r="L64" s="100">
        <v>287.42741608118655</v>
      </c>
      <c r="M64" s="49" t="s">
        <v>239</v>
      </c>
      <c r="N64" s="99">
        <v>6.4990552711092716E-4</v>
      </c>
      <c r="O64" s="99">
        <v>1.1107476281532221E-2</v>
      </c>
      <c r="P64" s="99">
        <v>7.0898784775737584E-5</v>
      </c>
      <c r="Q64" s="99">
        <v>5.8529310125197163E-6</v>
      </c>
      <c r="R64" s="99">
        <v>5.8529310125197163E-6</v>
      </c>
      <c r="S64" s="99">
        <v>2.3632928258579176E-3</v>
      </c>
      <c r="T64" s="99">
        <v>4.7265856517158351E-3</v>
      </c>
      <c r="U64" s="49">
        <v>291.73882732240412</v>
      </c>
      <c r="V64" s="100">
        <v>287.42741608118655</v>
      </c>
      <c r="W64" t="s">
        <v>239</v>
      </c>
      <c r="Y64" s="14">
        <f t="shared" si="1"/>
        <v>4.4553927434054482E-3</v>
      </c>
      <c r="Z64" s="6">
        <f t="shared" si="0"/>
        <v>7.6146712341838646E-2</v>
      </c>
      <c r="AA64" s="249">
        <f t="shared" si="0"/>
        <v>4.860428447351403E-4</v>
      </c>
      <c r="AB64" s="6">
        <f t="shared" si="0"/>
        <v>4.0124456975701566E-5</v>
      </c>
      <c r="AC64" s="250">
        <f t="shared" si="0"/>
        <v>4.0124456975701566E-5</v>
      </c>
      <c r="AD64" s="6">
        <f t="shared" si="0"/>
        <v>1.6201428157837997E-2</v>
      </c>
      <c r="AE64" s="14">
        <f t="shared" si="0"/>
        <v>3.2402856315675993E-2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7.2943884387197564E-3</v>
      </c>
      <c r="E65" s="99">
        <v>0.13262524434035919</v>
      </c>
      <c r="F65" s="99">
        <v>7.9575146604215531E-4</v>
      </c>
      <c r="G65" s="99">
        <v>1.0079518569867293E-2</v>
      </c>
      <c r="H65" s="99">
        <v>1.0079518569867293E-2</v>
      </c>
      <c r="I65" s="99">
        <v>2.6525048868071815E-2</v>
      </c>
      <c r="J65" s="99">
        <v>5.305009773614363E-2</v>
      </c>
      <c r="K65" s="49">
        <v>2692.2924601092896</v>
      </c>
      <c r="L65" s="100">
        <v>2652.5048868071826</v>
      </c>
      <c r="M65" s="49" t="s">
        <v>239</v>
      </c>
      <c r="N65" s="99">
        <v>7.2943884387197564E-3</v>
      </c>
      <c r="O65" s="99">
        <v>0.13262524434035919</v>
      </c>
      <c r="P65" s="99">
        <v>7.9575146604215531E-4</v>
      </c>
      <c r="Q65" s="99">
        <v>1.0079518569867293E-2</v>
      </c>
      <c r="R65" s="99">
        <v>1.0079518569867293E-2</v>
      </c>
      <c r="S65" s="99">
        <v>2.6525048868071815E-2</v>
      </c>
      <c r="T65" s="99">
        <v>5.305009773614363E-2</v>
      </c>
      <c r="U65" s="49">
        <v>2692.2924601092896</v>
      </c>
      <c r="V65" s="100">
        <v>2652.5048868071826</v>
      </c>
      <c r="W65" t="s">
        <v>239</v>
      </c>
      <c r="Y65" s="14">
        <f t="shared" si="1"/>
        <v>5.4187192118226642E-3</v>
      </c>
      <c r="Z65" s="6">
        <f t="shared" si="0"/>
        <v>9.8522167487684803E-2</v>
      </c>
      <c r="AA65" s="249">
        <f t="shared" si="0"/>
        <v>5.9113300492610887E-4</v>
      </c>
      <c r="AB65" s="6">
        <f t="shared" si="0"/>
        <v>7.4876847290640414E-3</v>
      </c>
      <c r="AC65" s="250">
        <f t="shared" si="0"/>
        <v>7.4876847290640414E-3</v>
      </c>
      <c r="AD65" s="6">
        <f t="shared" si="0"/>
        <v>1.9704433497536943E-2</v>
      </c>
      <c r="AE65" s="14">
        <f t="shared" si="0"/>
        <v>3.9408866995073885E-2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0.13126425007986367</v>
      </c>
      <c r="E66" s="99">
        <v>6.1956726037695656E-2</v>
      </c>
      <c r="F66" s="99">
        <v>0.12207575257427321</v>
      </c>
      <c r="G66" s="99">
        <v>0.10488013581381103</v>
      </c>
      <c r="H66" s="99">
        <v>0.10488013581381103</v>
      </c>
      <c r="I66" s="99">
        <v>1.661739773886034E-2</v>
      </c>
      <c r="J66" s="99">
        <v>1.7139829454178199</v>
      </c>
      <c r="K66" s="49">
        <v>399.04332024278546</v>
      </c>
      <c r="L66" s="100">
        <v>26.252850015972733</v>
      </c>
      <c r="M66" s="49" t="s">
        <v>237</v>
      </c>
      <c r="N66" s="99">
        <v>0.11507470765552567</v>
      </c>
      <c r="O66" s="99">
        <v>5.4315262013408111E-2</v>
      </c>
      <c r="P66" s="99">
        <v>0.10701947811963887</v>
      </c>
      <c r="Q66" s="99">
        <v>9.1944691416765034E-2</v>
      </c>
      <c r="R66" s="99">
        <v>9.1944691416765034E-2</v>
      </c>
      <c r="S66" s="99">
        <v>1.4567882615651275E-2</v>
      </c>
      <c r="T66" s="99">
        <v>1.5025879952120262</v>
      </c>
      <c r="U66" s="49">
        <v>349.82711127279811</v>
      </c>
      <c r="V66" s="100">
        <v>23.014941531105137</v>
      </c>
      <c r="W66" t="s">
        <v>237</v>
      </c>
      <c r="Y66" s="14">
        <f t="shared" si="1"/>
        <v>0.65789473684210509</v>
      </c>
      <c r="Z66" s="6">
        <f t="shared" si="1"/>
        <v>0.31052631578947359</v>
      </c>
      <c r="AA66" s="249">
        <f t="shared" si="1"/>
        <v>0.61184210526315774</v>
      </c>
      <c r="AB66" s="6">
        <f t="shared" si="1"/>
        <v>0.5256578947368421</v>
      </c>
      <c r="AC66" s="250">
        <f t="shared" si="1"/>
        <v>0.5256578947368421</v>
      </c>
      <c r="AD66" s="6">
        <f t="shared" si="1"/>
        <v>8.3286184210526318E-2</v>
      </c>
      <c r="AE66" s="14">
        <f t="shared" si="1"/>
        <v>8.5904605263157876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1.6443543175439636E-4</v>
      </c>
      <c r="F67" s="99">
        <v>3.2399354138048429E-4</v>
      </c>
      <c r="G67" s="99">
        <v>2.7835574146559892E-4</v>
      </c>
      <c r="H67" s="99">
        <v>2.7835574146559892E-4</v>
      </c>
      <c r="I67" s="99">
        <v>4.4103185345228465E-5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3.2922344900610868E-4</v>
      </c>
      <c r="O67" s="99">
        <v>1.5539346793088337E-4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4.1678042526928352E-5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2.9937064250054862E-4</v>
      </c>
      <c r="H68" s="99">
        <v>2.9937064250054862E-4</v>
      </c>
      <c r="I68" s="99">
        <v>1.0961826058757602E-5</v>
      </c>
      <c r="J68" s="99">
        <v>2.12931673904609E-3</v>
      </c>
      <c r="K68" s="49">
        <v>9.6654102131207296</v>
      </c>
      <c r="L68" s="100">
        <v>0.79814120981799463</v>
      </c>
      <c r="M68" s="49" t="s">
        <v>237</v>
      </c>
      <c r="N68" s="99">
        <v>8.7269646582558823E-4</v>
      </c>
      <c r="O68" s="99">
        <v>3.5510956409239793E-5</v>
      </c>
      <c r="P68" s="99">
        <v>7.5369704121824448E-6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4.5454071442014882E-4</v>
      </c>
      <c r="E69" s="101">
        <v>2.3729271934124715E-2</v>
      </c>
      <c r="F69" s="101">
        <v>1.6802202817214628E-2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5.648986028061233E-3</v>
      </c>
      <c r="K69" s="94">
        <v>125.9077778943812</v>
      </c>
      <c r="L69" s="102">
        <v>0.90908142884029708</v>
      </c>
      <c r="M69" s="94" t="s">
        <v>238</v>
      </c>
      <c r="N69" s="101">
        <v>4.5454071442014882E-4</v>
      </c>
      <c r="O69" s="101">
        <v>2.3729271934124715E-2</v>
      </c>
      <c r="P69" s="101">
        <v>1.6802202817214628E-2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5.648986028061233E-3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7.2202166064981961E-3</v>
      </c>
      <c r="Z69" s="252">
        <f t="shared" si="1"/>
        <v>0.37693099395384794</v>
      </c>
      <c r="AA69" s="253">
        <f t="shared" si="1"/>
        <v>0.26689697964980841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8.9732121756607178E-2</v>
      </c>
    </row>
    <row r="70" spans="1:31" x14ac:dyDescent="0.25">
      <c r="A70" s="17" t="s">
        <v>236</v>
      </c>
      <c r="B70" s="17" t="s">
        <v>219</v>
      </c>
      <c r="C70" s="17"/>
      <c r="D70" s="103">
        <v>10.112172899947835</v>
      </c>
      <c r="E70" s="103">
        <v>2.7926948148049959</v>
      </c>
      <c r="F70" s="103">
        <v>4.3711251958367088</v>
      </c>
      <c r="G70" s="103">
        <v>2.9103389653895362</v>
      </c>
      <c r="H70" s="103">
        <v>2.9103389653895362</v>
      </c>
      <c r="I70" s="103">
        <v>0.15138525951226592</v>
      </c>
      <c r="J70" s="103">
        <v>30.932611345757437</v>
      </c>
      <c r="K70" s="93">
        <v>55687.987813238709</v>
      </c>
      <c r="L70" s="93"/>
      <c r="M70" s="93"/>
      <c r="N70" s="103">
        <v>9.1062730617799659</v>
      </c>
      <c r="O70" s="103">
        <v>2.6048562707080127</v>
      </c>
      <c r="P70" s="103">
        <v>4.0475646035746573</v>
      </c>
      <c r="Q70" s="103">
        <v>2.5882506455525549</v>
      </c>
      <c r="R70" s="103">
        <v>2.5882506455525549</v>
      </c>
      <c r="S70" s="103">
        <v>0.13807069600535996</v>
      </c>
      <c r="T70" s="103">
        <v>27.28461678215475</v>
      </c>
      <c r="U70" s="93">
        <v>51832.82158544907</v>
      </c>
      <c r="Y70" s="14">
        <f t="shared" si="1"/>
        <v>0.35137091839647616</v>
      </c>
      <c r="Z70" s="6">
        <f t="shared" si="1"/>
        <v>0.10050991595793307</v>
      </c>
      <c r="AA70" s="249">
        <f t="shared" si="1"/>
        <v>0.1561776681171809</v>
      </c>
      <c r="AB70" s="6">
        <f t="shared" si="1"/>
        <v>9.9869178114708287E-2</v>
      </c>
      <c r="AC70" s="250">
        <f t="shared" si="1"/>
        <v>9.9869178114708287E-2</v>
      </c>
      <c r="AD70" s="6">
        <f t="shared" si="1"/>
        <v>5.3275392611125101E-3</v>
      </c>
      <c r="AE70" s="14">
        <f t="shared" si="1"/>
        <v>1.0527930352845893</v>
      </c>
    </row>
    <row r="71" spans="1:31" x14ac:dyDescent="0.25">
      <c r="R71" s="99"/>
      <c r="T71" s="1" t="s">
        <v>33</v>
      </c>
      <c r="U71" s="49">
        <f>SUM(U50:U60,U62:U64,U66)</f>
        <v>38879.389560515039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7.3732948901989381</v>
      </c>
      <c r="O74" s="99">
        <f t="shared" si="2"/>
        <v>0.19490803596426989</v>
      </c>
      <c r="P74" s="99">
        <f t="shared" si="2"/>
        <v>0.13813238785473667</v>
      </c>
      <c r="Q74" s="99">
        <f>SUM(Q50,Q51,Q54, Q59,Q66)</f>
        <v>1.4365153680278921</v>
      </c>
      <c r="R74" s="99">
        <f t="shared" ref="R74:U74" si="3">SUM(R50,R51,R54, R59,R66)</f>
        <v>1.4365153680278921</v>
      </c>
      <c r="S74" s="99">
        <f t="shared" si="3"/>
        <v>7.0428466631739309E-2</v>
      </c>
      <c r="T74" s="99">
        <f t="shared" si="3"/>
        <v>12.157589576802385</v>
      </c>
      <c r="U74" s="49">
        <f t="shared" si="3"/>
        <v>2847.2846606652615</v>
      </c>
      <c r="Y74" s="14">
        <f t="shared" ref="Y74:AE81" si="4">N74/$U74*2000</f>
        <v>5.179176491946671</v>
      </c>
      <c r="Z74" s="6">
        <f t="shared" si="4"/>
        <v>0.13690800829076927</v>
      </c>
      <c r="AA74" s="249">
        <f t="shared" si="4"/>
        <v>9.7027451988212762E-2</v>
      </c>
      <c r="AB74" s="6">
        <f t="shared" si="4"/>
        <v>1.0090423257450158</v>
      </c>
      <c r="AC74" s="250">
        <f t="shared" si="4"/>
        <v>1.0090423257450158</v>
      </c>
      <c r="AD74" s="6">
        <f t="shared" si="4"/>
        <v>4.9470618519248347E-2</v>
      </c>
      <c r="AE74" s="14">
        <f t="shared" si="4"/>
        <v>8.5397780873527349</v>
      </c>
    </row>
    <row r="75" spans="1:31" x14ac:dyDescent="0.25">
      <c r="M75" s="1" t="s">
        <v>588</v>
      </c>
      <c r="N75" s="99">
        <f t="shared" ref="N75:U75" si="5">SUM(N52:N53,N55:N56)</f>
        <v>1.567152997444341</v>
      </c>
      <c r="O75" s="99">
        <f t="shared" si="5"/>
        <v>0.19425630848427722</v>
      </c>
      <c r="P75" s="99">
        <f t="shared" si="5"/>
        <v>4.7752025376516571E-2</v>
      </c>
      <c r="Q75" s="99">
        <f t="shared" si="5"/>
        <v>1.0081883957796651</v>
      </c>
      <c r="R75" s="99">
        <f t="shared" si="5"/>
        <v>1.0081883957796651</v>
      </c>
      <c r="S75" s="99">
        <f t="shared" si="5"/>
        <v>3.3459674531697327E-2</v>
      </c>
      <c r="T75" s="99">
        <f t="shared" si="5"/>
        <v>14.785249589262573</v>
      </c>
      <c r="U75" s="49">
        <f t="shared" si="5"/>
        <v>3833.3254510139031</v>
      </c>
      <c r="Y75" s="14">
        <f t="shared" si="4"/>
        <v>0.8176467234368705</v>
      </c>
      <c r="Z75" s="6">
        <f t="shared" si="4"/>
        <v>0.10135132587445557</v>
      </c>
      <c r="AA75" s="249">
        <f t="shared" si="4"/>
        <v>2.4914151426347744E-2</v>
      </c>
      <c r="AB75" s="6">
        <f t="shared" si="4"/>
        <v>0.52601241854536629</v>
      </c>
      <c r="AC75" s="250">
        <f t="shared" si="4"/>
        <v>0.52601241854536629</v>
      </c>
      <c r="AD75" s="6">
        <f t="shared" si="4"/>
        <v>1.7457257391410554E-2</v>
      </c>
      <c r="AE75" s="14">
        <f t="shared" si="4"/>
        <v>7.71405912605303</v>
      </c>
    </row>
    <row r="76" spans="1:31" x14ac:dyDescent="0.25">
      <c r="M76" s="1" t="s">
        <v>589</v>
      </c>
      <c r="N76" s="99">
        <f t="shared" ref="N76:V76" si="6">SUM(N60,N62:N63)</f>
        <v>8.3200504086513374E-2</v>
      </c>
      <c r="O76" s="99">
        <f t="shared" si="6"/>
        <v>1.3088602035693098</v>
      </c>
      <c r="P76" s="99">
        <f t="shared" si="6"/>
        <v>3.3726635738979742</v>
      </c>
      <c r="Q76" s="99">
        <f t="shared" si="6"/>
        <v>5.3237060407153529E-2</v>
      </c>
      <c r="R76" s="99">
        <f t="shared" si="6"/>
        <v>5.3237060407153529E-2</v>
      </c>
      <c r="S76" s="99">
        <f t="shared" si="6"/>
        <v>2.8585072790340079E-3</v>
      </c>
      <c r="T76" s="99">
        <f t="shared" si="6"/>
        <v>5.2259444973951956E-2</v>
      </c>
      <c r="U76" s="49">
        <f t="shared" si="6"/>
        <v>31278.281183202227</v>
      </c>
      <c r="V76" s="100">
        <f t="shared" si="6"/>
        <v>233.38149813888751</v>
      </c>
      <c r="W76" t="s">
        <v>238</v>
      </c>
      <c r="Y76" s="14">
        <f t="shared" si="4"/>
        <v>5.3200176569290257E-3</v>
      </c>
      <c r="Z76" s="6">
        <f t="shared" si="4"/>
        <v>8.3691312569453044E-2</v>
      </c>
      <c r="AA76" s="249">
        <f t="shared" si="4"/>
        <v>0.21565530114290543</v>
      </c>
      <c r="AB76" s="6">
        <f t="shared" si="4"/>
        <v>3.4040911708245721E-3</v>
      </c>
      <c r="AC76" s="250">
        <f t="shared" si="4"/>
        <v>3.4040911708245721E-3</v>
      </c>
      <c r="AD76" s="6">
        <f t="shared" si="4"/>
        <v>1.8277905120752915E-4</v>
      </c>
      <c r="AE76" s="14">
        <f t="shared" si="4"/>
        <v>3.3415803552541441E-3</v>
      </c>
    </row>
    <row r="77" spans="1:31" x14ac:dyDescent="0.25">
      <c r="M77" s="1" t="s">
        <v>590</v>
      </c>
      <c r="N77" s="99">
        <f t="shared" ref="N77:U77" si="7">SUM(N64,N66)</f>
        <v>0.1157246131826366</v>
      </c>
      <c r="O77" s="99">
        <f t="shared" si="7"/>
        <v>6.542273829494033E-2</v>
      </c>
      <c r="P77" s="99">
        <f t="shared" si="7"/>
        <v>0.10709037690441461</v>
      </c>
      <c r="Q77" s="99">
        <f t="shared" si="7"/>
        <v>9.1950544347777552E-2</v>
      </c>
      <c r="R77" s="99">
        <f t="shared" si="7"/>
        <v>9.1950544347777552E-2</v>
      </c>
      <c r="S77" s="99">
        <f t="shared" si="7"/>
        <v>1.6931175441509193E-2</v>
      </c>
      <c r="T77" s="99">
        <f t="shared" si="7"/>
        <v>1.507314580863742</v>
      </c>
      <c r="U77" s="49">
        <f t="shared" si="7"/>
        <v>641.56593859520217</v>
      </c>
      <c r="Y77" s="14">
        <f t="shared" si="4"/>
        <v>0.36075672419901761</v>
      </c>
      <c r="Z77" s="6">
        <f t="shared" si="4"/>
        <v>0.20394704381654835</v>
      </c>
      <c r="AA77" s="249">
        <f t="shared" si="4"/>
        <v>0.33384059365403307</v>
      </c>
      <c r="AB77" s="6">
        <f t="shared" si="4"/>
        <v>0.28664409631569926</v>
      </c>
      <c r="AC77" s="250">
        <f t="shared" si="4"/>
        <v>0.28664409631569926</v>
      </c>
      <c r="AD77" s="6">
        <f t="shared" si="4"/>
        <v>5.2780780346856807E-2</v>
      </c>
      <c r="AE77" s="14">
        <f t="shared" si="4"/>
        <v>4.698860990545155</v>
      </c>
    </row>
    <row r="78" spans="1:31" x14ac:dyDescent="0.25">
      <c r="M78" s="1" t="s">
        <v>591</v>
      </c>
      <c r="N78" s="99">
        <f t="shared" ref="N78:V78" si="8">N61</f>
        <v>2.6028891884599798E-2</v>
      </c>
      <c r="O78" s="99">
        <f t="shared" si="8"/>
        <v>0.65711087506703569</v>
      </c>
      <c r="P78" s="99">
        <f t="shared" si="8"/>
        <v>0.4644751714251617</v>
      </c>
      <c r="Q78" s="99">
        <f t="shared" si="8"/>
        <v>1.6668606649109026E-2</v>
      </c>
      <c r="R78" s="99">
        <f t="shared" si="8"/>
        <v>1.6668606649109026E-2</v>
      </c>
      <c r="S78" s="99">
        <f t="shared" si="8"/>
        <v>8.9427074672469929E-4</v>
      </c>
      <c r="T78" s="99">
        <f t="shared" si="8"/>
        <v>1.6349125021667767E-2</v>
      </c>
      <c r="U78" s="49">
        <f t="shared" si="8"/>
        <v>10112.206244087163</v>
      </c>
      <c r="V78" s="100">
        <f t="shared" si="8"/>
        <v>75.345774851659016</v>
      </c>
      <c r="W78" t="s">
        <v>238</v>
      </c>
      <c r="Y78" s="14">
        <f t="shared" si="4"/>
        <v>5.1480144404332101E-3</v>
      </c>
      <c r="Z78" s="6">
        <f t="shared" si="4"/>
        <v>0.12996389891696747</v>
      </c>
      <c r="AA78" s="249">
        <f t="shared" si="4"/>
        <v>9.1864259927797828E-2</v>
      </c>
      <c r="AB78" s="6">
        <f t="shared" si="4"/>
        <v>3.2967299611507705E-3</v>
      </c>
      <c r="AC78" s="250">
        <f t="shared" si="4"/>
        <v>3.2967299611507705E-3</v>
      </c>
      <c r="AD78" s="6">
        <f t="shared" si="4"/>
        <v>1.7686956241573886E-4</v>
      </c>
      <c r="AE78" s="14">
        <f t="shared" si="4"/>
        <v>3.2335426368953805E-3</v>
      </c>
    </row>
    <row r="79" spans="1:31" x14ac:dyDescent="0.25">
      <c r="M79" s="1" t="s">
        <v>592</v>
      </c>
      <c r="N79" s="99">
        <f t="shared" ref="N79:V79" si="9">SUM(N50:N59,N68)</f>
        <v>8.8732409000240722</v>
      </c>
      <c r="O79" s="99">
        <f t="shared" si="9"/>
        <v>0.41695254403431159</v>
      </c>
      <c r="P79" s="99">
        <f t="shared" si="9"/>
        <v>8.5431349256273353E-2</v>
      </c>
      <c r="Q79" s="99">
        <f t="shared" si="9"/>
        <v>2.4136863531436412</v>
      </c>
      <c r="R79" s="99">
        <f t="shared" si="9"/>
        <v>2.4136863531436412</v>
      </c>
      <c r="S79" s="99">
        <f t="shared" si="9"/>
        <v>9.0803478220896183E-2</v>
      </c>
      <c r="T79" s="99">
        <f t="shared" si="9"/>
        <v>25.645695712345784</v>
      </c>
      <c r="U79" s="49">
        <f t="shared" si="9"/>
        <v>6967.4374630648108</v>
      </c>
      <c r="V79" s="100">
        <f t="shared" si="9"/>
        <v>619.92448489932019</v>
      </c>
      <c r="W79" t="s">
        <v>743</v>
      </c>
      <c r="Y79" s="14">
        <f t="shared" si="4"/>
        <v>2.547060076839482</v>
      </c>
      <c r="Z79" s="6">
        <f t="shared" si="4"/>
        <v>0.11968605279763904</v>
      </c>
      <c r="AA79" s="249">
        <f t="shared" si="4"/>
        <v>2.4523032954125466E-2</v>
      </c>
      <c r="AB79" s="6">
        <f t="shared" si="4"/>
        <v>0.69284765480533428</v>
      </c>
      <c r="AC79" s="250">
        <f t="shared" si="4"/>
        <v>0.69284765480533428</v>
      </c>
      <c r="AD79" s="6">
        <f t="shared" si="4"/>
        <v>2.606510031909318E-2</v>
      </c>
      <c r="AE79" s="14">
        <f t="shared" si="4"/>
        <v>7.36158619242629</v>
      </c>
    </row>
    <row r="80" spans="1:31" x14ac:dyDescent="0.25">
      <c r="M80" s="1" t="s">
        <v>593</v>
      </c>
      <c r="N80" s="99">
        <f t="shared" ref="N80:U80" si="10">SUM(N65,N67,N69)</f>
        <v>8.0781526021460135E-3</v>
      </c>
      <c r="O80" s="99">
        <f t="shared" si="10"/>
        <v>0.1565099097424148</v>
      </c>
      <c r="P80" s="99">
        <f t="shared" si="10"/>
        <v>1.7904132090832463E-2</v>
      </c>
      <c r="Q80" s="99">
        <f t="shared" si="10"/>
        <v>1.2708081004873814E-2</v>
      </c>
      <c r="R80" s="99">
        <f t="shared" si="10"/>
        <v>1.2708081004873814E-2</v>
      </c>
      <c r="S80" s="99">
        <f t="shared" si="10"/>
        <v>2.6583264317195893E-2</v>
      </c>
      <c r="T80" s="99">
        <f t="shared" si="10"/>
        <v>6.2997918949602133E-2</v>
      </c>
      <c r="U80" s="49">
        <f t="shared" si="10"/>
        <v>2833.3307564996635</v>
      </c>
      <c r="Y80" s="14">
        <f t="shared" si="4"/>
        <v>5.7022305522323674E-3</v>
      </c>
      <c r="Z80" s="6">
        <f t="shared" si="4"/>
        <v>0.11047768382380413</v>
      </c>
      <c r="AA80" s="249">
        <f t="shared" si="4"/>
        <v>1.263822238173949E-2</v>
      </c>
      <c r="AB80" s="6">
        <f t="shared" si="4"/>
        <v>8.9704182794200522E-3</v>
      </c>
      <c r="AC80" s="250">
        <f t="shared" si="4"/>
        <v>8.9704182794200522E-3</v>
      </c>
      <c r="AD80" s="6">
        <f t="shared" si="4"/>
        <v>1.8764674231000995E-2</v>
      </c>
      <c r="AE80" s="14">
        <f t="shared" si="4"/>
        <v>4.4469159701940798E-2</v>
      </c>
    </row>
    <row r="81" spans="13:31" x14ac:dyDescent="0.25">
      <c r="M81" s="1" t="s">
        <v>594</v>
      </c>
      <c r="N81" s="99">
        <f>SUM(N76:N80)</f>
        <v>9.1062730617799676</v>
      </c>
      <c r="O81" s="99">
        <f t="shared" ref="O81:U81" si="11">SUM(O76:O80)</f>
        <v>2.6048562707080123</v>
      </c>
      <c r="P81" s="99">
        <f t="shared" si="11"/>
        <v>4.0475646035746564</v>
      </c>
      <c r="Q81" s="99">
        <f t="shared" si="11"/>
        <v>2.5882506455525554</v>
      </c>
      <c r="R81" s="99">
        <f t="shared" si="11"/>
        <v>2.5882506455525554</v>
      </c>
      <c r="S81" s="99">
        <f t="shared" si="11"/>
        <v>0.13807069600535998</v>
      </c>
      <c r="T81" s="99">
        <f t="shared" si="11"/>
        <v>27.284616782154746</v>
      </c>
      <c r="U81" s="49">
        <f t="shared" si="11"/>
        <v>51832.82158544907</v>
      </c>
      <c r="Y81" s="14">
        <f t="shared" si="4"/>
        <v>0.35137091839647622</v>
      </c>
      <c r="Z81" s="6">
        <f t="shared" si="4"/>
        <v>0.10050991595793306</v>
      </c>
      <c r="AA81" s="249">
        <f t="shared" si="4"/>
        <v>0.15617766811718084</v>
      </c>
      <c r="AB81" s="6">
        <f t="shared" si="4"/>
        <v>9.9869178114708315E-2</v>
      </c>
      <c r="AC81" s="250">
        <f t="shared" si="4"/>
        <v>9.9869178114708315E-2</v>
      </c>
      <c r="AD81" s="6">
        <f t="shared" si="4"/>
        <v>5.3275392611125119E-3</v>
      </c>
      <c r="AE81" s="14">
        <f t="shared" si="4"/>
        <v>1.0527930352845891</v>
      </c>
    </row>
    <row r="83" spans="13:31" x14ac:dyDescent="0.25">
      <c r="V83" s="42">
        <f>V79/Lookup!B37</f>
        <v>368.39842097281542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69660.99224184177</v>
      </c>
      <c r="W84" t="s">
        <v>746</v>
      </c>
    </row>
  </sheetData>
  <sheetProtection algorithmName="SHA-512" hashValue="L7PZZDQWIIRTrA/4wOMzBuxOTUXmlM8YxT3MpqPEAR9mylfzPidwBcIzan0DRk/AvL5YikC9rPbTqSlqna1V7g==" saltValue="I5dVGB2yb5qRpg+r+13h1Q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A83F-5B4B-4F2D-A016-16B5C8AF60DA}">
  <sheetPr codeName="Sheet21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1539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5.737322204693009</v>
      </c>
      <c r="E6" s="99">
        <v>6.5139902760706664E-2</v>
      </c>
      <c r="F6" s="99">
        <v>1.0021523501647176E-2</v>
      </c>
      <c r="G6" s="99">
        <v>0.86686178289248084</v>
      </c>
      <c r="H6" s="99">
        <v>0.86686178289248084</v>
      </c>
      <c r="I6" s="99">
        <v>4.5096855757412284E-2</v>
      </c>
      <c r="J6" s="99">
        <v>6.3285920912901918</v>
      </c>
      <c r="K6" s="49">
        <v>806.23227856524011</v>
      </c>
      <c r="L6" s="100">
        <v>71.58290200694934</v>
      </c>
      <c r="M6" s="49" t="s">
        <v>237</v>
      </c>
      <c r="N6" s="99">
        <v>5.2864976609606478</v>
      </c>
      <c r="O6" s="99">
        <v>6.0021370823133996E-2</v>
      </c>
      <c r="P6" s="99">
        <v>9.2340570497129217E-3</v>
      </c>
      <c r="Q6" s="99">
        <v>0.79874593480016765</v>
      </c>
      <c r="R6" s="99">
        <v>0.79874593480016765</v>
      </c>
      <c r="S6" s="99">
        <v>4.1553256723708139E-2</v>
      </c>
      <c r="T6" s="99">
        <v>5.8313070268937093</v>
      </c>
      <c r="U6" s="49">
        <v>742.88054649253797</v>
      </c>
      <c r="V6" s="100">
        <v>65.958095174604452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0.11834283031723535</v>
      </c>
      <c r="E7" s="99">
        <v>6.2520740544954488E-3</v>
      </c>
      <c r="F7" s="99">
        <v>8.9315343635649276E-4</v>
      </c>
      <c r="G7" s="99">
        <v>6.832623788127172E-2</v>
      </c>
      <c r="H7" s="99">
        <v>6.832623788127172E-2</v>
      </c>
      <c r="I7" s="99">
        <v>3.7959021045150939E-3</v>
      </c>
      <c r="J7" s="99">
        <v>0.51534953277769657</v>
      </c>
      <c r="K7" s="49">
        <v>71.854257487268569</v>
      </c>
      <c r="L7" s="100">
        <v>6.3797200995805028</v>
      </c>
      <c r="M7" s="49" t="s">
        <v>237</v>
      </c>
      <c r="N7" s="99">
        <v>0.10284300466689485</v>
      </c>
      <c r="O7" s="99">
        <v>5.4332153408925563E-3</v>
      </c>
      <c r="P7" s="99">
        <v>7.7617362012750838E-4</v>
      </c>
      <c r="Q7" s="99">
        <v>5.9377281939754396E-2</v>
      </c>
      <c r="R7" s="99">
        <v>5.9377281939754396E-2</v>
      </c>
      <c r="S7" s="99">
        <v>3.2987378855419101E-3</v>
      </c>
      <c r="T7" s="99">
        <v>0.44785217881357231</v>
      </c>
      <c r="U7" s="49">
        <v>62.443222950560084</v>
      </c>
      <c r="V7" s="100">
        <v>5.5441430817214918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5.6413794293406441E-2</v>
      </c>
      <c r="E8" s="99">
        <v>9.4022990489010735E-3</v>
      </c>
      <c r="F8" s="99">
        <v>1.8804598097802146E-3</v>
      </c>
      <c r="G8" s="99">
        <v>5.6413794293406441E-2</v>
      </c>
      <c r="H8" s="99">
        <v>5.6413794293406441E-2</v>
      </c>
      <c r="I8" s="99">
        <v>4.2310345720054845E-3</v>
      </c>
      <c r="J8" s="99">
        <v>0.66192185304263562</v>
      </c>
      <c r="K8" s="49">
        <v>151.28312545894542</v>
      </c>
      <c r="L8" s="100">
        <v>13.431966733339381</v>
      </c>
      <c r="M8" s="49" t="s">
        <v>237</v>
      </c>
      <c r="N8" s="99">
        <v>4.9025057912182479E-2</v>
      </c>
      <c r="O8" s="99">
        <v>8.1708429853637483E-3</v>
      </c>
      <c r="P8" s="99">
        <v>1.6341685970727492E-3</v>
      </c>
      <c r="Q8" s="99">
        <v>4.9025057912182479E-2</v>
      </c>
      <c r="R8" s="99">
        <v>4.9025057912182479E-2</v>
      </c>
      <c r="S8" s="99">
        <v>3.6768793434136856E-3</v>
      </c>
      <c r="T8" s="99">
        <v>0.57522734616960758</v>
      </c>
      <c r="U8" s="49">
        <v>131.46897987727829</v>
      </c>
      <c r="V8" s="100">
        <v>11.672729253976746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4.2456543337707507E-2</v>
      </c>
      <c r="E9" s="99">
        <v>5.6608724450276648E-3</v>
      </c>
      <c r="F9" s="99">
        <v>1.1321744890055334E-3</v>
      </c>
      <c r="G9" s="99">
        <v>3.6795670892679821E-2</v>
      </c>
      <c r="H9" s="99">
        <v>3.6795670892679821E-2</v>
      </c>
      <c r="I9" s="99">
        <v>2.5473926002624499E-3</v>
      </c>
      <c r="J9" s="99">
        <v>0.30285667580898012</v>
      </c>
      <c r="K9" s="49">
        <v>91.083518175089509</v>
      </c>
      <c r="L9" s="100">
        <v>8.0870274352926721</v>
      </c>
      <c r="M9" s="49" t="s">
        <v>237</v>
      </c>
      <c r="N9" s="99">
        <v>3.6895842975154573E-2</v>
      </c>
      <c r="O9" s="99">
        <v>4.9194457300206097E-3</v>
      </c>
      <c r="P9" s="99">
        <v>9.8388914600412171E-4</v>
      </c>
      <c r="Q9" s="99">
        <v>3.1976397245133958E-2</v>
      </c>
      <c r="R9" s="99">
        <v>3.1976397245133958E-2</v>
      </c>
      <c r="S9" s="99">
        <v>2.2137505785092739E-3</v>
      </c>
      <c r="T9" s="99">
        <v>0.26319034655610257</v>
      </c>
      <c r="U9" s="49">
        <v>79.153951782693568</v>
      </c>
      <c r="V9" s="100">
        <v>7.0278376648558512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2.4016755135841006</v>
      </c>
      <c r="E10" s="99">
        <v>6.5803309520408831E-2</v>
      </c>
      <c r="F10" s="99">
        <v>1.8125852932710195E-2</v>
      </c>
      <c r="G10" s="99">
        <v>0.5502115973597892</v>
      </c>
      <c r="H10" s="99">
        <v>0.5502115973597892</v>
      </c>
      <c r="I10" s="99">
        <v>1.7991202552505629E-2</v>
      </c>
      <c r="J10" s="99">
        <v>5.4908030779806269</v>
      </c>
      <c r="K10" s="49">
        <v>1458.2261577768506</v>
      </c>
      <c r="L10" s="100">
        <v>129.47144753602646</v>
      </c>
      <c r="M10" s="49" t="s">
        <v>237</v>
      </c>
      <c r="N10" s="99">
        <v>2.0871186314353727</v>
      </c>
      <c r="O10" s="99">
        <v>5.7184791423050274E-2</v>
      </c>
      <c r="P10" s="99">
        <v>1.5751838727814133E-2</v>
      </c>
      <c r="Q10" s="99">
        <v>0.47814822176693744</v>
      </c>
      <c r="R10" s="99">
        <v>0.47814822176693744</v>
      </c>
      <c r="S10" s="99">
        <v>1.5634824037167858E-2</v>
      </c>
      <c r="T10" s="99">
        <v>4.7716510164580823</v>
      </c>
      <c r="U10" s="49">
        <v>1267.2365461229938</v>
      </c>
      <c r="V10" s="100">
        <v>112.51406314589373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1.1448739904196159</v>
      </c>
      <c r="E11" s="99">
        <v>0.1534932211903775</v>
      </c>
      <c r="F11" s="99">
        <v>3.8162466347320539E-2</v>
      </c>
      <c r="G11" s="99">
        <v>0.75610581516501463</v>
      </c>
      <c r="H11" s="99">
        <v>0.75610581516501463</v>
      </c>
      <c r="I11" s="99">
        <v>2.3826901524926582E-2</v>
      </c>
      <c r="J11" s="99">
        <v>11.796108839952756</v>
      </c>
      <c r="K11" s="49">
        <v>3070.1731322400638</v>
      </c>
      <c r="L11" s="100">
        <v>272.59129696545051</v>
      </c>
      <c r="M11" s="49" t="s">
        <v>237</v>
      </c>
      <c r="N11" s="99">
        <v>0.99492534380076625</v>
      </c>
      <c r="O11" s="99">
        <v>0.1333896106836622</v>
      </c>
      <c r="P11" s="99">
        <v>3.3164178126692215E-2</v>
      </c>
      <c r="Q11" s="99">
        <v>0.65707566456906863</v>
      </c>
      <c r="R11" s="99">
        <v>0.65707566456906863</v>
      </c>
      <c r="S11" s="99">
        <v>2.0706198577107985E-2</v>
      </c>
      <c r="T11" s="99">
        <v>10.251126098864136</v>
      </c>
      <c r="U11" s="49">
        <v>2668.0604893489285</v>
      </c>
      <c r="V11" s="100">
        <v>236.88894334217974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0.86162245952929417</v>
      </c>
      <c r="E12" s="99">
        <v>9.241415762421433E-2</v>
      </c>
      <c r="F12" s="99">
        <v>2.2976598920781178E-2</v>
      </c>
      <c r="G12" s="99">
        <v>0.50511939677331863</v>
      </c>
      <c r="H12" s="99">
        <v>0.50511939677331863</v>
      </c>
      <c r="I12" s="99">
        <v>1.4345539276227259E-2</v>
      </c>
      <c r="J12" s="99">
        <v>7.10212120922069</v>
      </c>
      <c r="K12" s="49">
        <v>1848.4690175636761</v>
      </c>
      <c r="L12" s="100">
        <v>164.11991936444824</v>
      </c>
      <c r="M12" s="49" t="s">
        <v>237</v>
      </c>
      <c r="N12" s="99">
        <v>0.74877237927245444</v>
      </c>
      <c r="O12" s="99">
        <v>8.0310312152894817E-2</v>
      </c>
      <c r="P12" s="99">
        <v>1.9967263447265449E-2</v>
      </c>
      <c r="Q12" s="99">
        <v>0.4389619239327241</v>
      </c>
      <c r="R12" s="99">
        <v>0.4389619239327241</v>
      </c>
      <c r="S12" s="99">
        <v>1.2466647609992955E-2</v>
      </c>
      <c r="T12" s="99">
        <v>6.1719284785295612</v>
      </c>
      <c r="U12" s="49">
        <v>1606.3677646572683</v>
      </c>
      <c r="V12" s="100">
        <v>142.62448842809346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1.4437289922466144E-2</v>
      </c>
      <c r="E13" s="99">
        <v>2.5212005585972256E-2</v>
      </c>
      <c r="F13" s="99">
        <v>2.0149455013764041E-3</v>
      </c>
      <c r="G13" s="99">
        <v>1.863824588773174E-2</v>
      </c>
      <c r="H13" s="99">
        <v>1.863824588773174E-2</v>
      </c>
      <c r="I13" s="99">
        <v>4.5260713324667481E-4</v>
      </c>
      <c r="J13" s="99">
        <v>6.2538870998970153E-2</v>
      </c>
      <c r="K13" s="49">
        <v>193.58016687089693</v>
      </c>
      <c r="L13" s="100">
        <v>17.187391877025931</v>
      </c>
      <c r="M13" s="49" t="s">
        <v>237</v>
      </c>
      <c r="N13" s="99">
        <v>1.2546381313454685E-2</v>
      </c>
      <c r="O13" s="99">
        <v>2.1909890114925702E-2</v>
      </c>
      <c r="P13" s="99">
        <v>1.7510401690250313E-3</v>
      </c>
      <c r="Q13" s="99">
        <v>1.6197121563481534E-2</v>
      </c>
      <c r="R13" s="99">
        <v>1.6197121563481534E-2</v>
      </c>
      <c r="S13" s="99">
        <v>3.9332739796724765E-4</v>
      </c>
      <c r="T13" s="99">
        <v>5.4347909246114427E-2</v>
      </c>
      <c r="U13" s="49">
        <v>168.22621152083863</v>
      </c>
      <c r="V13" s="100">
        <v>14.936291605350403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4.8697427599186917E-2</v>
      </c>
      <c r="E14" s="99">
        <v>8.5040878395233999E-2</v>
      </c>
      <c r="F14" s="99">
        <v>6.7964737978209004E-3</v>
      </c>
      <c r="G14" s="99">
        <v>6.286738262984333E-2</v>
      </c>
      <c r="H14" s="99">
        <v>6.286738262984333E-2</v>
      </c>
      <c r="I14" s="99">
        <v>1.5266579268355194E-3</v>
      </c>
      <c r="J14" s="99">
        <v>0.21094555549986618</v>
      </c>
      <c r="K14" s="49">
        <v>652.95191905543982</v>
      </c>
      <c r="L14" s="100">
        <v>57.973606961226189</v>
      </c>
      <c r="M14" s="49" t="s">
        <v>237</v>
      </c>
      <c r="N14" s="99">
        <v>4.2319334094205519E-2</v>
      </c>
      <c r="O14" s="99">
        <v>7.3902740286279509E-2</v>
      </c>
      <c r="P14" s="99">
        <v>5.9063129099923692E-3</v>
      </c>
      <c r="Q14" s="99">
        <v>5.4633394417429419E-2</v>
      </c>
      <c r="R14" s="99">
        <v>5.4633394417429419E-2</v>
      </c>
      <c r="S14" s="99">
        <v>1.3267055374070363E-3</v>
      </c>
      <c r="T14" s="99">
        <v>0.18331718694388818</v>
      </c>
      <c r="U14" s="49">
        <v>567.43223969434393</v>
      </c>
      <c r="V14" s="100">
        <v>50.380575783827524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1.2344712987049387</v>
      </c>
      <c r="E15" s="99">
        <v>4.3851833262822548E-2</v>
      </c>
      <c r="F15" s="99">
        <v>1.0876399107532499E-2</v>
      </c>
      <c r="G15" s="99">
        <v>0.26837928316643306</v>
      </c>
      <c r="H15" s="99">
        <v>0.26837928316643306</v>
      </c>
      <c r="I15" s="99">
        <v>6.6280387216668445E-3</v>
      </c>
      <c r="J15" s="99">
        <v>1.646976857304695</v>
      </c>
      <c r="K15" s="49">
        <v>875.00708186829854</v>
      </c>
      <c r="L15" s="100">
        <v>77.689206773301706</v>
      </c>
      <c r="M15" s="49" t="s">
        <v>237</v>
      </c>
      <c r="N15" s="99">
        <v>1.1285883703786872</v>
      </c>
      <c r="O15" s="99">
        <v>4.0090578932152218E-2</v>
      </c>
      <c r="P15" s="99">
        <v>9.9435098711778587E-3</v>
      </c>
      <c r="Q15" s="99">
        <v>0.2453598865765132</v>
      </c>
      <c r="R15" s="99">
        <v>0.2453598865765132</v>
      </c>
      <c r="S15" s="99">
        <v>6.0595393570837116E-3</v>
      </c>
      <c r="T15" s="99">
        <v>1.505712550293318</v>
      </c>
      <c r="U15" s="49">
        <v>799.95607644466565</v>
      </c>
      <c r="V15" s="100">
        <v>71.025657186421427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9.94896146043526E-2</v>
      </c>
      <c r="E16" s="99">
        <v>1.5588207289115743</v>
      </c>
      <c r="F16" s="99">
        <v>4.0329683436574166</v>
      </c>
      <c r="G16" s="99">
        <v>6.3712018892843614E-2</v>
      </c>
      <c r="H16" s="99">
        <v>6.3712018892843614E-2</v>
      </c>
      <c r="I16" s="99">
        <v>3.4181498136010612E-3</v>
      </c>
      <c r="J16" s="99">
        <v>6.2490871864064129E-2</v>
      </c>
      <c r="K16" s="49">
        <v>37454.60571005231</v>
      </c>
      <c r="L16" s="100">
        <v>279.07325274713224</v>
      </c>
      <c r="M16" s="49" t="s">
        <v>238</v>
      </c>
      <c r="N16" s="99">
        <v>9.1807409756136035E-2</v>
      </c>
      <c r="O16" s="99">
        <v>1.438454596137138</v>
      </c>
      <c r="P16" s="99">
        <v>3.7215580614329102</v>
      </c>
      <c r="Q16" s="99">
        <v>5.8792422185441617E-2</v>
      </c>
      <c r="R16" s="99">
        <v>5.8792422185441617E-2</v>
      </c>
      <c r="S16" s="99">
        <v>3.1542134502489426E-3</v>
      </c>
      <c r="T16" s="99">
        <v>5.7665567426887318E-2</v>
      </c>
      <c r="U16" s="49">
        <v>34562.505316276984</v>
      </c>
      <c r="V16" s="100">
        <v>257.52429104105488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3.127850757355552E-2</v>
      </c>
      <c r="E17" s="99">
        <v>0.7896397423899012</v>
      </c>
      <c r="F17" s="99">
        <v>0.55815246502084381</v>
      </c>
      <c r="G17" s="99">
        <v>2.0030400895523593E-2</v>
      </c>
      <c r="H17" s="99">
        <v>2.0030400895523593E-2</v>
      </c>
      <c r="I17" s="99">
        <v>1.074631008044841E-3</v>
      </c>
      <c r="J17" s="99">
        <v>1.9646484878359394E-2</v>
      </c>
      <c r="K17" s="49">
        <v>12151.678257889036</v>
      </c>
      <c r="L17" s="100">
        <v>90.541825590638723</v>
      </c>
      <c r="M17" s="49" t="s">
        <v>238</v>
      </c>
      <c r="N17" s="99">
        <v>3.0750049353841135E-2</v>
      </c>
      <c r="O17" s="99">
        <v>0.77629858116289019</v>
      </c>
      <c r="P17" s="99">
        <v>0.54872233932509362</v>
      </c>
      <c r="Q17" s="99">
        <v>1.9691982255423155E-2</v>
      </c>
      <c r="R17" s="99">
        <v>1.9691982255423155E-2</v>
      </c>
      <c r="S17" s="99">
        <v>1.0564748480034524E-3</v>
      </c>
      <c r="T17" s="99">
        <v>1.931455259552755E-2</v>
      </c>
      <c r="U17" s="49">
        <v>11946.372610117811</v>
      </c>
      <c r="V17" s="100">
        <v>89.012098769472487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6.6446962873683505E-4</v>
      </c>
      <c r="E18" s="99">
        <v>1.6774829336974804E-2</v>
      </c>
      <c r="F18" s="99">
        <v>2.6935323738807745E-2</v>
      </c>
      <c r="G18" s="99">
        <v>3.7277398526610678E-4</v>
      </c>
      <c r="H18" s="99">
        <v>3.7277398526610678E-4</v>
      </c>
      <c r="I18" s="99">
        <v>2.2829083685193138E-5</v>
      </c>
      <c r="J18" s="99">
        <v>4.1736302419186587E-4</v>
      </c>
      <c r="K18" s="49">
        <v>255.34086055765152</v>
      </c>
      <c r="L18" s="100">
        <v>1.8638699263305341</v>
      </c>
      <c r="M18" s="49" t="s">
        <v>238</v>
      </c>
      <c r="N18" s="99">
        <v>6.2684967306599374E-4</v>
      </c>
      <c r="O18" s="99">
        <v>1.5825096935747393E-2</v>
      </c>
      <c r="P18" s="99">
        <v>2.5410339539063326E-2</v>
      </c>
      <c r="Q18" s="99">
        <v>3.5166882079438642E-4</v>
      </c>
      <c r="R18" s="99">
        <v>3.5166882079438642E-4</v>
      </c>
      <c r="S18" s="99">
        <v>2.1536580493022352E-5</v>
      </c>
      <c r="T18" s="99">
        <v>3.9373338366398405E-4</v>
      </c>
      <c r="U18" s="49">
        <v>240.88435052363485</v>
      </c>
      <c r="V18" s="100">
        <v>1.7583441039719319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2.8518251345157355E-3</v>
      </c>
      <c r="E19" s="99">
        <v>4.4682896326343591E-2</v>
      </c>
      <c r="F19" s="99">
        <v>0.11560322687836952</v>
      </c>
      <c r="G19" s="99">
        <v>1.8262764166080488E-3</v>
      </c>
      <c r="H19" s="99">
        <v>1.8262764166080488E-3</v>
      </c>
      <c r="I19" s="99">
        <v>9.797972975102185E-5</v>
      </c>
      <c r="J19" s="99">
        <v>1.7912727852897282E-3</v>
      </c>
      <c r="K19" s="49">
        <v>999.938686716598</v>
      </c>
      <c r="L19" s="100">
        <v>7.9995094937327806</v>
      </c>
      <c r="M19" s="49" t="s">
        <v>238</v>
      </c>
      <c r="N19" s="99">
        <v>2.3554631145907734E-3</v>
      </c>
      <c r="O19" s="99">
        <v>3.6905809152165306E-2</v>
      </c>
      <c r="P19" s="99">
        <v>9.5482410034199647E-2</v>
      </c>
      <c r="Q19" s="99">
        <v>1.5084118182083915E-3</v>
      </c>
      <c r="R19" s="99">
        <v>1.5084118182083915E-3</v>
      </c>
      <c r="S19" s="99">
        <v>8.0926294046880206E-5</v>
      </c>
      <c r="T19" s="99">
        <v>1.4795005916927297E-3</v>
      </c>
      <c r="U19" s="49">
        <v>825.89870778077625</v>
      </c>
      <c r="V19" s="100">
        <v>6.607189662246209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6.6969683938961284E-4</v>
      </c>
      <c r="E20" s="99">
        <v>1.1445727800477035E-2</v>
      </c>
      <c r="F20" s="99">
        <v>7.3057837024321452E-5</v>
      </c>
      <c r="G20" s="99">
        <v>6.0311679724811471E-6</v>
      </c>
      <c r="H20" s="99">
        <v>6.0311679724811471E-6</v>
      </c>
      <c r="I20" s="99">
        <v>2.4352612341440477E-3</v>
      </c>
      <c r="J20" s="99">
        <v>4.8705224682880953E-3</v>
      </c>
      <c r="K20" s="49">
        <v>300.62303278688512</v>
      </c>
      <c r="L20" s="100">
        <v>296.18032786885266</v>
      </c>
      <c r="M20" s="49" t="s">
        <v>239</v>
      </c>
      <c r="N20" s="99">
        <v>6.6969683938961284E-4</v>
      </c>
      <c r="O20" s="99">
        <v>1.1445727800477035E-2</v>
      </c>
      <c r="P20" s="99">
        <v>7.3057837024321452E-5</v>
      </c>
      <c r="Q20" s="99">
        <v>6.0311679724811471E-6</v>
      </c>
      <c r="R20" s="99">
        <v>6.0311679724811471E-6</v>
      </c>
      <c r="S20" s="99">
        <v>2.4352612341440477E-3</v>
      </c>
      <c r="T20" s="99">
        <v>4.8705224682880953E-3</v>
      </c>
      <c r="U20" s="49">
        <v>300.62303278688512</v>
      </c>
      <c r="V20" s="100">
        <v>296.18032786885266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5.2612909836065565E-3</v>
      </c>
      <c r="E21" s="99">
        <v>9.5659836065573781E-2</v>
      </c>
      <c r="F21" s="99">
        <v>5.7395901639344278E-4</v>
      </c>
      <c r="G21" s="99">
        <v>7.2701475409836071E-3</v>
      </c>
      <c r="H21" s="99">
        <v>7.2701475409836071E-3</v>
      </c>
      <c r="I21" s="99">
        <v>1.9131967213114762E-2</v>
      </c>
      <c r="J21" s="99">
        <v>3.8263934426229523E-2</v>
      </c>
      <c r="K21" s="49">
        <v>1941.894672131147</v>
      </c>
      <c r="L21" s="100">
        <v>1913.196721311474</v>
      </c>
      <c r="M21" s="49" t="s">
        <v>239</v>
      </c>
      <c r="N21" s="99">
        <v>5.2612909836065565E-3</v>
      </c>
      <c r="O21" s="99">
        <v>9.5659836065573781E-2</v>
      </c>
      <c r="P21" s="99">
        <v>5.7395901639344278E-4</v>
      </c>
      <c r="Q21" s="99">
        <v>7.2701475409836071E-3</v>
      </c>
      <c r="R21" s="99">
        <v>7.2701475409836071E-3</v>
      </c>
      <c r="S21" s="99">
        <v>1.9131967213114762E-2</v>
      </c>
      <c r="T21" s="99">
        <v>3.8263934426229523E-2</v>
      </c>
      <c r="U21" s="49">
        <v>1941.894672131147</v>
      </c>
      <c r="V21" s="100">
        <v>1913.196721311474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0.1506714691008415</v>
      </c>
      <c r="E22" s="99">
        <v>7.1116933415597161E-2</v>
      </c>
      <c r="F22" s="99">
        <v>0.14012446626378258</v>
      </c>
      <c r="G22" s="99">
        <v>0.12038650381157234</v>
      </c>
      <c r="H22" s="99">
        <v>0.12038650381157234</v>
      </c>
      <c r="I22" s="99">
        <v>1.9074254630821033E-2</v>
      </c>
      <c r="J22" s="99">
        <v>1.9673927077842368</v>
      </c>
      <c r="K22" s="49">
        <v>458.04126606655808</v>
      </c>
      <c r="L22" s="100">
        <v>30.134293820168303</v>
      </c>
      <c r="M22" s="49" t="s">
        <v>237</v>
      </c>
      <c r="N22" s="99">
        <v>0.13190857947046683</v>
      </c>
      <c r="O22" s="99">
        <v>6.2260849510060348E-2</v>
      </c>
      <c r="P22" s="99">
        <v>0.12267497890753419</v>
      </c>
      <c r="Q22" s="99">
        <v>0.10539495499690302</v>
      </c>
      <c r="R22" s="99">
        <v>0.10539495499690302</v>
      </c>
      <c r="S22" s="99">
        <v>1.6698966618063756E-2</v>
      </c>
      <c r="T22" s="99">
        <v>1.7223962764356207</v>
      </c>
      <c r="U22" s="49">
        <v>401.00208159021923</v>
      </c>
      <c r="V22" s="100">
        <v>26.381715894093372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3.7337768457277421E-4</v>
      </c>
      <c r="G23" s="99">
        <v>3.2078362362757709E-4</v>
      </c>
      <c r="H23" s="99">
        <v>3.2078362362757709E-4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3.7940475162931143E-4</v>
      </c>
      <c r="O23" s="99">
        <v>1.7907904276903499E-4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4.8030744532512681E-5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4.8776475754854209E-5</v>
      </c>
      <c r="F24" s="99">
        <v>1.0633485245822149E-5</v>
      </c>
      <c r="G24" s="99">
        <v>3.4500168382878613E-4</v>
      </c>
      <c r="H24" s="99">
        <v>3.4500168382878613E-4</v>
      </c>
      <c r="I24" s="99">
        <v>1.2632663031087653E-5</v>
      </c>
      <c r="J24" s="99">
        <v>2.4538740814386123E-3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8.6857798127814742E-6</v>
      </c>
      <c r="Q24" s="99">
        <v>2.9694131175428135E-4</v>
      </c>
      <c r="R24" s="99">
        <v>2.9694131175428135E-4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5.2382327984415965E-4</v>
      </c>
      <c r="E25" s="101">
        <v>2.734616428960358E-2</v>
      </c>
      <c r="F25" s="101">
        <v>1.9363248899601764E-2</v>
      </c>
      <c r="G25" s="101">
        <v>2.7260720241086738E-3</v>
      </c>
      <c r="H25" s="101">
        <v>2.7260720241086738E-3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5.2382327984415965E-4</v>
      </c>
      <c r="O25" s="101">
        <v>2.734616428960358E-2</v>
      </c>
      <c r="P25" s="101">
        <v>1.9363248899601764E-2</v>
      </c>
      <c r="Q25" s="101">
        <v>2.7260720241086738E-3</v>
      </c>
      <c r="R25" s="101">
        <v>2.7260720241086738E-3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11.953352311176671</v>
      </c>
      <c r="E26" s="103">
        <v>3.1679956881119162</v>
      </c>
      <c r="F26" s="103">
        <v>5.0070581503263902</v>
      </c>
      <c r="G26" s="103">
        <v>3.406715216984304</v>
      </c>
      <c r="H26" s="103">
        <v>3.406715216984304</v>
      </c>
      <c r="I26" s="103">
        <v>0.16577972117284109</v>
      </c>
      <c r="J26" s="103">
        <v>36.227293961069165</v>
      </c>
      <c r="K26" s="93">
        <v>62955.677711020013</v>
      </c>
      <c r="L26" s="93"/>
      <c r="M26" s="93"/>
      <c r="N26" s="103">
        <v>10.754820289715353</v>
      </c>
      <c r="O26" s="103">
        <v>2.9497494622200078</v>
      </c>
      <c r="P26" s="103">
        <v>4.633332358855534</v>
      </c>
      <c r="Q26" s="103">
        <v>3.0258426612415339</v>
      </c>
      <c r="R26" s="103">
        <v>3.0258426612415339</v>
      </c>
      <c r="S26" s="103">
        <v>0.14998774786043592</v>
      </c>
      <c r="T26" s="103">
        <v>31.913667265925483</v>
      </c>
      <c r="U26" s="93">
        <v>58484.041019151555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3.6092131931451759</v>
      </c>
      <c r="E28" s="99">
        <v>4.0977966385054382E-2</v>
      </c>
      <c r="F28" s="99">
        <v>6.3043025207775993E-3</v>
      </c>
      <c r="G28" s="99">
        <v>0.5453221680472623</v>
      </c>
      <c r="H28" s="99">
        <v>0.5453221680472623</v>
      </c>
      <c r="I28" s="99">
        <v>2.83693613434992E-2</v>
      </c>
      <c r="J28" s="99">
        <v>3.9811670418710539</v>
      </c>
      <c r="K28" s="49">
        <v>504.2738608688486</v>
      </c>
      <c r="L28" s="100">
        <v>45.031104252044351</v>
      </c>
      <c r="M28" s="49" t="s">
        <v>237</v>
      </c>
      <c r="N28" s="99">
        <v>3.3377938455384064</v>
      </c>
      <c r="O28" s="99">
        <v>3.7896349337990638E-2</v>
      </c>
      <c r="P28" s="99">
        <v>5.8302075904600988E-3</v>
      </c>
      <c r="Q28" s="99">
        <v>0.50431295657479869</v>
      </c>
      <c r="R28" s="99">
        <v>0.50431295657479869</v>
      </c>
      <c r="S28" s="99">
        <v>2.6235934157070453E-2</v>
      </c>
      <c r="T28" s="99">
        <v>3.6817760933755523</v>
      </c>
      <c r="U28" s="49">
        <v>466.3515561980908</v>
      </c>
      <c r="V28" s="100">
        <v>41.644683920511817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8.5107167671581746E-2</v>
      </c>
      <c r="E29" s="99">
        <v>4.4962277260458244E-3</v>
      </c>
      <c r="F29" s="99">
        <v>6.4231824657797506E-4</v>
      </c>
      <c r="G29" s="99">
        <v>4.9137345863215096E-2</v>
      </c>
      <c r="H29" s="99">
        <v>4.9137345863215096E-2</v>
      </c>
      <c r="I29" s="99">
        <v>2.7298525479563939E-3</v>
      </c>
      <c r="J29" s="99">
        <v>0.37061762827549172</v>
      </c>
      <c r="K29" s="49">
        <v>51.378293005588979</v>
      </c>
      <c r="L29" s="100">
        <v>4.5880253730392813</v>
      </c>
      <c r="M29" s="49" t="s">
        <v>237</v>
      </c>
      <c r="N29" s="99">
        <v>7.4262335658508816E-2</v>
      </c>
      <c r="O29" s="99">
        <v>3.9232932046004646E-3</v>
      </c>
      <c r="P29" s="99">
        <v>5.6047045780006639E-4</v>
      </c>
      <c r="Q29" s="99">
        <v>4.2875990021705085E-2</v>
      </c>
      <c r="R29" s="99">
        <v>4.2875990021705085E-2</v>
      </c>
      <c r="S29" s="99">
        <v>2.3819994456502824E-3</v>
      </c>
      <c r="T29" s="99">
        <v>0.32339145415063841</v>
      </c>
      <c r="U29" s="49">
        <v>44.831383127044106</v>
      </c>
      <c r="V29" s="100">
        <v>4.0033934812304617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4.0570419323660678E-2</v>
      </c>
      <c r="E30" s="99">
        <v>6.7617365539434501E-3</v>
      </c>
      <c r="F30" s="99">
        <v>1.3523473107886898E-3</v>
      </c>
      <c r="G30" s="99">
        <v>4.0570419323660678E-2</v>
      </c>
      <c r="H30" s="99">
        <v>4.0570419323660678E-2</v>
      </c>
      <c r="I30" s="99">
        <v>3.0427814492745525E-3</v>
      </c>
      <c r="J30" s="99">
        <v>0.47602625339761895</v>
      </c>
      <c r="K30" s="49">
        <v>108.17269593257116</v>
      </c>
      <c r="L30" s="100">
        <v>9.659703438467913</v>
      </c>
      <c r="M30" s="49" t="s">
        <v>237</v>
      </c>
      <c r="N30" s="99">
        <v>3.5400709247502882E-2</v>
      </c>
      <c r="O30" s="99">
        <v>5.9001182079171464E-3</v>
      </c>
      <c r="P30" s="99">
        <v>1.1800236415834295E-3</v>
      </c>
      <c r="Q30" s="99">
        <v>3.5400709247502882E-2</v>
      </c>
      <c r="R30" s="99">
        <v>3.5400709247502882E-2</v>
      </c>
      <c r="S30" s="99">
        <v>2.6550531935627167E-3</v>
      </c>
      <c r="T30" s="99">
        <v>0.41536832183736722</v>
      </c>
      <c r="U30" s="49">
        <v>94.388725112194919</v>
      </c>
      <c r="V30" s="100">
        <v>8.4288099197159401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3.0532953647567126E-2</v>
      </c>
      <c r="E31" s="99">
        <v>4.0710604863422838E-3</v>
      </c>
      <c r="F31" s="99">
        <v>8.1421209726845688E-4</v>
      </c>
      <c r="G31" s="99">
        <v>2.6461893161224839E-2</v>
      </c>
      <c r="H31" s="99">
        <v>2.6461893161224839E-2</v>
      </c>
      <c r="I31" s="99">
        <v>1.831977218854028E-3</v>
      </c>
      <c r="J31" s="99">
        <v>0.21780173601931219</v>
      </c>
      <c r="K31" s="49">
        <v>65.127883140519685</v>
      </c>
      <c r="L31" s="100">
        <v>5.8158487341830725</v>
      </c>
      <c r="M31" s="49" t="s">
        <v>237</v>
      </c>
      <c r="N31" s="99">
        <v>2.6642273670428443E-2</v>
      </c>
      <c r="O31" s="99">
        <v>3.5523031560571266E-3</v>
      </c>
      <c r="P31" s="99">
        <v>7.1046063121142503E-4</v>
      </c>
      <c r="Q31" s="99">
        <v>2.3089970514371325E-2</v>
      </c>
      <c r="R31" s="99">
        <v>2.3089970514371325E-2</v>
      </c>
      <c r="S31" s="99">
        <v>1.5985364202257073E-3</v>
      </c>
      <c r="T31" s="99">
        <v>0.19004821884905626</v>
      </c>
      <c r="U31" s="49">
        <v>56.828923471793424</v>
      </c>
      <c r="V31" s="100">
        <v>5.0747607123252072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1.7271836416233286</v>
      </c>
      <c r="E32" s="99">
        <v>4.7322962292569042E-2</v>
      </c>
      <c r="F32" s="99">
        <v>1.303534823866663E-2</v>
      </c>
      <c r="G32" s="99">
        <v>0.39568895340614962</v>
      </c>
      <c r="H32" s="99">
        <v>0.39568895340614962</v>
      </c>
      <c r="I32" s="99">
        <v>1.2938513369546194E-2</v>
      </c>
      <c r="J32" s="99">
        <v>3.948753777112227</v>
      </c>
      <c r="K32" s="49">
        <v>1042.6824160829733</v>
      </c>
      <c r="L32" s="100">
        <v>93.110399376059306</v>
      </c>
      <c r="M32" s="49" t="s">
        <v>237</v>
      </c>
      <c r="N32" s="99">
        <v>1.5070962275830295</v>
      </c>
      <c r="O32" s="99">
        <v>4.1292805368485883E-2</v>
      </c>
      <c r="P32" s="99">
        <v>1.1374311151570036E-2</v>
      </c>
      <c r="Q32" s="99">
        <v>0.34526805060184679</v>
      </c>
      <c r="R32" s="99">
        <v>0.34526805060184679</v>
      </c>
      <c r="S32" s="99">
        <v>1.1289815523871328E-2</v>
      </c>
      <c r="T32" s="99">
        <v>3.445581452790258</v>
      </c>
      <c r="U32" s="49">
        <v>909.81798227829131</v>
      </c>
      <c r="V32" s="100">
        <v>81.245750750927527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0.823345042570648</v>
      </c>
      <c r="E33" s="99">
        <v>0.11038584489894612</v>
      </c>
      <c r="F33" s="99">
        <v>2.7444834752354933E-2</v>
      </c>
      <c r="G33" s="99">
        <v>0.54375938294028614</v>
      </c>
      <c r="H33" s="99">
        <v>0.54375938294028614</v>
      </c>
      <c r="I33" s="99">
        <v>1.7135301714014024E-2</v>
      </c>
      <c r="J33" s="99">
        <v>8.4832634999762622</v>
      </c>
      <c r="K33" s="49">
        <v>2195.2805621026132</v>
      </c>
      <c r="L33" s="100">
        <v>196.03615322079875</v>
      </c>
      <c r="M33" s="49" t="s">
        <v>237</v>
      </c>
      <c r="N33" s="99">
        <v>0.71842980546710444</v>
      </c>
      <c r="O33" s="99">
        <v>9.6319862240825949E-2</v>
      </c>
      <c r="P33" s="99">
        <v>2.3947660182236801E-2</v>
      </c>
      <c r="Q33" s="99">
        <v>0.47447051662205408</v>
      </c>
      <c r="R33" s="99">
        <v>0.47447051662205408</v>
      </c>
      <c r="S33" s="99">
        <v>1.495182559013576E-2</v>
      </c>
      <c r="T33" s="99">
        <v>7.4022785477464961</v>
      </c>
      <c r="U33" s="49">
        <v>1915.5456165168653</v>
      </c>
      <c r="V33" s="100">
        <v>171.05612852566986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0.61964249913736069</v>
      </c>
      <c r="E34" s="99">
        <v>6.6460360860631937E-2</v>
      </c>
      <c r="F34" s="99">
        <v>1.6523799976996288E-2</v>
      </c>
      <c r="G34" s="99">
        <v>0.36326054633065635</v>
      </c>
      <c r="H34" s="99">
        <v>0.36326054633065635</v>
      </c>
      <c r="I34" s="99">
        <v>1.031670624446205E-2</v>
      </c>
      <c r="J34" s="99">
        <v>5.1075457546244909</v>
      </c>
      <c r="K34" s="49">
        <v>1321.7196324513843</v>
      </c>
      <c r="L34" s="100">
        <v>118.02811761518527</v>
      </c>
      <c r="M34" s="49" t="s">
        <v>237</v>
      </c>
      <c r="N34" s="99">
        <v>0.54068418111135486</v>
      </c>
      <c r="O34" s="99">
        <v>5.7991609417239388E-2</v>
      </c>
      <c r="P34" s="99">
        <v>1.4418244829636129E-2</v>
      </c>
      <c r="Q34" s="99">
        <v>0.31697185279622786</v>
      </c>
      <c r="R34" s="99">
        <v>0.31697185279622786</v>
      </c>
      <c r="S34" s="99">
        <v>9.0020937481191578E-3</v>
      </c>
      <c r="T34" s="99">
        <v>4.4567136658193327</v>
      </c>
      <c r="U34" s="49">
        <v>1153.2987135738081</v>
      </c>
      <c r="V34" s="100">
        <v>102.98831376111693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1.0382689435944763E-2</v>
      </c>
      <c r="E35" s="99">
        <v>1.8131410081965012E-2</v>
      </c>
      <c r="F35" s="99">
        <v>1.4490637428143873E-3</v>
      </c>
      <c r="G35" s="99">
        <v>1.3403839621033082E-2</v>
      </c>
      <c r="H35" s="99">
        <v>1.3403839621033082E-2</v>
      </c>
      <c r="I35" s="99">
        <v>3.2549594322968172E-4</v>
      </c>
      <c r="J35" s="99">
        <v>4.4975315917601559E-2</v>
      </c>
      <c r="K35" s="49">
        <v>138.41655152203046</v>
      </c>
      <c r="L35" s="100">
        <v>12.360446664948418</v>
      </c>
      <c r="M35" s="49" t="s">
        <v>237</v>
      </c>
      <c r="N35" s="99">
        <v>9.0596689917533651E-3</v>
      </c>
      <c r="O35" s="99">
        <v>1.5821004250368944E-2</v>
      </c>
      <c r="P35" s="99">
        <v>1.2644159241054099E-3</v>
      </c>
      <c r="Q35" s="99">
        <v>1.1695847297975046E-2</v>
      </c>
      <c r="R35" s="99">
        <v>1.1695847297975046E-2</v>
      </c>
      <c r="S35" s="99">
        <v>2.8401942695217781E-4</v>
      </c>
      <c r="T35" s="99">
        <v>3.9244309244421682E-2</v>
      </c>
      <c r="U35" s="49">
        <v>120.77873921839635</v>
      </c>
      <c r="V35" s="100">
        <v>10.785409316682005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3.502113414685766E-2</v>
      </c>
      <c r="E36" s="99">
        <v>6.1157809705246646E-2</v>
      </c>
      <c r="F36" s="99">
        <v>4.8877370393803502E-3</v>
      </c>
      <c r="G36" s="99">
        <v>4.5211567614268248E-2</v>
      </c>
      <c r="H36" s="99">
        <v>4.5211567614268248E-2</v>
      </c>
      <c r="I36" s="99">
        <v>1.0979079324708117E-3</v>
      </c>
      <c r="J36" s="99">
        <v>0.1517031383597677</v>
      </c>
      <c r="K36" s="49">
        <v>466.88333007596799</v>
      </c>
      <c r="L36" s="100">
        <v>41.69217074620596</v>
      </c>
      <c r="M36" s="49" t="s">
        <v>237</v>
      </c>
      <c r="N36" s="99">
        <v>3.0558545070981481E-2</v>
      </c>
      <c r="O36" s="99">
        <v>5.3364739031102407E-2</v>
      </c>
      <c r="P36" s="99">
        <v>4.2649142082799131E-3</v>
      </c>
      <c r="Q36" s="99">
        <v>3.9450456426589189E-2</v>
      </c>
      <c r="R36" s="99">
        <v>3.9450456426589189E-2</v>
      </c>
      <c r="S36" s="99">
        <v>9.580063540348756E-4</v>
      </c>
      <c r="T36" s="99">
        <v>0.13237227473948779</v>
      </c>
      <c r="U36" s="49">
        <v>407.39044101735789</v>
      </c>
      <c r="V36" s="100">
        <v>36.379520820553083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1.1417031096505725</v>
      </c>
      <c r="E37" s="99">
        <v>4.0556450727178506E-2</v>
      </c>
      <c r="F37" s="99">
        <v>1.005905823480681E-2</v>
      </c>
      <c r="G37" s="99">
        <v>0.24821108638034481</v>
      </c>
      <c r="H37" s="99">
        <v>0.24821108638034481</v>
      </c>
      <c r="I37" s="99">
        <v>6.1299541166733532E-3</v>
      </c>
      <c r="J37" s="99">
        <v>1.5232096537845368</v>
      </c>
      <c r="K37" s="49">
        <v>804.61242398388981</v>
      </c>
      <c r="L37" s="100">
        <v>71.851009458394316</v>
      </c>
      <c r="M37" s="49" t="s">
        <v>237</v>
      </c>
      <c r="N37" s="99">
        <v>1.0440096429478014</v>
      </c>
      <c r="O37" s="99">
        <v>3.7086108713385781E-2</v>
      </c>
      <c r="P37" s="99">
        <v>9.1983228453550829E-3</v>
      </c>
      <c r="Q37" s="99">
        <v>0.22697211339552187</v>
      </c>
      <c r="R37" s="99">
        <v>0.22697211339552187</v>
      </c>
      <c r="S37" s="99">
        <v>5.6054250483676465E-3</v>
      </c>
      <c r="T37" s="99">
        <v>1.3928713632644358</v>
      </c>
      <c r="U37" s="49">
        <v>735.76319655631096</v>
      </c>
      <c r="V37" s="100">
        <v>65.702848749405391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7.5335411717811426E-2</v>
      </c>
      <c r="E38" s="99">
        <v>1.1803684422120035</v>
      </c>
      <c r="F38" s="99">
        <v>3.0538396577630249</v>
      </c>
      <c r="G38" s="99">
        <v>4.8243941779782161E-2</v>
      </c>
      <c r="H38" s="99">
        <v>4.8243941779782161E-2</v>
      </c>
      <c r="I38" s="99">
        <v>2.5882874764853138E-3</v>
      </c>
      <c r="J38" s="99">
        <v>4.7319266229003017E-2</v>
      </c>
      <c r="K38" s="49">
        <v>28361.333523264406</v>
      </c>
      <c r="L38" s="100">
        <v>211.31952796020036</v>
      </c>
      <c r="M38" s="49" t="s">
        <v>238</v>
      </c>
      <c r="N38" s="99">
        <v>6.9651727621070483E-2</v>
      </c>
      <c r="O38" s="99">
        <v>1.0913154830481913</v>
      </c>
      <c r="P38" s="99">
        <v>2.823442564270791</v>
      </c>
      <c r="Q38" s="99">
        <v>4.4604175056465599E-2</v>
      </c>
      <c r="R38" s="99">
        <v>4.4604175056465599E-2</v>
      </c>
      <c r="S38" s="99">
        <v>2.3930139917793785E-3</v>
      </c>
      <c r="T38" s="99">
        <v>4.374926170121668E-2</v>
      </c>
      <c r="U38" s="49">
        <v>26221.611224906905</v>
      </c>
      <c r="V38" s="100">
        <v>195.37651506611638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2.2228827011543672E-2</v>
      </c>
      <c r="E39" s="99">
        <v>0.56117655849619374</v>
      </c>
      <c r="F39" s="99">
        <v>0.39666453272548746</v>
      </c>
      <c r="G39" s="99">
        <v>1.4235088276874914E-2</v>
      </c>
      <c r="H39" s="99">
        <v>1.4235088276874914E-2</v>
      </c>
      <c r="I39" s="99">
        <v>7.637124860543394E-4</v>
      </c>
      <c r="J39" s="99">
        <v>1.3962249084901479E-2</v>
      </c>
      <c r="K39" s="49">
        <v>8635.8837057469827</v>
      </c>
      <c r="L39" s="100">
        <v>64.345735602335935</v>
      </c>
      <c r="M39" s="49" t="s">
        <v>238</v>
      </c>
      <c r="N39" s="99">
        <v>2.1853265411578116E-2</v>
      </c>
      <c r="O39" s="99">
        <v>0.55169533998373921</v>
      </c>
      <c r="P39" s="99">
        <v>0.38996278609339502</v>
      </c>
      <c r="Q39" s="99">
        <v>1.399458289500578E-2</v>
      </c>
      <c r="R39" s="99">
        <v>1.399458289500578E-2</v>
      </c>
      <c r="S39" s="99">
        <v>7.508093723170605E-4</v>
      </c>
      <c r="T39" s="99">
        <v>1.3726353389518175E-2</v>
      </c>
      <c r="U39" s="49">
        <v>8489.9782875275432</v>
      </c>
      <c r="V39" s="100">
        <v>63.258598282799262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4.9955677451309598E-4</v>
      </c>
      <c r="E40" s="99">
        <v>1.2611531474383915E-2</v>
      </c>
      <c r="F40" s="99">
        <v>2.0250321256976511E-2</v>
      </c>
      <c r="G40" s="99">
        <v>2.8025625498630924E-4</v>
      </c>
      <c r="H40" s="99">
        <v>2.8025625498630924E-4</v>
      </c>
      <c r="I40" s="99">
        <v>1.7163197409856909E-5</v>
      </c>
      <c r="J40" s="99">
        <v>3.1377886535261841E-4</v>
      </c>
      <c r="K40" s="49">
        <v>191.96852825924705</v>
      </c>
      <c r="L40" s="100">
        <v>1.401281274931546</v>
      </c>
      <c r="M40" s="49" t="s">
        <v>238</v>
      </c>
      <c r="N40" s="99">
        <v>4.7233675070955969E-4</v>
      </c>
      <c r="O40" s="99">
        <v>1.1924349947786923E-2</v>
      </c>
      <c r="P40" s="99">
        <v>1.9146914687860495E-2</v>
      </c>
      <c r="Q40" s="99">
        <v>2.6498555439526496E-4</v>
      </c>
      <c r="R40" s="99">
        <v>2.6498555439526496E-4</v>
      </c>
      <c r="S40" s="99">
        <v>1.6228003121887437E-5</v>
      </c>
      <c r="T40" s="99">
        <v>2.9668157307333811E-4</v>
      </c>
      <c r="U40" s="49">
        <v>181.50848012189658</v>
      </c>
      <c r="V40" s="100">
        <v>1.3249277719763248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1.6008419619064857E-3</v>
      </c>
      <c r="E41" s="99">
        <v>2.5082272595537119E-2</v>
      </c>
      <c r="F41" s="99">
        <v>6.4892652175223497E-2</v>
      </c>
      <c r="G41" s="99">
        <v>1.0251610052671846E-3</v>
      </c>
      <c r="H41" s="99">
        <v>1.0251610052671846E-3</v>
      </c>
      <c r="I41" s="99">
        <v>5.4999887932584453E-5</v>
      </c>
      <c r="J41" s="99">
        <v>1.0055120859995634E-3</v>
      </c>
      <c r="K41" s="49">
        <v>561.30503573158694</v>
      </c>
      <c r="L41" s="100">
        <v>4.4904402858526957</v>
      </c>
      <c r="M41" s="49" t="s">
        <v>238</v>
      </c>
      <c r="N41" s="99">
        <v>1.3358834383407671E-3</v>
      </c>
      <c r="O41" s="99">
        <v>2.0930855983074138E-2</v>
      </c>
      <c r="P41" s="99">
        <v>5.415214079449087E-2</v>
      </c>
      <c r="Q41" s="99">
        <v>8.5548457696488299E-4</v>
      </c>
      <c r="R41" s="99">
        <v>8.5548457696488299E-4</v>
      </c>
      <c r="S41" s="99">
        <v>4.5896747554165992E-5</v>
      </c>
      <c r="T41" s="99">
        <v>8.390877892397227E-4</v>
      </c>
      <c r="U41" s="49">
        <v>468.40232760896464</v>
      </c>
      <c r="V41" s="100">
        <v>3.7472186208717169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6.2640334377998884E-4</v>
      </c>
      <c r="E42" s="99">
        <v>1.0705802602785272E-2</v>
      </c>
      <c r="F42" s="99">
        <v>6.8334910230544231E-5</v>
      </c>
      <c r="G42" s="99">
        <v>5.6412746225655259E-6</v>
      </c>
      <c r="H42" s="99">
        <v>5.6412746225655259E-6</v>
      </c>
      <c r="I42" s="99">
        <v>2.277830341018141E-3</v>
      </c>
      <c r="J42" s="99">
        <v>4.5556606820362821E-3</v>
      </c>
      <c r="K42" s="49">
        <v>281.18883333333321</v>
      </c>
      <c r="L42" s="100">
        <v>277.03333333333342</v>
      </c>
      <c r="M42" s="49" t="s">
        <v>239</v>
      </c>
      <c r="N42" s="99">
        <v>6.2640334377998884E-4</v>
      </c>
      <c r="O42" s="99">
        <v>1.0705802602785272E-2</v>
      </c>
      <c r="P42" s="99">
        <v>6.8334910230544231E-5</v>
      </c>
      <c r="Q42" s="99">
        <v>5.6412746225655259E-6</v>
      </c>
      <c r="R42" s="99">
        <v>5.6412746225655259E-6</v>
      </c>
      <c r="S42" s="99">
        <v>2.277830341018141E-3</v>
      </c>
      <c r="T42" s="99">
        <v>4.5556606820362821E-3</v>
      </c>
      <c r="U42" s="49">
        <v>281.18883333333321</v>
      </c>
      <c r="V42" s="100">
        <v>277.03333333333342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9.7086916666666648E-3</v>
      </c>
      <c r="E43" s="99">
        <v>0.1765216666666668</v>
      </c>
      <c r="F43" s="99">
        <v>1.0591299999999997E-3</v>
      </c>
      <c r="G43" s="99">
        <v>1.341564666666667E-2</v>
      </c>
      <c r="H43" s="99">
        <v>1.341564666666667E-2</v>
      </c>
      <c r="I43" s="99">
        <v>3.5304333333333333E-2</v>
      </c>
      <c r="J43" s="99">
        <v>7.0608666666666667E-2</v>
      </c>
      <c r="K43" s="49">
        <v>3583.3898333333341</v>
      </c>
      <c r="L43" s="100">
        <v>3530.4333333333338</v>
      </c>
      <c r="M43" s="49" t="s">
        <v>239</v>
      </c>
      <c r="N43" s="99">
        <v>9.7086916666666648E-3</v>
      </c>
      <c r="O43" s="99">
        <v>0.1765216666666668</v>
      </c>
      <c r="P43" s="99">
        <v>1.0591299999999997E-3</v>
      </c>
      <c r="Q43" s="99">
        <v>1.341564666666667E-2</v>
      </c>
      <c r="R43" s="99">
        <v>1.341564666666667E-2</v>
      </c>
      <c r="S43" s="99">
        <v>3.5304333333333333E-2</v>
      </c>
      <c r="T43" s="99">
        <v>7.0608666666666667E-2</v>
      </c>
      <c r="U43" s="49">
        <v>3583.3898333333341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0.1118680936087232</v>
      </c>
      <c r="E44" s="99">
        <v>5.2801740183317347E-2</v>
      </c>
      <c r="F44" s="99">
        <v>0.10403732705611256</v>
      </c>
      <c r="G44" s="99">
        <v>8.9382606793369818E-2</v>
      </c>
      <c r="H44" s="99">
        <v>8.9382606793369818E-2</v>
      </c>
      <c r="I44" s="99">
        <v>1.4161941310396314E-2</v>
      </c>
      <c r="J44" s="99">
        <v>1.460717632295903</v>
      </c>
      <c r="K44" s="49">
        <v>340.07900457051846</v>
      </c>
      <c r="L44" s="100">
        <v>22.373618721744638</v>
      </c>
      <c r="M44" s="49" t="s">
        <v>237</v>
      </c>
      <c r="N44" s="99">
        <v>9.8287523511069785E-2</v>
      </c>
      <c r="O44" s="99">
        <v>4.6391711097224918E-2</v>
      </c>
      <c r="P44" s="99">
        <v>9.1407396865294879E-2</v>
      </c>
      <c r="Q44" s="99">
        <v>7.8531731285344741E-2</v>
      </c>
      <c r="R44" s="99">
        <v>7.8531731285344741E-2</v>
      </c>
      <c r="S44" s="99">
        <v>1.244270903888388E-2</v>
      </c>
      <c r="T44" s="99">
        <v>1.2833893382457935</v>
      </c>
      <c r="U44" s="49">
        <v>298.79407147365214</v>
      </c>
      <c r="V44" s="100">
        <v>19.657504702213952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1.3467219276592487E-4</v>
      </c>
      <c r="F45" s="99">
        <v>2.6534987133964015E-4</v>
      </c>
      <c r="G45" s="99">
        <v>2.2797263139825007E-4</v>
      </c>
      <c r="H45" s="99">
        <v>2.2797263139825007E-4</v>
      </c>
      <c r="I45" s="99">
        <v>3.6120394583055642E-5</v>
      </c>
      <c r="J45" s="99">
        <v>3.725597790341238E-3</v>
      </c>
      <c r="K45" s="49">
        <v>13.116826184181894</v>
      </c>
      <c r="L45" s="100">
        <v>0.86738022459409281</v>
      </c>
      <c r="M45" s="49" t="s">
        <v>237</v>
      </c>
      <c r="N45" s="99">
        <v>2.6963315214105564E-4</v>
      </c>
      <c r="O45" s="99">
        <v>1.2726684781057824E-4</v>
      </c>
      <c r="P45" s="99">
        <v>2.5075883149118169E-4</v>
      </c>
      <c r="Q45" s="99">
        <v>2.1543688856070348E-4</v>
      </c>
      <c r="R45" s="99">
        <v>2.1543688856070348E-4</v>
      </c>
      <c r="S45" s="99">
        <v>3.4134208895296937E-5</v>
      </c>
      <c r="T45" s="99">
        <v>3.5207348840818335E-3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8.7184102008962055E-4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7.1473614547591419E-4</v>
      </c>
      <c r="O46" s="99">
        <v>2.9083381335906241E-5</v>
      </c>
      <c r="P46" s="99">
        <v>6.1727592489711021E-6</v>
      </c>
      <c r="Q46" s="99">
        <v>2.1102851649953142E-4</v>
      </c>
      <c r="R46" s="99">
        <v>2.1102851649953142E-4</v>
      </c>
      <c r="S46" s="99">
        <v>8.1341904248124664E-6</v>
      </c>
      <c r="T46" s="99">
        <v>1.5343025389261337E-3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1.9434212261993551E-2</v>
      </c>
      <c r="F47" s="101">
        <v>1.37609605943799E-2</v>
      </c>
      <c r="G47" s="101">
        <v>1.9373489384817266E-3</v>
      </c>
      <c r="H47" s="101">
        <v>1.9373489384817266E-3</v>
      </c>
      <c r="I47" s="101">
        <v>1.3544093175893139E-5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1.9434212261993551E-2</v>
      </c>
      <c r="P47" s="101">
        <v>1.37609605943799E-2</v>
      </c>
      <c r="Q47" s="101">
        <v>1.9373489384817266E-3</v>
      </c>
      <c r="R47" s="101">
        <v>1.9373489384817266E-3</v>
      </c>
      <c r="S47" s="101">
        <v>1.3544093175893139E-5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8.3460991075680102</v>
      </c>
      <c r="E48" s="103">
        <v>2.4391933925843738</v>
      </c>
      <c r="F48" s="103">
        <v>3.7373588454563733</v>
      </c>
      <c r="G48" s="103">
        <v>2.4400260500904736</v>
      </c>
      <c r="H48" s="103">
        <v>2.4400260500904736</v>
      </c>
      <c r="I48" s="103">
        <v>0.13914476210752322</v>
      </c>
      <c r="J48" s="103">
        <v>25.913642572861235</v>
      </c>
      <c r="K48" s="93">
        <v>48777.84702955409</v>
      </c>
      <c r="L48" s="93"/>
      <c r="M48" s="93"/>
      <c r="N48" s="103">
        <v>7.5272297039956815</v>
      </c>
      <c r="O48" s="103">
        <v>2.2822239647485829</v>
      </c>
      <c r="P48" s="103">
        <v>3.4660061912694218</v>
      </c>
      <c r="Q48" s="103">
        <v>2.1745445251516</v>
      </c>
      <c r="R48" s="103">
        <v>2.1745445251516</v>
      </c>
      <c r="S48" s="103">
        <v>0.12824934222849396</v>
      </c>
      <c r="T48" s="103">
        <v>22.906492294215312</v>
      </c>
      <c r="U48" s="93">
        <v>45551.844339364987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4.7644723708425705</v>
      </c>
      <c r="E50" s="99">
        <v>5.409444613183706E-2</v>
      </c>
      <c r="F50" s="99">
        <v>8.3222224818210819E-3</v>
      </c>
      <c r="G50" s="99">
        <v>0.71987224467752364</v>
      </c>
      <c r="H50" s="99">
        <v>0.71987224467752364</v>
      </c>
      <c r="I50" s="99">
        <v>3.7450001168194871E-2</v>
      </c>
      <c r="J50" s="99">
        <v>5.2554834972700144</v>
      </c>
      <c r="K50" s="49">
        <v>668.19414476117538</v>
      </c>
      <c r="L50" s="100">
        <v>59.444937318992771</v>
      </c>
      <c r="M50" s="49" t="s">
        <v>237</v>
      </c>
      <c r="N50" s="99">
        <v>4.3956616310533372</v>
      </c>
      <c r="O50" s="99">
        <v>4.9907075287068461E-2</v>
      </c>
      <c r="P50" s="99">
        <v>7.6780115826259165E-3</v>
      </c>
      <c r="Q50" s="99">
        <v>0.66414800189714196</v>
      </c>
      <c r="R50" s="99">
        <v>0.66414800189714196</v>
      </c>
      <c r="S50" s="99">
        <v>3.4551052121816618E-2</v>
      </c>
      <c r="T50" s="99">
        <v>4.8486643144282651</v>
      </c>
      <c r="U50" s="49">
        <v>616.4672937865048</v>
      </c>
      <c r="V50" s="100">
        <v>54.843392887019242</v>
      </c>
      <c r="W50" t="s">
        <v>237</v>
      </c>
      <c r="Y50" s="14">
        <f>N50/$U50*2000</f>
        <v>14.260810509683404</v>
      </c>
      <c r="Z50" s="6">
        <f t="shared" ref="Z50:AE65" si="0">O50/$U50*2000</f>
        <v>0.16191313242435307</v>
      </c>
      <c r="AA50" s="249">
        <f t="shared" si="0"/>
        <v>2.4909712680669702E-2</v>
      </c>
      <c r="AB50" s="6">
        <f t="shared" si="0"/>
        <v>2.1546901468779298</v>
      </c>
      <c r="AC50" s="250">
        <f t="shared" si="0"/>
        <v>2.1546901468779298</v>
      </c>
      <c r="AD50" s="6">
        <f t="shared" si="0"/>
        <v>0.11209370706301364</v>
      </c>
      <c r="AE50" s="14">
        <f t="shared" si="0"/>
        <v>15.730483557842915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0.10314938453636516</v>
      </c>
      <c r="E51" s="99">
        <v>5.4494014472041916E-3</v>
      </c>
      <c r="F51" s="99">
        <v>7.7848592102917056E-4</v>
      </c>
      <c r="G51" s="99">
        <v>5.9554172958731555E-2</v>
      </c>
      <c r="H51" s="99">
        <v>5.9554172958731555E-2</v>
      </c>
      <c r="I51" s="99">
        <v>3.3085651643739739E-3</v>
      </c>
      <c r="J51" s="99">
        <v>0.44918637643383158</v>
      </c>
      <c r="K51" s="49">
        <v>62.493816581357898</v>
      </c>
      <c r="L51" s="100">
        <v>5.5606596531616601</v>
      </c>
      <c r="M51" s="49" t="s">
        <v>237</v>
      </c>
      <c r="N51" s="99">
        <v>8.9777555977346921E-2</v>
      </c>
      <c r="O51" s="99">
        <v>4.7429652214447428E-3</v>
      </c>
      <c r="P51" s="99">
        <v>6.7756646020639209E-4</v>
      </c>
      <c r="Q51" s="99">
        <v>5.1833834205788992E-2</v>
      </c>
      <c r="R51" s="99">
        <v>5.1833834205788992E-2</v>
      </c>
      <c r="S51" s="99">
        <v>2.8796574558771662E-3</v>
      </c>
      <c r="T51" s="99">
        <v>0.39095584753908824</v>
      </c>
      <c r="U51" s="49">
        <v>54.392096174095641</v>
      </c>
      <c r="V51" s="100">
        <v>4.8398004072113059</v>
      </c>
      <c r="W51" t="s">
        <v>237</v>
      </c>
      <c r="Y51" s="14">
        <f t="shared" ref="Y51:AE70" si="1">N51/$U51*2000</f>
        <v>3.3011250638324796</v>
      </c>
      <c r="Z51" s="6">
        <f t="shared" si="0"/>
        <v>0.17439905997605554</v>
      </c>
      <c r="AA51" s="249">
        <f t="shared" si="0"/>
        <v>2.4914151425150799E-2</v>
      </c>
      <c r="AB51" s="6">
        <f t="shared" si="0"/>
        <v>1.905932584024036</v>
      </c>
      <c r="AC51" s="250">
        <f t="shared" si="0"/>
        <v>1.905932584024036</v>
      </c>
      <c r="AD51" s="6">
        <f t="shared" si="0"/>
        <v>0.10588514355689088</v>
      </c>
      <c r="AE51" s="14">
        <f t="shared" si="0"/>
        <v>14.375465372312009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4.9171108592951249E-2</v>
      </c>
      <c r="E52" s="99">
        <v>8.1951847654918725E-3</v>
      </c>
      <c r="F52" s="99">
        <v>1.6390369530983745E-3</v>
      </c>
      <c r="G52" s="99">
        <v>4.9171108592951249E-2</v>
      </c>
      <c r="H52" s="99">
        <v>4.9171108592951249E-2</v>
      </c>
      <c r="I52" s="99">
        <v>3.6878331444713443E-3</v>
      </c>
      <c r="J52" s="99">
        <v>0.57694100749062782</v>
      </c>
      <c r="K52" s="49">
        <v>131.57550053260292</v>
      </c>
      <c r="L52" s="100">
        <v>11.707503512826706</v>
      </c>
      <c r="M52" s="49" t="s">
        <v>237</v>
      </c>
      <c r="N52" s="99">
        <v>4.2796784236900379E-2</v>
      </c>
      <c r="O52" s="99">
        <v>7.1327973728167321E-3</v>
      </c>
      <c r="P52" s="99">
        <v>1.4265594745633456E-3</v>
      </c>
      <c r="Q52" s="99">
        <v>4.2796784236900379E-2</v>
      </c>
      <c r="R52" s="99">
        <v>4.2796784236900379E-2</v>
      </c>
      <c r="S52" s="99">
        <v>3.2097588177675282E-3</v>
      </c>
      <c r="T52" s="99">
        <v>0.50214893504629776</v>
      </c>
      <c r="U52" s="49">
        <v>114.51800627038304</v>
      </c>
      <c r="V52" s="100">
        <v>10.189794701171804</v>
      </c>
      <c r="W52" t="s">
        <v>237</v>
      </c>
      <c r="Y52" s="14">
        <f t="shared" si="1"/>
        <v>0.74742454275452408</v>
      </c>
      <c r="Z52" s="6">
        <f t="shared" si="0"/>
        <v>0.12457075712575405</v>
      </c>
      <c r="AA52" s="249">
        <f t="shared" si="0"/>
        <v>2.4914151425150795E-2</v>
      </c>
      <c r="AB52" s="6">
        <f t="shared" si="0"/>
        <v>0.74742454275452408</v>
      </c>
      <c r="AC52" s="250">
        <f t="shared" si="0"/>
        <v>0.74742454275452408</v>
      </c>
      <c r="AD52" s="6">
        <f t="shared" si="0"/>
        <v>5.6056840706589298E-2</v>
      </c>
      <c r="AE52" s="14">
        <f t="shared" si="0"/>
        <v>8.7697813016530812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3.7005759479357615E-2</v>
      </c>
      <c r="E53" s="99">
        <v>4.9341012639143476E-3</v>
      </c>
      <c r="F53" s="99">
        <v>9.8682025278286995E-4</v>
      </c>
      <c r="G53" s="99">
        <v>3.2071658215443256E-2</v>
      </c>
      <c r="H53" s="99">
        <v>3.2071658215443256E-2</v>
      </c>
      <c r="I53" s="99">
        <v>2.2203455687614571E-3</v>
      </c>
      <c r="J53" s="99">
        <v>0.2639744176194177</v>
      </c>
      <c r="K53" s="49">
        <v>79.218085016429015</v>
      </c>
      <c r="L53" s="100">
        <v>7.0487743147854269</v>
      </c>
      <c r="M53" s="49" t="s">
        <v>237</v>
      </c>
      <c r="N53" s="99">
        <v>3.2208497007279777E-2</v>
      </c>
      <c r="O53" s="99">
        <v>4.2944662676373041E-3</v>
      </c>
      <c r="P53" s="99">
        <v>8.5889325352746042E-4</v>
      </c>
      <c r="Q53" s="99">
        <v>2.7914030739642468E-2</v>
      </c>
      <c r="R53" s="99">
        <v>2.7914030739642468E-2</v>
      </c>
      <c r="S53" s="99">
        <v>1.9325098204367864E-3</v>
      </c>
      <c r="T53" s="99">
        <v>0.22975394531859569</v>
      </c>
      <c r="U53" s="49">
        <v>68.94822455485351</v>
      </c>
      <c r="V53" s="100">
        <v>6.1350024865561279</v>
      </c>
      <c r="W53" t="s">
        <v>237</v>
      </c>
      <c r="Y53" s="14">
        <f t="shared" si="1"/>
        <v>0.93428067844315532</v>
      </c>
      <c r="Z53" s="6">
        <f t="shared" si="0"/>
        <v>0.12457075712575405</v>
      </c>
      <c r="AA53" s="249">
        <f t="shared" si="0"/>
        <v>2.4914151425150799E-2</v>
      </c>
      <c r="AB53" s="6">
        <f t="shared" si="0"/>
        <v>0.80970992131740105</v>
      </c>
      <c r="AC53" s="250">
        <f t="shared" si="0"/>
        <v>0.80970992131740105</v>
      </c>
      <c r="AD53" s="6">
        <f t="shared" si="0"/>
        <v>5.6056840706589312E-2</v>
      </c>
      <c r="AE53" s="14">
        <f t="shared" si="0"/>
        <v>6.6645355062278391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2.093336372116319</v>
      </c>
      <c r="E54" s="99">
        <v>5.7355150787682059E-2</v>
      </c>
      <c r="F54" s="99">
        <v>1.5798765072575997E-2</v>
      </c>
      <c r="G54" s="99">
        <v>0.47957267440955403</v>
      </c>
      <c r="H54" s="99">
        <v>0.47957267440955403</v>
      </c>
      <c r="I54" s="99">
        <v>1.5681401783152745E-2</v>
      </c>
      <c r="J54" s="99">
        <v>4.7858662547265007</v>
      </c>
      <c r="K54" s="49">
        <v>1268.2633044310783</v>
      </c>
      <c r="L54" s="100">
        <v>112.84925409147004</v>
      </c>
      <c r="M54" s="49" t="s">
        <v>237</v>
      </c>
      <c r="N54" s="99">
        <v>1.8219655325314446</v>
      </c>
      <c r="O54" s="99">
        <v>4.9919883512392266E-2</v>
      </c>
      <c r="P54" s="99">
        <v>1.3750683264388261E-2</v>
      </c>
      <c r="Q54" s="99">
        <v>0.41740300066289604</v>
      </c>
      <c r="R54" s="99">
        <v>0.41740300066289604</v>
      </c>
      <c r="S54" s="99">
        <v>1.3648534431089442E-2</v>
      </c>
      <c r="T54" s="99">
        <v>4.1654477873527913</v>
      </c>
      <c r="U54" s="49">
        <v>1103.8452026511297</v>
      </c>
      <c r="V54" s="100">
        <v>98.219977479623466</v>
      </c>
      <c r="W54" t="s">
        <v>237</v>
      </c>
      <c r="Y54" s="14">
        <f t="shared" si="1"/>
        <v>3.3011250638324818</v>
      </c>
      <c r="Z54" s="6">
        <f t="shared" si="0"/>
        <v>9.0447253641178241E-2</v>
      </c>
      <c r="AA54" s="249">
        <f t="shared" si="0"/>
        <v>2.4914151425150806E-2</v>
      </c>
      <c r="AB54" s="6">
        <f t="shared" si="0"/>
        <v>0.75627089678953163</v>
      </c>
      <c r="AC54" s="250">
        <f t="shared" si="0"/>
        <v>0.75627089678953163</v>
      </c>
      <c r="AD54" s="6">
        <f t="shared" si="0"/>
        <v>2.4729073240177975E-2</v>
      </c>
      <c r="AE54" s="14">
        <f t="shared" si="0"/>
        <v>7.5471592889085208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0.99788932854580226</v>
      </c>
      <c r="E55" s="99">
        <v>0.1337869920285803</v>
      </c>
      <c r="F55" s="99">
        <v>3.3262977618193405E-2</v>
      </c>
      <c r="G55" s="99">
        <v>0.6590331604337103</v>
      </c>
      <c r="H55" s="99">
        <v>0.6590331604337103</v>
      </c>
      <c r="I55" s="99">
        <v>2.0767884468509412E-2</v>
      </c>
      <c r="J55" s="99">
        <v>10.2816652559635</v>
      </c>
      <c r="K55" s="49">
        <v>2670.2222430343732</v>
      </c>
      <c r="L55" s="100">
        <v>237.59465982503826</v>
      </c>
      <c r="M55" s="49" t="s">
        <v>237</v>
      </c>
      <c r="N55" s="99">
        <v>0.86852738341966362</v>
      </c>
      <c r="O55" s="99">
        <v>0.11644343996693705</v>
      </c>
      <c r="P55" s="99">
        <v>2.8950912780655459E-2</v>
      </c>
      <c r="Q55" s="99">
        <v>0.57359902550757647</v>
      </c>
      <c r="R55" s="99">
        <v>0.57359902550757647</v>
      </c>
      <c r="S55" s="99">
        <v>1.807562806877782E-2</v>
      </c>
      <c r="T55" s="99">
        <v>8.9487957897817871</v>
      </c>
      <c r="U55" s="49">
        <v>2324.0536903399848</v>
      </c>
      <c r="V55" s="100">
        <v>206.79394228320376</v>
      </c>
      <c r="W55" t="s">
        <v>237</v>
      </c>
      <c r="Y55" s="14">
        <f t="shared" si="1"/>
        <v>0.74742454275452408</v>
      </c>
      <c r="Z55" s="6">
        <f t="shared" si="0"/>
        <v>0.10020718579001726</v>
      </c>
      <c r="AA55" s="249">
        <f t="shared" si="0"/>
        <v>2.4914151425150806E-2</v>
      </c>
      <c r="AB55" s="6">
        <f t="shared" si="0"/>
        <v>0.49361942703110689</v>
      </c>
      <c r="AC55" s="250">
        <f t="shared" si="0"/>
        <v>0.49361942703110689</v>
      </c>
      <c r="AD55" s="6">
        <f t="shared" si="0"/>
        <v>1.5555258593129615E-2</v>
      </c>
      <c r="AE55" s="14">
        <f t="shared" si="0"/>
        <v>7.701023282704516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0.75100304906441018</v>
      </c>
      <c r="E56" s="99">
        <v>8.0549564818005223E-2</v>
      </c>
      <c r="F56" s="99">
        <v>2.0026747975050947E-2</v>
      </c>
      <c r="G56" s="99">
        <v>0.44026963657095874</v>
      </c>
      <c r="H56" s="99">
        <v>0.44026963657095874</v>
      </c>
      <c r="I56" s="99">
        <v>1.2503787033134591E-2</v>
      </c>
      <c r="J56" s="99">
        <v>6.1903152871195699</v>
      </c>
      <c r="K56" s="49">
        <v>1607.6692986552</v>
      </c>
      <c r="L56" s="100">
        <v>143.04938142192796</v>
      </c>
      <c r="M56" s="49" t="s">
        <v>237</v>
      </c>
      <c r="N56" s="99">
        <v>0.65364634582738013</v>
      </c>
      <c r="O56" s="99">
        <v>7.010747661659518E-2</v>
      </c>
      <c r="P56" s="99">
        <v>1.7430569222063472E-2</v>
      </c>
      <c r="Q56" s="99">
        <v>0.38319503427032575</v>
      </c>
      <c r="R56" s="99">
        <v>0.38319503427032575</v>
      </c>
      <c r="S56" s="99">
        <v>1.0882851558850649E-2</v>
      </c>
      <c r="T56" s="99">
        <v>5.3878302784334551</v>
      </c>
      <c r="U56" s="49">
        <v>1399.2504841619725</v>
      </c>
      <c r="V56" s="100">
        <v>124.50509429461843</v>
      </c>
      <c r="W56" t="s">
        <v>237</v>
      </c>
      <c r="Y56" s="14">
        <f t="shared" si="1"/>
        <v>0.93428067844315466</v>
      </c>
      <c r="Z56" s="6">
        <f t="shared" si="0"/>
        <v>0.10020718579001724</v>
      </c>
      <c r="AA56" s="249">
        <f t="shared" si="0"/>
        <v>2.4914151425150792E-2</v>
      </c>
      <c r="AB56" s="6">
        <f t="shared" si="0"/>
        <v>0.54771470670574862</v>
      </c>
      <c r="AC56" s="250">
        <f t="shared" si="0"/>
        <v>0.54771470670574862</v>
      </c>
      <c r="AD56" s="6">
        <f t="shared" si="0"/>
        <v>1.5555258593129615E-2</v>
      </c>
      <c r="AE56" s="14">
        <f t="shared" si="0"/>
        <v>7.7010232827045115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1.2583758271484941E-2</v>
      </c>
      <c r="E57" s="99">
        <v>2.1975161926997517E-2</v>
      </c>
      <c r="F57" s="99">
        <v>1.7562566974623391E-3</v>
      </c>
      <c r="G57" s="99">
        <v>1.6245374451526639E-2</v>
      </c>
      <c r="H57" s="99">
        <v>1.6245374451526639E-2</v>
      </c>
      <c r="I57" s="99">
        <v>3.94499160667478E-4</v>
      </c>
      <c r="J57" s="99">
        <v>5.4509817247487366E-2</v>
      </c>
      <c r="K57" s="49">
        <v>168.36251413998656</v>
      </c>
      <c r="L57" s="100">
        <v>14.980788351504783</v>
      </c>
      <c r="M57" s="49" t="s">
        <v>237</v>
      </c>
      <c r="N57" s="99">
        <v>1.0952455680676938E-2</v>
      </c>
      <c r="O57" s="99">
        <v>1.9126399433985471E-2</v>
      </c>
      <c r="P57" s="99">
        <v>1.5285833713474901E-3</v>
      </c>
      <c r="Q57" s="99">
        <v>1.4139396184964282E-2</v>
      </c>
      <c r="R57" s="99">
        <v>1.4139396184964282E-2</v>
      </c>
      <c r="S57" s="99">
        <v>3.4335803978893006E-4</v>
      </c>
      <c r="T57" s="99">
        <v>4.7443406388197731E-2</v>
      </c>
      <c r="U57" s="49">
        <v>146.53593846829364</v>
      </c>
      <c r="V57" s="100">
        <v>13.038745416244851</v>
      </c>
      <c r="W57" t="s">
        <v>237</v>
      </c>
      <c r="Y57" s="14">
        <f t="shared" si="1"/>
        <v>0.14948490855090474</v>
      </c>
      <c r="Z57" s="6">
        <f t="shared" si="0"/>
        <v>0.26104721659286195</v>
      </c>
      <c r="AA57" s="249">
        <f t="shared" si="0"/>
        <v>2.0862914413015941E-2</v>
      </c>
      <c r="AB57" s="6">
        <f t="shared" si="0"/>
        <v>0.19298195832039744</v>
      </c>
      <c r="AC57" s="250">
        <f t="shared" si="0"/>
        <v>0.19298195832039744</v>
      </c>
      <c r="AD57" s="6">
        <f t="shared" si="0"/>
        <v>4.6863321500237066E-3</v>
      </c>
      <c r="AE57" s="14">
        <f t="shared" si="0"/>
        <v>0.64753270609398239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4.2445407735264958E-2</v>
      </c>
      <c r="E58" s="99">
        <v>7.4122904136954063E-2</v>
      </c>
      <c r="F58" s="99">
        <v>5.923908422533793E-3</v>
      </c>
      <c r="G58" s="99">
        <v>5.479615290843759E-2</v>
      </c>
      <c r="H58" s="99">
        <v>5.479615290843759E-2</v>
      </c>
      <c r="I58" s="99">
        <v>1.3306579294116532E-3</v>
      </c>
      <c r="J58" s="99">
        <v>0.1838633076643926</v>
      </c>
      <c r="K58" s="49">
        <v>567.89199266482399</v>
      </c>
      <c r="L58" s="100">
        <v>50.530664691502672</v>
      </c>
      <c r="M58" s="49" t="s">
        <v>237</v>
      </c>
      <c r="N58" s="99">
        <v>3.6942973397874543E-2</v>
      </c>
      <c r="O58" s="99">
        <v>6.4513939712484258E-2</v>
      </c>
      <c r="P58" s="99">
        <v>5.1559592177809607E-3</v>
      </c>
      <c r="Q58" s="99">
        <v>4.769262276447387E-2</v>
      </c>
      <c r="R58" s="99">
        <v>4.769262276447387E-2</v>
      </c>
      <c r="S58" s="99">
        <v>1.1581573392940483E-3</v>
      </c>
      <c r="T58" s="99">
        <v>0.16002808422187662</v>
      </c>
      <c r="U58" s="49">
        <v>494.27027458486452</v>
      </c>
      <c r="V58" s="100">
        <v>43.980093514902059</v>
      </c>
      <c r="W58" t="s">
        <v>237</v>
      </c>
      <c r="Y58" s="14">
        <f t="shared" si="1"/>
        <v>0.14948490855090479</v>
      </c>
      <c r="Z58" s="6">
        <f t="shared" si="0"/>
        <v>0.26104721659286201</v>
      </c>
      <c r="AA58" s="249">
        <f t="shared" si="0"/>
        <v>2.0862914413015951E-2</v>
      </c>
      <c r="AB58" s="6">
        <f t="shared" si="0"/>
        <v>0.1929819583203975</v>
      </c>
      <c r="AC58" s="250">
        <f t="shared" si="0"/>
        <v>0.1929819583203975</v>
      </c>
      <c r="AD58" s="6">
        <f t="shared" si="0"/>
        <v>4.6863321500237075E-3</v>
      </c>
      <c r="AE58" s="14">
        <f t="shared" si="0"/>
        <v>0.64753270609398283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1.1920629837086572</v>
      </c>
      <c r="E59" s="99">
        <v>4.2345372675099566E-2</v>
      </c>
      <c r="F59" s="99">
        <v>1.0502757565715041E-2</v>
      </c>
      <c r="G59" s="99">
        <v>0.25915953606422126</v>
      </c>
      <c r="H59" s="99">
        <v>0.25915953606422126</v>
      </c>
      <c r="I59" s="99">
        <v>6.4003429022412468E-3</v>
      </c>
      <c r="J59" s="99">
        <v>1.5903975642669081</v>
      </c>
      <c r="K59" s="49">
        <v>842.82666683542584</v>
      </c>
      <c r="L59" s="100">
        <v>75.020316572201182</v>
      </c>
      <c r="M59" s="49" t="s">
        <v>237</v>
      </c>
      <c r="N59" s="99">
        <v>1.0899238092674248</v>
      </c>
      <c r="O59" s="99">
        <v>3.8717106832144702E-2</v>
      </c>
      <c r="P59" s="99">
        <v>9.6028529450874461E-3</v>
      </c>
      <c r="Q59" s="99">
        <v>0.23695404740806003</v>
      </c>
      <c r="R59" s="99">
        <v>0.23695404740806003</v>
      </c>
      <c r="S59" s="99">
        <v>5.851944244527796E-3</v>
      </c>
      <c r="T59" s="99">
        <v>1.4541280076515433</v>
      </c>
      <c r="U59" s="49">
        <v>770.61075992427504</v>
      </c>
      <c r="V59" s="100">
        <v>68.592373329499807</v>
      </c>
      <c r="W59" t="s">
        <v>237</v>
      </c>
      <c r="Y59" s="14">
        <f t="shared" si="1"/>
        <v>2.8287272017186145</v>
      </c>
      <c r="Z59" s="6">
        <f t="shared" si="0"/>
        <v>0.10048421030598971</v>
      </c>
      <c r="AA59" s="249">
        <f t="shared" si="0"/>
        <v>2.49227066230715E-2</v>
      </c>
      <c r="AB59" s="6">
        <f t="shared" si="0"/>
        <v>0.6149772614941027</v>
      </c>
      <c r="AC59" s="250">
        <f t="shared" si="0"/>
        <v>0.6149772614941027</v>
      </c>
      <c r="AD59" s="6">
        <f t="shared" si="0"/>
        <v>1.5187808291446239E-2</v>
      </c>
      <c r="AE59" s="14">
        <f t="shared" si="0"/>
        <v>3.7739623770486537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8.8447693284790921E-2</v>
      </c>
      <c r="E60" s="99">
        <v>1.3858139692774847</v>
      </c>
      <c r="F60" s="99">
        <v>3.5853666586771236</v>
      </c>
      <c r="G60" s="99">
        <v>5.6640897926872671E-2</v>
      </c>
      <c r="H60" s="99">
        <v>5.6640897926872671E-2</v>
      </c>
      <c r="I60" s="99">
        <v>3.0387841737767201E-3</v>
      </c>
      <c r="J60" s="99">
        <v>5.5555280716607626E-2</v>
      </c>
      <c r="K60" s="49">
        <v>33297.681281806414</v>
      </c>
      <c r="L60" s="100">
        <v>248.10012141596343</v>
      </c>
      <c r="M60" s="49" t="s">
        <v>238</v>
      </c>
      <c r="N60" s="99">
        <v>8.1679097922963198E-2</v>
      </c>
      <c r="O60" s="99">
        <v>1.2797624301536195</v>
      </c>
      <c r="P60" s="99">
        <v>3.3109909770159418</v>
      </c>
      <c r="Q60" s="99">
        <v>5.2306366355052564E-2</v>
      </c>
      <c r="R60" s="99">
        <v>5.2306366355052564E-2</v>
      </c>
      <c r="S60" s="99">
        <v>2.8062365549485699E-3</v>
      </c>
      <c r="T60" s="99">
        <v>5.1303827666580738E-2</v>
      </c>
      <c r="U60" s="49">
        <v>30749.525160222096</v>
      </c>
      <c r="V60" s="100">
        <v>229.11387916679729</v>
      </c>
      <c r="W60" t="s">
        <v>238</v>
      </c>
      <c r="Y60" s="14">
        <f t="shared" si="1"/>
        <v>5.3125436895281961E-3</v>
      </c>
      <c r="Z60" s="6">
        <f t="shared" si="0"/>
        <v>8.3237866177467576E-2</v>
      </c>
      <c r="AA60" s="249">
        <f t="shared" si="0"/>
        <v>0.215352332093835</v>
      </c>
      <c r="AB60" s="6">
        <f t="shared" si="0"/>
        <v>3.4020926230572575E-3</v>
      </c>
      <c r="AC60" s="250">
        <f t="shared" si="0"/>
        <v>3.4020926230572575E-3</v>
      </c>
      <c r="AD60" s="6">
        <f t="shared" si="0"/>
        <v>1.8252226922702185E-4</v>
      </c>
      <c r="AE60" s="14">
        <f t="shared" si="0"/>
        <v>3.3368858477819947E-3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2.714151074520724E-2</v>
      </c>
      <c r="E61" s="99">
        <v>0.68519942975277781</v>
      </c>
      <c r="F61" s="99">
        <v>0.48432941025725224</v>
      </c>
      <c r="G61" s="99">
        <v>1.7381115126998487E-2</v>
      </c>
      <c r="H61" s="99">
        <v>1.7381115126998487E-2</v>
      </c>
      <c r="I61" s="99">
        <v>9.3249682656346893E-4</v>
      </c>
      <c r="J61" s="99">
        <v>1.7047977087064348E-2</v>
      </c>
      <c r="K61" s="49">
        <v>10544.457891195529</v>
      </c>
      <c r="L61" s="100">
        <v>78.566470167414607</v>
      </c>
      <c r="M61" s="49" t="s">
        <v>238</v>
      </c>
      <c r="N61" s="99">
        <v>2.6682948123092319E-2</v>
      </c>
      <c r="O61" s="99">
        <v>0.67362281376670707</v>
      </c>
      <c r="P61" s="99">
        <v>0.47614654356203151</v>
      </c>
      <c r="Q61" s="99">
        <v>1.7087456833518078E-2</v>
      </c>
      <c r="R61" s="99">
        <v>1.7087456833518078E-2</v>
      </c>
      <c r="S61" s="99">
        <v>9.167420591182446E-4</v>
      </c>
      <c r="T61" s="99">
        <v>1.675994724420898E-2</v>
      </c>
      <c r="U61" s="49">
        <v>10366.306634076549</v>
      </c>
      <c r="V61" s="100">
        <v>77.239069975564718</v>
      </c>
      <c r="W61" t="s">
        <v>238</v>
      </c>
      <c r="Y61" s="14">
        <f t="shared" si="1"/>
        <v>5.1480144404332075E-3</v>
      </c>
      <c r="Z61" s="6">
        <f t="shared" si="0"/>
        <v>0.1299638989169675</v>
      </c>
      <c r="AA61" s="249">
        <f t="shared" si="0"/>
        <v>9.1864259927797814E-2</v>
      </c>
      <c r="AB61" s="6">
        <f t="shared" si="0"/>
        <v>3.2967299611507705E-3</v>
      </c>
      <c r="AC61" s="250">
        <f t="shared" si="0"/>
        <v>3.2967299611507705E-3</v>
      </c>
      <c r="AD61" s="6">
        <f t="shared" si="0"/>
        <v>1.7686956241573878E-4</v>
      </c>
      <c r="AE61" s="14">
        <f t="shared" si="0"/>
        <v>3.2335426368953805E-3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5.8908089537741161E-4</v>
      </c>
      <c r="E62" s="99">
        <v>1.4871607456933259E-2</v>
      </c>
      <c r="F62" s="99">
        <v>2.387932260425632E-2</v>
      </c>
      <c r="G62" s="99">
        <v>3.304801657096279E-4</v>
      </c>
      <c r="H62" s="99">
        <v>3.304801657096279E-4</v>
      </c>
      <c r="I62" s="99">
        <v>2.0238964245039434E-5</v>
      </c>
      <c r="J62" s="99">
        <v>3.7001026586535278E-4</v>
      </c>
      <c r="K62" s="49">
        <v>226.37065150695238</v>
      </c>
      <c r="L62" s="100">
        <v>1.6524008285481391</v>
      </c>
      <c r="M62" s="49" t="s">
        <v>238</v>
      </c>
      <c r="N62" s="99">
        <v>5.5621519427448104E-4</v>
      </c>
      <c r="O62" s="99">
        <v>1.4041898312679747E-2</v>
      </c>
      <c r="P62" s="99">
        <v>2.2547059607084891E-2</v>
      </c>
      <c r="Q62" s="99">
        <v>3.1204218472621664E-4</v>
      </c>
      <c r="R62" s="99">
        <v>3.1204218472621664E-4</v>
      </c>
      <c r="S62" s="99">
        <v>1.910980226621782E-5</v>
      </c>
      <c r="T62" s="99">
        <v>3.4936684167968877E-4</v>
      </c>
      <c r="U62" s="49">
        <v>213.74109548284019</v>
      </c>
      <c r="V62" s="100">
        <v>1.5602109236310833</v>
      </c>
      <c r="W62" t="s">
        <v>238</v>
      </c>
      <c r="Y62" s="14">
        <f t="shared" si="1"/>
        <v>5.2045695098361256E-3</v>
      </c>
      <c r="Z62" s="6">
        <f t="shared" si="0"/>
        <v>0.13139165662980401</v>
      </c>
      <c r="AA62" s="249">
        <f t="shared" si="0"/>
        <v>0.21097542853096343</v>
      </c>
      <c r="AB62" s="6">
        <f t="shared" si="0"/>
        <v>2.919814591773423E-3</v>
      </c>
      <c r="AC62" s="250">
        <f t="shared" si="0"/>
        <v>2.919814591773423E-3</v>
      </c>
      <c r="AD62" s="6">
        <f t="shared" si="0"/>
        <v>1.7881261647928641E-4</v>
      </c>
      <c r="AE62" s="14">
        <f t="shared" si="0"/>
        <v>3.2690656973612922E-3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2.279947112751507E-3</v>
      </c>
      <c r="E63" s="99">
        <v>3.5722611192260632E-2</v>
      </c>
      <c r="F63" s="99">
        <v>9.242124987121704E-2</v>
      </c>
      <c r="G63" s="99">
        <v>1.4600522285665104E-3</v>
      </c>
      <c r="H63" s="99">
        <v>1.4600522285665104E-3</v>
      </c>
      <c r="I63" s="99">
        <v>7.8331802062593363E-5</v>
      </c>
      <c r="J63" s="99">
        <v>1.4320678941856528E-3</v>
      </c>
      <c r="K63" s="49">
        <v>799.42044626630729</v>
      </c>
      <c r="L63" s="100">
        <v>6.3953635701304572</v>
      </c>
      <c r="M63" s="49" t="s">
        <v>238</v>
      </c>
      <c r="N63" s="99">
        <v>1.889369548305056E-3</v>
      </c>
      <c r="O63" s="99">
        <v>2.9602973417723635E-2</v>
      </c>
      <c r="P63" s="99">
        <v>7.6588572667475638E-2</v>
      </c>
      <c r="Q63" s="99">
        <v>1.2099307936399306E-3</v>
      </c>
      <c r="R63" s="99">
        <v>1.2099307936399306E-3</v>
      </c>
      <c r="S63" s="99">
        <v>6.4912787078782281E-5</v>
      </c>
      <c r="T63" s="99">
        <v>1.1867404534284982E-3</v>
      </c>
      <c r="U63" s="49">
        <v>662.47179113080529</v>
      </c>
      <c r="V63" s="100">
        <v>5.299774329046441</v>
      </c>
      <c r="W63" t="s">
        <v>238</v>
      </c>
      <c r="Y63" s="14">
        <f t="shared" si="1"/>
        <v>5.7039999999999981E-3</v>
      </c>
      <c r="Z63" s="6">
        <f t="shared" si="0"/>
        <v>8.9371272298833682E-2</v>
      </c>
      <c r="AA63" s="249">
        <f t="shared" si="0"/>
        <v>0.23122063065279469</v>
      </c>
      <c r="AB63" s="6">
        <f t="shared" si="0"/>
        <v>3.6527767969550553E-3</v>
      </c>
      <c r="AC63" s="250">
        <f t="shared" si="0"/>
        <v>3.6527767969550553E-3</v>
      </c>
      <c r="AD63" s="6">
        <f t="shared" si="0"/>
        <v>1.9597147515663872E-4</v>
      </c>
      <c r="AE63" s="14">
        <f t="shared" si="0"/>
        <v>3.5827652416800821E-3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6.4990552711092727E-4</v>
      </c>
      <c r="E64" s="99">
        <v>1.1107476281532223E-2</v>
      </c>
      <c r="F64" s="99">
        <v>7.0898784775737624E-5</v>
      </c>
      <c r="G64" s="99">
        <v>5.8529310125197163E-6</v>
      </c>
      <c r="H64" s="99">
        <v>5.8529310125197163E-6</v>
      </c>
      <c r="I64" s="99">
        <v>2.363292825857918E-3</v>
      </c>
      <c r="J64" s="99">
        <v>4.726585651715836E-3</v>
      </c>
      <c r="K64" s="49">
        <v>291.73882732240446</v>
      </c>
      <c r="L64" s="100">
        <v>287.42741608118672</v>
      </c>
      <c r="M64" s="49" t="s">
        <v>239</v>
      </c>
      <c r="N64" s="99">
        <v>6.4990552711092727E-4</v>
      </c>
      <c r="O64" s="99">
        <v>1.1107476281532223E-2</v>
      </c>
      <c r="P64" s="99">
        <v>7.0898784775737624E-5</v>
      </c>
      <c r="Q64" s="99">
        <v>5.8529310125197163E-6</v>
      </c>
      <c r="R64" s="99">
        <v>5.8529310125197163E-6</v>
      </c>
      <c r="S64" s="99">
        <v>2.363292825857918E-3</v>
      </c>
      <c r="T64" s="99">
        <v>4.726585651715836E-3</v>
      </c>
      <c r="U64" s="49">
        <v>291.73882732240446</v>
      </c>
      <c r="V64" s="100">
        <v>287.42741608118672</v>
      </c>
      <c r="W64" t="s">
        <v>239</v>
      </c>
      <c r="Y64" s="14">
        <f t="shared" si="1"/>
        <v>4.4553927434054438E-3</v>
      </c>
      <c r="Z64" s="6">
        <f t="shared" si="0"/>
        <v>7.6146712341838563E-2</v>
      </c>
      <c r="AA64" s="249">
        <f t="shared" si="0"/>
        <v>4.8604284473513997E-4</v>
      </c>
      <c r="AB64" s="6">
        <f t="shared" si="0"/>
        <v>4.0124456975701519E-5</v>
      </c>
      <c r="AC64" s="250">
        <f t="shared" si="0"/>
        <v>4.0124456975701519E-5</v>
      </c>
      <c r="AD64" s="6">
        <f t="shared" si="0"/>
        <v>1.6201428157837979E-2</v>
      </c>
      <c r="AE64" s="14">
        <f t="shared" si="0"/>
        <v>3.2402856315675958E-2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0.13262524434035919</v>
      </c>
      <c r="F65" s="99">
        <v>7.9575146604215412E-4</v>
      </c>
      <c r="G65" s="99">
        <v>1.0079518569867293E-2</v>
      </c>
      <c r="H65" s="99">
        <v>1.0079518569867293E-2</v>
      </c>
      <c r="I65" s="99">
        <v>2.6525048868071836E-2</v>
      </c>
      <c r="J65" s="99">
        <v>5.3050097736143671E-2</v>
      </c>
      <c r="K65" s="49">
        <v>2692.2924601092896</v>
      </c>
      <c r="L65" s="100">
        <v>2652.5048868071817</v>
      </c>
      <c r="M65" s="49" t="s">
        <v>239</v>
      </c>
      <c r="N65" s="99">
        <v>7.2943884387197469E-3</v>
      </c>
      <c r="O65" s="99">
        <v>0.13262524434035919</v>
      </c>
      <c r="P65" s="99">
        <v>7.9575146604215412E-4</v>
      </c>
      <c r="Q65" s="99">
        <v>1.0079518569867293E-2</v>
      </c>
      <c r="R65" s="99">
        <v>1.0079518569867293E-2</v>
      </c>
      <c r="S65" s="99">
        <v>2.6525048868071836E-2</v>
      </c>
      <c r="T65" s="99">
        <v>5.3050097736143671E-2</v>
      </c>
      <c r="U65" s="49">
        <v>2692.2924601092896</v>
      </c>
      <c r="V65" s="100">
        <v>2652.5048868071817</v>
      </c>
      <c r="W65" t="s">
        <v>239</v>
      </c>
      <c r="Y65" s="14">
        <f t="shared" si="1"/>
        <v>5.4187192118226573E-3</v>
      </c>
      <c r="Z65" s="6">
        <f t="shared" si="0"/>
        <v>9.8522167487684803E-2</v>
      </c>
      <c r="AA65" s="249">
        <f t="shared" si="0"/>
        <v>5.91133004926108E-4</v>
      </c>
      <c r="AB65" s="6">
        <f t="shared" si="0"/>
        <v>7.4876847290640414E-3</v>
      </c>
      <c r="AC65" s="250">
        <f t="shared" si="0"/>
        <v>7.4876847290640414E-3</v>
      </c>
      <c r="AD65" s="6">
        <f t="shared" si="0"/>
        <v>1.970443349753696E-2</v>
      </c>
      <c r="AE65" s="14">
        <f t="shared" si="0"/>
        <v>3.940886699507392E-2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0.13293278316158741</v>
      </c>
      <c r="E66" s="99">
        <v>6.2744273652269242E-2</v>
      </c>
      <c r="F66" s="99">
        <v>0.12362748834027623</v>
      </c>
      <c r="G66" s="99">
        <v>0.10621329374610831</v>
      </c>
      <c r="H66" s="99">
        <v>0.10621329374610831</v>
      </c>
      <c r="I66" s="99">
        <v>1.6828625684341163E-2</v>
      </c>
      <c r="J66" s="99">
        <v>1.7357698161324271</v>
      </c>
      <c r="K66" s="49">
        <v>404.11566081122578</v>
      </c>
      <c r="L66" s="100">
        <v>26.586556632317482</v>
      </c>
      <c r="M66" s="49" t="s">
        <v>237</v>
      </c>
      <c r="N66" s="99">
        <v>0.11653895388902819</v>
      </c>
      <c r="O66" s="99">
        <v>5.5006386235621291E-2</v>
      </c>
      <c r="P66" s="99">
        <v>0.10838122711679619</v>
      </c>
      <c r="Q66" s="99">
        <v>9.3114624157333514E-2</v>
      </c>
      <c r="R66" s="99">
        <v>9.3114624157333514E-2</v>
      </c>
      <c r="S66" s="99">
        <v>1.4753248867581524E-2</v>
      </c>
      <c r="T66" s="99">
        <v>1.521707390405985</v>
      </c>
      <c r="U66" s="49">
        <v>354.27841982264556</v>
      </c>
      <c r="V66" s="100">
        <v>23.307790777805639</v>
      </c>
      <c r="W66" t="s">
        <v>237</v>
      </c>
      <c r="Y66" s="14">
        <f t="shared" si="1"/>
        <v>0.65789473684210542</v>
      </c>
      <c r="Z66" s="6">
        <f t="shared" si="1"/>
        <v>0.31052631578947371</v>
      </c>
      <c r="AA66" s="249">
        <f t="shared" si="1"/>
        <v>0.61184210526315808</v>
      </c>
      <c r="AB66" s="6">
        <f t="shared" si="1"/>
        <v>0.52565789473684221</v>
      </c>
      <c r="AC66" s="250">
        <f t="shared" si="1"/>
        <v>0.52565789473684221</v>
      </c>
      <c r="AD66" s="6">
        <f t="shared" si="1"/>
        <v>8.3286184210526346E-2</v>
      </c>
      <c r="AE66" s="14">
        <f t="shared" si="1"/>
        <v>8.5904605263157894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1.6443543175439636E-4</v>
      </c>
      <c r="F67" s="99">
        <v>3.2399354138048435E-4</v>
      </c>
      <c r="G67" s="99">
        <v>2.7835574146559892E-4</v>
      </c>
      <c r="H67" s="99">
        <v>2.7835574146559892E-4</v>
      </c>
      <c r="I67" s="99">
        <v>4.4103185345228471E-5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1.5539346793088337E-4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4.1678042526928346E-5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2.9937064250054862E-4</v>
      </c>
      <c r="H68" s="99">
        <v>2.9937064250054862E-4</v>
      </c>
      <c r="I68" s="99">
        <v>1.0961826058757602E-5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8.7269646582558802E-4</v>
      </c>
      <c r="O68" s="99">
        <v>3.5510956409239786E-5</v>
      </c>
      <c r="P68" s="99">
        <v>7.5369704121824448E-6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4.5454071442014882E-4</v>
      </c>
      <c r="E69" s="101">
        <v>2.3729271934124711E-2</v>
      </c>
      <c r="F69" s="101">
        <v>1.6802202817214628E-2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5.6489860280612312E-3</v>
      </c>
      <c r="K69" s="94">
        <v>125.9077778943812</v>
      </c>
      <c r="L69" s="102">
        <v>0.90908142884029708</v>
      </c>
      <c r="M69" s="94" t="s">
        <v>238</v>
      </c>
      <c r="N69" s="101">
        <v>4.5454071442014882E-4</v>
      </c>
      <c r="O69" s="101">
        <v>2.3729271934124711E-2</v>
      </c>
      <c r="P69" s="101">
        <v>1.6802202817214628E-2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5.6489860280612312E-3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7.2202166064981961E-3</v>
      </c>
      <c r="Z69" s="252">
        <f t="shared" si="1"/>
        <v>0.37693099395384788</v>
      </c>
      <c r="AA69" s="253">
        <f t="shared" si="1"/>
        <v>0.26689697964980841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8.973212175660715E-2</v>
      </c>
    </row>
    <row r="70" spans="1:31" x14ac:dyDescent="0.25">
      <c r="A70" s="17" t="s">
        <v>236</v>
      </c>
      <c r="B70" s="17" t="s">
        <v>219</v>
      </c>
      <c r="C70" s="17"/>
      <c r="D70" s="103">
        <v>10.304322275241287</v>
      </c>
      <c r="E70" s="103">
        <v>2.8348289244421823</v>
      </c>
      <c r="F70" s="103">
        <v>4.4266241823858108</v>
      </c>
      <c r="G70" s="103">
        <v>2.964800169261411</v>
      </c>
      <c r="H70" s="103">
        <v>2.964800169261411</v>
      </c>
      <c r="I70" s="103">
        <v>0.15360373988583864</v>
      </c>
      <c r="J70" s="103">
        <v>31.512481897888399</v>
      </c>
      <c r="K70" s="93">
        <v>56474.383685207031</v>
      </c>
      <c r="L70" s="93"/>
      <c r="M70" s="93"/>
      <c r="N70" s="103">
        <v>9.2793503076720718</v>
      </c>
      <c r="O70" s="103">
        <v>2.6445949490902136</v>
      </c>
      <c r="P70" s="103">
        <v>4.0996975393875967</v>
      </c>
      <c r="Q70" s="103">
        <v>2.6366777990289929</v>
      </c>
      <c r="R70" s="103">
        <v>2.6366777990289929</v>
      </c>
      <c r="S70" s="103">
        <v>0.14005019100011956</v>
      </c>
      <c r="T70" s="103">
        <v>27.796101564572261</v>
      </c>
      <c r="U70" s="93">
        <v>52572.179679820561</v>
      </c>
      <c r="Y70" s="14">
        <f t="shared" si="1"/>
        <v>0.35301371806099496</v>
      </c>
      <c r="Z70" s="6">
        <f t="shared" si="1"/>
        <v>0.1006081530268117</v>
      </c>
      <c r="AA70" s="249">
        <f t="shared" si="1"/>
        <v>0.15596452589015383</v>
      </c>
      <c r="AB70" s="6">
        <f t="shared" si="1"/>
        <v>0.10030696140381115</v>
      </c>
      <c r="AC70" s="250">
        <f t="shared" si="1"/>
        <v>0.10030696140381115</v>
      </c>
      <c r="AD70" s="6">
        <f t="shared" si="1"/>
        <v>5.3279202746800616E-3</v>
      </c>
      <c r="AE70" s="14">
        <f t="shared" si="1"/>
        <v>1.0574452774778744</v>
      </c>
    </row>
    <row r="71" spans="1:31" x14ac:dyDescent="0.25">
      <c r="R71" s="99"/>
      <c r="T71" s="1" t="s">
        <v>33</v>
      </c>
      <c r="U71" s="49">
        <f>SUM(U50:U60,U62:U64,U66)</f>
        <v>39364.647264897147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7.513867482718581</v>
      </c>
      <c r="O74" s="99">
        <f t="shared" si="2"/>
        <v>0.19829341708867146</v>
      </c>
      <c r="P74" s="99">
        <f t="shared" si="2"/>
        <v>0.1400903413691042</v>
      </c>
      <c r="Q74" s="99">
        <f>SUM(Q50,Q51,Q54, Q59,Q66)</f>
        <v>1.4634535083312206</v>
      </c>
      <c r="R74" s="99">
        <f t="shared" ref="R74:U74" si="3">SUM(R50,R51,R54, R59,R66)</f>
        <v>1.4634535083312206</v>
      </c>
      <c r="S74" s="99">
        <f t="shared" si="3"/>
        <v>7.1684437120892536E-2</v>
      </c>
      <c r="T74" s="99">
        <f t="shared" si="3"/>
        <v>12.380903347377675</v>
      </c>
      <c r="U74" s="49">
        <f t="shared" si="3"/>
        <v>2899.5937723586508</v>
      </c>
      <c r="Y74" s="14">
        <f t="shared" ref="Y74:AE81" si="4">N74/$U74*2000</f>
        <v>5.1827035596137918</v>
      </c>
      <c r="Z74" s="6">
        <f t="shared" si="4"/>
        <v>0.13677323974066291</v>
      </c>
      <c r="AA74" s="249">
        <f t="shared" si="4"/>
        <v>9.6627563974348615E-2</v>
      </c>
      <c r="AB74" s="6">
        <f t="shared" si="4"/>
        <v>1.009419679599316</v>
      </c>
      <c r="AC74" s="250">
        <f t="shared" si="4"/>
        <v>1.009419679599316</v>
      </c>
      <c r="AD74" s="6">
        <f t="shared" si="4"/>
        <v>4.9444468948891013E-2</v>
      </c>
      <c r="AE74" s="14">
        <f t="shared" si="4"/>
        <v>8.5397502680567072</v>
      </c>
    </row>
    <row r="75" spans="1:31" x14ac:dyDescent="0.25">
      <c r="M75" s="1" t="s">
        <v>588</v>
      </c>
      <c r="N75" s="99">
        <f t="shared" ref="N75:U75" si="5">SUM(N52:N53,N55:N56)</f>
        <v>1.597179010491224</v>
      </c>
      <c r="O75" s="99">
        <f t="shared" si="5"/>
        <v>0.19797818022398628</v>
      </c>
      <c r="P75" s="99">
        <f t="shared" si="5"/>
        <v>4.8666934730809741E-2</v>
      </c>
      <c r="Q75" s="99">
        <f t="shared" si="5"/>
        <v>1.0275048747544451</v>
      </c>
      <c r="R75" s="99">
        <f t="shared" si="5"/>
        <v>1.0275048747544451</v>
      </c>
      <c r="S75" s="99">
        <f t="shared" si="5"/>
        <v>3.4100748265832787E-2</v>
      </c>
      <c r="T75" s="99">
        <f t="shared" si="5"/>
        <v>15.068528948580136</v>
      </c>
      <c r="U75" s="49">
        <f t="shared" si="5"/>
        <v>3906.7704053271937</v>
      </c>
      <c r="Y75" s="14">
        <f t="shared" si="4"/>
        <v>0.81764672339758837</v>
      </c>
      <c r="Z75" s="6">
        <f t="shared" si="4"/>
        <v>0.1013513258695864</v>
      </c>
      <c r="AA75" s="249">
        <f t="shared" si="4"/>
        <v>2.4914151425150802E-2</v>
      </c>
      <c r="AB75" s="6">
        <f t="shared" si="4"/>
        <v>0.52601241852009528</v>
      </c>
      <c r="AC75" s="250">
        <f t="shared" si="4"/>
        <v>0.52601241852009528</v>
      </c>
      <c r="AD75" s="6">
        <f t="shared" si="4"/>
        <v>1.745725739057186E-2</v>
      </c>
      <c r="AE75" s="14">
        <f t="shared" si="4"/>
        <v>7.7140591256824269</v>
      </c>
    </row>
    <row r="76" spans="1:31" x14ac:dyDescent="0.25">
      <c r="M76" s="1" t="s">
        <v>589</v>
      </c>
      <c r="N76" s="99">
        <f t="shared" ref="N76:V76" si="6">SUM(N60,N62:N63)</f>
        <v>8.4124682665542738E-2</v>
      </c>
      <c r="O76" s="99">
        <f t="shared" si="6"/>
        <v>1.3234073018840229</v>
      </c>
      <c r="P76" s="99">
        <f t="shared" si="6"/>
        <v>3.4101266092905025</v>
      </c>
      <c r="Q76" s="99">
        <f t="shared" si="6"/>
        <v>5.3828339333418712E-2</v>
      </c>
      <c r="R76" s="99">
        <f t="shared" si="6"/>
        <v>5.3828339333418712E-2</v>
      </c>
      <c r="S76" s="99">
        <f t="shared" si="6"/>
        <v>2.8902591442935698E-3</v>
      </c>
      <c r="T76" s="99">
        <f t="shared" si="6"/>
        <v>5.2839934961688928E-2</v>
      </c>
      <c r="U76" s="49">
        <f t="shared" si="6"/>
        <v>31625.738046835744</v>
      </c>
      <c r="V76" s="100">
        <f t="shared" si="6"/>
        <v>235.97386441947481</v>
      </c>
      <c r="W76" t="s">
        <v>238</v>
      </c>
      <c r="Y76" s="14">
        <f t="shared" si="4"/>
        <v>5.3200138786300786E-3</v>
      </c>
      <c r="Z76" s="6">
        <f t="shared" si="4"/>
        <v>8.3691789258744834E-2</v>
      </c>
      <c r="AA76" s="249">
        <f t="shared" si="4"/>
        <v>0.21565514798360233</v>
      </c>
      <c r="AB76" s="6">
        <f t="shared" si="4"/>
        <v>3.4040843096658996E-3</v>
      </c>
      <c r="AC76" s="250">
        <f t="shared" si="4"/>
        <v>3.4040843096658996E-3</v>
      </c>
      <c r="AD76" s="6">
        <f t="shared" si="4"/>
        <v>1.8277892139707705E-4</v>
      </c>
      <c r="AE76" s="14">
        <f t="shared" si="4"/>
        <v>3.3415779820497016E-3</v>
      </c>
    </row>
    <row r="77" spans="1:31" x14ac:dyDescent="0.25">
      <c r="M77" s="1" t="s">
        <v>590</v>
      </c>
      <c r="N77" s="99">
        <f t="shared" ref="N77:U77" si="7">SUM(N64,N66)</f>
        <v>0.11718885941613912</v>
      </c>
      <c r="O77" s="99">
        <f t="shared" si="7"/>
        <v>6.611386251715351E-2</v>
      </c>
      <c r="P77" s="99">
        <f t="shared" si="7"/>
        <v>0.10845212590157194</v>
      </c>
      <c r="Q77" s="99">
        <f t="shared" si="7"/>
        <v>9.3120477088346032E-2</v>
      </c>
      <c r="R77" s="99">
        <f t="shared" si="7"/>
        <v>9.3120477088346032E-2</v>
      </c>
      <c r="S77" s="99">
        <f t="shared" si="7"/>
        <v>1.7116541693439444E-2</v>
      </c>
      <c r="T77" s="99">
        <f t="shared" si="7"/>
        <v>1.5264339760577008</v>
      </c>
      <c r="U77" s="49">
        <f t="shared" si="7"/>
        <v>646.01724714505008</v>
      </c>
      <c r="Y77" s="14">
        <f t="shared" si="4"/>
        <v>0.36280411996439077</v>
      </c>
      <c r="Z77" s="6">
        <f t="shared" si="4"/>
        <v>0.20468141619850275</v>
      </c>
      <c r="AA77" s="249">
        <f t="shared" si="4"/>
        <v>0.33575613153009587</v>
      </c>
      <c r="AB77" s="6">
        <f t="shared" si="4"/>
        <v>0.28829099377725348</v>
      </c>
      <c r="AC77" s="250">
        <f t="shared" si="4"/>
        <v>0.28829099377725348</v>
      </c>
      <c r="AD77" s="6">
        <f t="shared" si="4"/>
        <v>5.2990974371296538E-2</v>
      </c>
      <c r="AE77" s="14">
        <f t="shared" si="4"/>
        <v>4.7256756156386981</v>
      </c>
    </row>
    <row r="78" spans="1:31" x14ac:dyDescent="0.25">
      <c r="M78" s="1" t="s">
        <v>591</v>
      </c>
      <c r="N78" s="99">
        <f t="shared" ref="N78:V78" si="8">N61</f>
        <v>2.6682948123092319E-2</v>
      </c>
      <c r="O78" s="99">
        <f t="shared" si="8"/>
        <v>0.67362281376670707</v>
      </c>
      <c r="P78" s="99">
        <f t="shared" si="8"/>
        <v>0.47614654356203151</v>
      </c>
      <c r="Q78" s="99">
        <f t="shared" si="8"/>
        <v>1.7087456833518078E-2</v>
      </c>
      <c r="R78" s="99">
        <f t="shared" si="8"/>
        <v>1.7087456833518078E-2</v>
      </c>
      <c r="S78" s="99">
        <f t="shared" si="8"/>
        <v>9.167420591182446E-4</v>
      </c>
      <c r="T78" s="99">
        <f t="shared" si="8"/>
        <v>1.675994724420898E-2</v>
      </c>
      <c r="U78" s="49">
        <f t="shared" si="8"/>
        <v>10366.306634076549</v>
      </c>
      <c r="V78" s="100">
        <f t="shared" si="8"/>
        <v>77.239069975564718</v>
      </c>
      <c r="W78" t="s">
        <v>238</v>
      </c>
      <c r="Y78" s="14">
        <f t="shared" si="4"/>
        <v>5.1480144404332075E-3</v>
      </c>
      <c r="Z78" s="6">
        <f t="shared" si="4"/>
        <v>0.1299638989169675</v>
      </c>
      <c r="AA78" s="249">
        <f t="shared" si="4"/>
        <v>9.1864259927797814E-2</v>
      </c>
      <c r="AB78" s="6">
        <f t="shared" si="4"/>
        <v>3.2967299611507705E-3</v>
      </c>
      <c r="AC78" s="250">
        <f t="shared" si="4"/>
        <v>3.2967299611507705E-3</v>
      </c>
      <c r="AD78" s="6">
        <f t="shared" si="4"/>
        <v>1.7686956241573878E-4</v>
      </c>
      <c r="AE78" s="14">
        <f t="shared" si="4"/>
        <v>3.2335426368953805E-3</v>
      </c>
    </row>
    <row r="79" spans="1:31" x14ac:dyDescent="0.25">
      <c r="M79" s="1" t="s">
        <v>592</v>
      </c>
      <c r="N79" s="99">
        <f t="shared" ref="N79:V79" si="9">SUM(N50:N59,N68)</f>
        <v>9.0432756648651527</v>
      </c>
      <c r="O79" s="99">
        <f t="shared" si="9"/>
        <v>0.42494106117991537</v>
      </c>
      <c r="P79" s="99">
        <f t="shared" si="9"/>
        <v>8.7068128542658399E-2</v>
      </c>
      <c r="Q79" s="99">
        <f t="shared" si="9"/>
        <v>2.4599334447688364</v>
      </c>
      <c r="R79" s="99">
        <f t="shared" si="9"/>
        <v>2.4599334447688364</v>
      </c>
      <c r="S79" s="99">
        <f t="shared" si="9"/>
        <v>9.2543383786072395E-2</v>
      </c>
      <c r="T79" s="99">
        <f t="shared" si="9"/>
        <v>26.13706978735906</v>
      </c>
      <c r="U79" s="49">
        <f t="shared" si="9"/>
        <v>7100.7869952635583</v>
      </c>
      <c r="V79" s="100">
        <f t="shared" si="9"/>
        <v>631.79016474070465</v>
      </c>
      <c r="W79" t="s">
        <v>743</v>
      </c>
      <c r="Y79" s="14">
        <f t="shared" si="4"/>
        <v>2.5471192618219063</v>
      </c>
      <c r="Z79" s="6">
        <f t="shared" si="4"/>
        <v>0.1196884405808438</v>
      </c>
      <c r="AA79" s="249">
        <f t="shared" si="4"/>
        <v>2.4523515097899851E-2</v>
      </c>
      <c r="AB79" s="6">
        <f t="shared" si="4"/>
        <v>0.69286219862944409</v>
      </c>
      <c r="AC79" s="250">
        <f t="shared" si="4"/>
        <v>0.69286219862944409</v>
      </c>
      <c r="AD79" s="6">
        <f t="shared" si="4"/>
        <v>2.6065669579386528E-2</v>
      </c>
      <c r="AE79" s="14">
        <f t="shared" si="4"/>
        <v>7.3617388621270523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0.1565099097424148</v>
      </c>
      <c r="P80" s="99">
        <f t="shared" si="10"/>
        <v>1.7904132090832463E-2</v>
      </c>
      <c r="Q80" s="99">
        <f t="shared" si="10"/>
        <v>1.2708081004873814E-2</v>
      </c>
      <c r="R80" s="99">
        <f t="shared" si="10"/>
        <v>1.2708081004873814E-2</v>
      </c>
      <c r="S80" s="99">
        <f t="shared" si="10"/>
        <v>2.6583264317195914E-2</v>
      </c>
      <c r="T80" s="99">
        <f t="shared" si="10"/>
        <v>6.2997918949602175E-2</v>
      </c>
      <c r="U80" s="49">
        <f t="shared" si="10"/>
        <v>2833.3307564996635</v>
      </c>
      <c r="Y80" s="14">
        <f t="shared" si="4"/>
        <v>5.7022305522323605E-3</v>
      </c>
      <c r="Z80" s="6">
        <f t="shared" si="4"/>
        <v>0.11047768382380413</v>
      </c>
      <c r="AA80" s="249">
        <f t="shared" si="4"/>
        <v>1.263822238173949E-2</v>
      </c>
      <c r="AB80" s="6">
        <f t="shared" si="4"/>
        <v>8.9704182794200522E-3</v>
      </c>
      <c r="AC80" s="250">
        <f t="shared" si="4"/>
        <v>8.9704182794200522E-3</v>
      </c>
      <c r="AD80" s="6">
        <f t="shared" si="4"/>
        <v>1.8764674231001009E-2</v>
      </c>
      <c r="AE80" s="14">
        <f t="shared" si="4"/>
        <v>4.4469159701940826E-2</v>
      </c>
    </row>
    <row r="81" spans="13:31" x14ac:dyDescent="0.25">
      <c r="M81" s="1" t="s">
        <v>594</v>
      </c>
      <c r="N81" s="99">
        <f>SUM(N76:N80)</f>
        <v>9.2793503076720718</v>
      </c>
      <c r="O81" s="99">
        <f t="shared" ref="O81:U81" si="11">SUM(O76:O80)</f>
        <v>2.6445949490902141</v>
      </c>
      <c r="P81" s="99">
        <f t="shared" si="11"/>
        <v>4.0996975393875967</v>
      </c>
      <c r="Q81" s="99">
        <f t="shared" si="11"/>
        <v>2.6366777990289929</v>
      </c>
      <c r="R81" s="99">
        <f t="shared" si="11"/>
        <v>2.6366777990289929</v>
      </c>
      <c r="S81" s="99">
        <f t="shared" si="11"/>
        <v>0.14005019100011956</v>
      </c>
      <c r="T81" s="99">
        <f t="shared" si="11"/>
        <v>27.796101564572261</v>
      </c>
      <c r="U81" s="49">
        <f t="shared" si="11"/>
        <v>52572.179679820569</v>
      </c>
      <c r="Y81" s="14">
        <f t="shared" si="4"/>
        <v>0.35301371806099491</v>
      </c>
      <c r="Z81" s="6">
        <f t="shared" si="4"/>
        <v>0.1006081530268117</v>
      </c>
      <c r="AA81" s="249">
        <f t="shared" si="4"/>
        <v>0.15596452589015383</v>
      </c>
      <c r="AB81" s="6">
        <f t="shared" si="4"/>
        <v>0.10030696140381114</v>
      </c>
      <c r="AC81" s="250">
        <f t="shared" si="4"/>
        <v>0.10030696140381114</v>
      </c>
      <c r="AD81" s="6">
        <f t="shared" si="4"/>
        <v>5.3279202746800607E-3</v>
      </c>
      <c r="AE81" s="14">
        <f t="shared" si="4"/>
        <v>1.0574452774778742</v>
      </c>
    </row>
    <row r="83" spans="13:31" x14ac:dyDescent="0.25">
      <c r="V83" s="42">
        <f>V79/Lookup!B37</f>
        <v>375.44976000493142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70994.340176161684</v>
      </c>
      <c r="W84" t="s">
        <v>746</v>
      </c>
    </row>
  </sheetData>
  <sheetProtection algorithmName="SHA-512" hashValue="+lxmVPLFdJJJ5xiM5ypk5TN2S39oH/LvWxLVuF6n8jU5oi+AF7sD35tH+iuZhHJ0S2QMNpwtznmNXjSBBNIN3A==" saltValue="p4AmFJx4WUgaYEzEGVBe/w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6CCA2-E91D-46DE-8EAB-38743E013A95}">
  <sheetPr codeName="Sheet22">
    <tabColor rgb="FFFF0000"/>
  </sheetPr>
  <dimension ref="A1:AE84"/>
  <sheetViews>
    <sheetView zoomScale="84" zoomScaleNormal="84" workbookViewId="0">
      <pane ySplit="5" topLeftCell="A44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1540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5.8084995343808661</v>
      </c>
      <c r="E6" s="99">
        <v>6.5948029647992359E-2</v>
      </c>
      <c r="F6" s="99">
        <v>1.0145850715075747E-2</v>
      </c>
      <c r="G6" s="99">
        <v>0.87761608685405224</v>
      </c>
      <c r="H6" s="99">
        <v>0.87761608685405224</v>
      </c>
      <c r="I6" s="99">
        <v>4.5656328217840859E-2</v>
      </c>
      <c r="J6" s="99">
        <v>6.407104726570334</v>
      </c>
      <c r="K6" s="49">
        <v>816.2344117292954</v>
      </c>
      <c r="L6" s="100">
        <v>72.470960866881356</v>
      </c>
      <c r="M6" s="49" t="s">
        <v>237</v>
      </c>
      <c r="N6" s="99">
        <v>5.3520923035302452</v>
      </c>
      <c r="O6" s="99">
        <v>6.076611348986307E-2</v>
      </c>
      <c r="P6" s="99">
        <v>9.3486328445943172E-3</v>
      </c>
      <c r="Q6" s="99">
        <v>0.80865674105740859</v>
      </c>
      <c r="R6" s="99">
        <v>0.80865674105740859</v>
      </c>
      <c r="S6" s="99">
        <v>4.2068847800674415E-2</v>
      </c>
      <c r="T6" s="99">
        <v>5.9036616413613086</v>
      </c>
      <c r="U6" s="49">
        <v>752.09817734082833</v>
      </c>
      <c r="V6" s="100">
        <v>66.776500469569356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0.11981002605452708</v>
      </c>
      <c r="E7" s="99">
        <v>6.329586282125957E-3</v>
      </c>
      <c r="F7" s="99">
        <v>9.0422661173227958E-4</v>
      </c>
      <c r="G7" s="99">
        <v>6.9173335797519386E-2</v>
      </c>
      <c r="H7" s="99">
        <v>6.9173335797519386E-2</v>
      </c>
      <c r="I7" s="99">
        <v>3.8429630998621876E-3</v>
      </c>
      <c r="J7" s="99">
        <v>0.52173875496952538</v>
      </c>
      <c r="K7" s="49">
        <v>72.745095233915109</v>
      </c>
      <c r="L7" s="100">
        <v>6.4588148627370687</v>
      </c>
      <c r="M7" s="49" t="s">
        <v>237</v>
      </c>
      <c r="N7" s="99">
        <v>0.10411826753468705</v>
      </c>
      <c r="O7" s="99">
        <v>5.5005877188136539E-3</v>
      </c>
      <c r="P7" s="99">
        <v>7.8579824554480778E-4</v>
      </c>
      <c r="Q7" s="99">
        <v>6.01135657841778E-2</v>
      </c>
      <c r="R7" s="99">
        <v>6.01135657841778E-2</v>
      </c>
      <c r="S7" s="99">
        <v>3.3396425435654326E-3</v>
      </c>
      <c r="T7" s="99">
        <v>0.45340558767935413</v>
      </c>
      <c r="U7" s="49">
        <v>63.217524750007122</v>
      </c>
      <c r="V7" s="100">
        <v>5.612890973994249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5.7113203613682641E-2</v>
      </c>
      <c r="E8" s="99">
        <v>9.5188672689471079E-3</v>
      </c>
      <c r="F8" s="99">
        <v>1.9037734537894217E-3</v>
      </c>
      <c r="G8" s="99">
        <v>5.7113203613682641E-2</v>
      </c>
      <c r="H8" s="99">
        <v>5.7113203613682641E-2</v>
      </c>
      <c r="I8" s="99">
        <v>4.2834902710261989E-3</v>
      </c>
      <c r="J8" s="99">
        <v>0.67012825573387647</v>
      </c>
      <c r="K8" s="49">
        <v>153.15870977784792</v>
      </c>
      <c r="L8" s="100">
        <v>13.598494137507188</v>
      </c>
      <c r="M8" s="49" t="s">
        <v>237</v>
      </c>
      <c r="N8" s="99">
        <v>4.9632973211324781E-2</v>
      </c>
      <c r="O8" s="99">
        <v>8.2721622018874612E-3</v>
      </c>
      <c r="P8" s="99">
        <v>1.654432440377492E-3</v>
      </c>
      <c r="Q8" s="99">
        <v>4.9632973211324781E-2</v>
      </c>
      <c r="R8" s="99">
        <v>4.9632973211324781E-2</v>
      </c>
      <c r="S8" s="99">
        <v>3.7224729908493571E-3</v>
      </c>
      <c r="T8" s="99">
        <v>0.58236021901287738</v>
      </c>
      <c r="U8" s="49">
        <v>133.09920751256615</v>
      </c>
      <c r="V8" s="100">
        <v>11.817472187456785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4.2982912862910207E-2</v>
      </c>
      <c r="E9" s="99">
        <v>5.7310550483880267E-3</v>
      </c>
      <c r="F9" s="99">
        <v>1.1462110096776053E-3</v>
      </c>
      <c r="G9" s="99">
        <v>3.7251857814522171E-2</v>
      </c>
      <c r="H9" s="99">
        <v>3.7251857814522171E-2</v>
      </c>
      <c r="I9" s="99">
        <v>2.578974771774612E-3</v>
      </c>
      <c r="J9" s="99">
        <v>0.30661144508875943</v>
      </c>
      <c r="K9" s="49">
        <v>92.212757261612907</v>
      </c>
      <c r="L9" s="100">
        <v>8.1872891254061884</v>
      </c>
      <c r="M9" s="49" t="s">
        <v>237</v>
      </c>
      <c r="N9" s="99">
        <v>3.7353354875691767E-2</v>
      </c>
      <c r="O9" s="99">
        <v>4.9804473167589002E-3</v>
      </c>
      <c r="P9" s="99">
        <v>9.9608946335177982E-4</v>
      </c>
      <c r="Q9" s="99">
        <v>3.2372907558932844E-2</v>
      </c>
      <c r="R9" s="99">
        <v>3.2372907558932844E-2</v>
      </c>
      <c r="S9" s="99">
        <v>2.2412012925415049E-3</v>
      </c>
      <c r="T9" s="99">
        <v>0.26645393144660118</v>
      </c>
      <c r="U9" s="49">
        <v>80.135468181153854</v>
      </c>
      <c r="V9" s="100">
        <v>7.1149835085998241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2.4314511076479115</v>
      </c>
      <c r="E10" s="99">
        <v>6.6619128568924296E-2</v>
      </c>
      <c r="F10" s="99">
        <v>1.8350574397342733E-2</v>
      </c>
      <c r="G10" s="99">
        <v>0.55703303392752035</v>
      </c>
      <c r="H10" s="99">
        <v>0.55703303392752035</v>
      </c>
      <c r="I10" s="99">
        <v>1.8214254642970506E-2</v>
      </c>
      <c r="J10" s="99">
        <v>5.5588771881631036</v>
      </c>
      <c r="K10" s="49">
        <v>1476.3050155915764</v>
      </c>
      <c r="L10" s="100">
        <v>131.07661411364364</v>
      </c>
      <c r="M10" s="49" t="s">
        <v>237</v>
      </c>
      <c r="N10" s="99">
        <v>2.1129990974910626</v>
      </c>
      <c r="O10" s="99">
        <v>5.7893888180194419E-2</v>
      </c>
      <c r="P10" s="99">
        <v>1.5947162999932551E-2</v>
      </c>
      <c r="Q10" s="99">
        <v>0.48407730439628355</v>
      </c>
      <c r="R10" s="99">
        <v>0.48407730439628355</v>
      </c>
      <c r="S10" s="99">
        <v>1.5828697316188092E-2</v>
      </c>
      <c r="T10" s="99">
        <v>4.8308199349378702</v>
      </c>
      <c r="U10" s="49">
        <v>1282.9503977088577</v>
      </c>
      <c r="V10" s="100">
        <v>113.90924804251479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1.1590679575064011</v>
      </c>
      <c r="E11" s="99">
        <v>0.15539620592743336</v>
      </c>
      <c r="F11" s="99">
        <v>3.8635598583546718E-2</v>
      </c>
      <c r="G11" s="99">
        <v>0.76547989575762687</v>
      </c>
      <c r="H11" s="99">
        <v>0.76547989575762687</v>
      </c>
      <c r="I11" s="99">
        <v>2.412230369045305E-2</v>
      </c>
      <c r="J11" s="99">
        <v>11.942355136075754</v>
      </c>
      <c r="K11" s="49">
        <v>3108.2366542996183</v>
      </c>
      <c r="L11" s="100">
        <v>275.97084085381653</v>
      </c>
      <c r="M11" s="49" t="s">
        <v>237</v>
      </c>
      <c r="N11" s="99">
        <v>1.0072625110323543</v>
      </c>
      <c r="O11" s="99">
        <v>0.13504365432041804</v>
      </c>
      <c r="P11" s="99">
        <v>3.357541703441181E-2</v>
      </c>
      <c r="Q11" s="99">
        <v>0.66522346420861522</v>
      </c>
      <c r="R11" s="99">
        <v>0.66522346420861522</v>
      </c>
      <c r="S11" s="99">
        <v>2.0962957374306136E-2</v>
      </c>
      <c r="T11" s="99">
        <v>10.378241020382418</v>
      </c>
      <c r="U11" s="49">
        <v>2701.1446887274924</v>
      </c>
      <c r="V11" s="100">
        <v>239.8263883751529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0.87230471882956173</v>
      </c>
      <c r="E12" s="99">
        <v>9.3559893768670105E-2</v>
      </c>
      <c r="F12" s="99">
        <v>2.3261459168788304E-2</v>
      </c>
      <c r="G12" s="99">
        <v>0.51138178735314954</v>
      </c>
      <c r="H12" s="99">
        <v>0.51138178735314954</v>
      </c>
      <c r="I12" s="99">
        <v>1.4523393008631754E-2</v>
      </c>
      <c r="J12" s="99">
        <v>7.1901721873489333</v>
      </c>
      <c r="K12" s="49">
        <v>1871.386044778719</v>
      </c>
      <c r="L12" s="100">
        <v>166.15465222870961</v>
      </c>
      <c r="M12" s="49" t="s">
        <v>237</v>
      </c>
      <c r="N12" s="99">
        <v>0.7580572267427067</v>
      </c>
      <c r="O12" s="99">
        <v>8.1306167527998949E-2</v>
      </c>
      <c r="P12" s="99">
        <v>2.0214859379805519E-2</v>
      </c>
      <c r="Q12" s="99">
        <v>0.44440509280725438</v>
      </c>
      <c r="R12" s="99">
        <v>0.44440509280725438</v>
      </c>
      <c r="S12" s="99">
        <v>1.2621235205273432E-2</v>
      </c>
      <c r="T12" s="99">
        <v>6.2484609683846672</v>
      </c>
      <c r="U12" s="49">
        <v>1626.2868750422763</v>
      </c>
      <c r="V12" s="100">
        <v>144.3930454118117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1.4616281164905627E-2</v>
      </c>
      <c r="E13" s="99">
        <v>2.5524580053095908E-2</v>
      </c>
      <c r="F13" s="99">
        <v>2.0399264777699027E-3</v>
      </c>
      <c r="G13" s="99">
        <v>1.8869319919371602E-2</v>
      </c>
      <c r="H13" s="99">
        <v>1.8869319919371602E-2</v>
      </c>
      <c r="I13" s="99">
        <v>4.582184850690646E-4</v>
      </c>
      <c r="J13" s="99">
        <v>6.3314218053783372E-2</v>
      </c>
      <c r="K13" s="49">
        <v>195.98014323529389</v>
      </c>
      <c r="L13" s="100">
        <v>17.400478449567224</v>
      </c>
      <c r="M13" s="49" t="s">
        <v>237</v>
      </c>
      <c r="N13" s="99">
        <v>1.2701957614108613E-2</v>
      </c>
      <c r="O13" s="99">
        <v>2.2181574799668931E-2</v>
      </c>
      <c r="P13" s="99">
        <v>1.7727532307427719E-3</v>
      </c>
      <c r="Q13" s="99">
        <v>1.6397967384370639E-2</v>
      </c>
      <c r="R13" s="99">
        <v>1.6397967384370639E-2</v>
      </c>
      <c r="S13" s="99">
        <v>3.9820469445559512E-4</v>
      </c>
      <c r="T13" s="99">
        <v>5.5021828399178796E-2</v>
      </c>
      <c r="U13" s="49">
        <v>170.31223226319969</v>
      </c>
      <c r="V13" s="100">
        <v>15.121503016943388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4.930117062273192E-2</v>
      </c>
      <c r="E14" s="99">
        <v>8.6095201787217815E-2</v>
      </c>
      <c r="F14" s="99">
        <v>6.8807354075698587E-3</v>
      </c>
      <c r="G14" s="99">
        <v>6.3646802520021153E-2</v>
      </c>
      <c r="H14" s="99">
        <v>6.3646802520021153E-2</v>
      </c>
      <c r="I14" s="99">
        <v>1.5455851909253796E-3</v>
      </c>
      <c r="J14" s="99">
        <v>0.21356082521244935</v>
      </c>
      <c r="K14" s="49">
        <v>661.04711392044771</v>
      </c>
      <c r="L14" s="100">
        <v>58.692354592839607</v>
      </c>
      <c r="M14" s="49" t="s">
        <v>237</v>
      </c>
      <c r="N14" s="99">
        <v>4.2844097791404308E-2</v>
      </c>
      <c r="O14" s="99">
        <v>7.4819141171497114E-2</v>
      </c>
      <c r="P14" s="99">
        <v>5.9795517419777922E-3</v>
      </c>
      <c r="Q14" s="99">
        <v>5.5310853613294582E-2</v>
      </c>
      <c r="R14" s="99">
        <v>5.5310853613294582E-2</v>
      </c>
      <c r="S14" s="99">
        <v>1.3431568100417623E-3</v>
      </c>
      <c r="T14" s="99">
        <v>0.18559033719163576</v>
      </c>
      <c r="U14" s="49">
        <v>574.46845248892487</v>
      </c>
      <c r="V14" s="100">
        <v>51.005299631241371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1.2497793038919291</v>
      </c>
      <c r="E15" s="99">
        <v>4.4395615926502568E-2</v>
      </c>
      <c r="F15" s="99">
        <v>1.101127139992889E-2</v>
      </c>
      <c r="G15" s="99">
        <v>0.27170730825952544</v>
      </c>
      <c r="H15" s="99">
        <v>0.27170730825952544</v>
      </c>
      <c r="I15" s="99">
        <v>6.7102294143441795E-3</v>
      </c>
      <c r="J15" s="99">
        <v>1.6674001189073933</v>
      </c>
      <c r="K15" s="49">
        <v>885.85756738541443</v>
      </c>
      <c r="L15" s="100">
        <v>78.652588248032274</v>
      </c>
      <c r="M15" s="49" t="s">
        <v>237</v>
      </c>
      <c r="N15" s="99">
        <v>1.1425850642742466</v>
      </c>
      <c r="O15" s="99">
        <v>4.0587780193601347E-2</v>
      </c>
      <c r="P15" s="99">
        <v>1.0066828760125518E-2</v>
      </c>
      <c r="Q15" s="99">
        <v>0.24840282704692437</v>
      </c>
      <c r="R15" s="99">
        <v>0.24840282704692437</v>
      </c>
      <c r="S15" s="99">
        <v>6.1346894470148509E-3</v>
      </c>
      <c r="T15" s="99">
        <v>1.5243863185283086</v>
      </c>
      <c r="U15" s="49">
        <v>809.87708983250695</v>
      </c>
      <c r="V15" s="100">
        <v>71.906513669140438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0.10007735420370696</v>
      </c>
      <c r="E16" s="99">
        <v>1.568029536024951</v>
      </c>
      <c r="F16" s="99">
        <v>4.0567932947132279</v>
      </c>
      <c r="G16" s="99">
        <v>6.4088400654970776E-2</v>
      </c>
      <c r="H16" s="99">
        <v>6.4088400654970776E-2</v>
      </c>
      <c r="I16" s="99">
        <v>3.4383426951391824E-3</v>
      </c>
      <c r="J16" s="99">
        <v>6.2860039642417195E-2</v>
      </c>
      <c r="K16" s="49">
        <v>37675.870563087927</v>
      </c>
      <c r="L16" s="100">
        <v>280.72189117449363</v>
      </c>
      <c r="M16" s="49" t="s">
        <v>238</v>
      </c>
      <c r="N16" s="99">
        <v>9.2356199897005567E-2</v>
      </c>
      <c r="O16" s="99">
        <v>1.4470531363044878</v>
      </c>
      <c r="P16" s="99">
        <v>3.7438041347968443</v>
      </c>
      <c r="Q16" s="99">
        <v>5.9143861156859191E-2</v>
      </c>
      <c r="R16" s="99">
        <v>5.9143861156859191E-2</v>
      </c>
      <c r="S16" s="99">
        <v>3.1730681510654959E-3</v>
      </c>
      <c r="T16" s="99">
        <v>5.8010270484686051E-2</v>
      </c>
      <c r="U16" s="49">
        <v>34769.106964354265</v>
      </c>
      <c r="V16" s="100">
        <v>259.06367432540134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3.1696733205338883E-2</v>
      </c>
      <c r="E17" s="99">
        <v>0.80019803323436167</v>
      </c>
      <c r="F17" s="99">
        <v>0.56561553424707955</v>
      </c>
      <c r="G17" s="99">
        <v>2.0298227838663519E-2</v>
      </c>
      <c r="H17" s="99">
        <v>2.0298227838663519E-2</v>
      </c>
      <c r="I17" s="99">
        <v>1.0889999235442979E-3</v>
      </c>
      <c r="J17" s="99">
        <v>1.9909178471755794E-2</v>
      </c>
      <c r="K17" s="49">
        <v>12314.158622551015</v>
      </c>
      <c r="L17" s="100">
        <v>91.752462387212674</v>
      </c>
      <c r="M17" s="49" t="s">
        <v>238</v>
      </c>
      <c r="N17" s="99">
        <v>3.1164978270134765E-2</v>
      </c>
      <c r="O17" s="99">
        <v>0.78677364496833924</v>
      </c>
      <c r="P17" s="99">
        <v>0.55612657998117643</v>
      </c>
      <c r="Q17" s="99">
        <v>1.9957698019417391E-2</v>
      </c>
      <c r="R17" s="99">
        <v>1.9957698019417391E-2</v>
      </c>
      <c r="S17" s="99">
        <v>1.070730498741743E-3</v>
      </c>
      <c r="T17" s="99">
        <v>1.957517547404522E-2</v>
      </c>
      <c r="U17" s="49">
        <v>12107.572203123889</v>
      </c>
      <c r="V17" s="100">
        <v>90.213192571126029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6.6932187294628325E-4</v>
      </c>
      <c r="E18" s="99">
        <v>1.6897326385740676E-2</v>
      </c>
      <c r="F18" s="99">
        <v>2.7132017105951853E-2</v>
      </c>
      <c r="G18" s="99">
        <v>3.7549614190534838E-4</v>
      </c>
      <c r="H18" s="99">
        <v>3.7549614190534838E-4</v>
      </c>
      <c r="I18" s="99">
        <v>2.2995791514005518E-5</v>
      </c>
      <c r="J18" s="99">
        <v>4.2041078925107934E-4</v>
      </c>
      <c r="K18" s="49">
        <v>257.20546980161595</v>
      </c>
      <c r="L18" s="100">
        <v>1.8774807095267418</v>
      </c>
      <c r="M18" s="49" t="s">
        <v>238</v>
      </c>
      <c r="N18" s="99">
        <v>6.314299539118553E-4</v>
      </c>
      <c r="O18" s="99">
        <v>1.59407281492474E-2</v>
      </c>
      <c r="P18" s="99">
        <v>2.5596008442595415E-2</v>
      </c>
      <c r="Q18" s="99">
        <v>3.5423840331660878E-4</v>
      </c>
      <c r="R18" s="99">
        <v>3.5423840331660878E-4</v>
      </c>
      <c r="S18" s="99">
        <v>2.1693944517215058E-5</v>
      </c>
      <c r="T18" s="99">
        <v>3.9661032458468653E-4</v>
      </c>
      <c r="U18" s="49">
        <v>242.64445031179415</v>
      </c>
      <c r="V18" s="100">
        <v>1.7711920165830446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2.8677749203413726E-3</v>
      </c>
      <c r="E19" s="99">
        <v>4.4932800367741041E-2</v>
      </c>
      <c r="F19" s="99">
        <v>0.11624977658688644</v>
      </c>
      <c r="G19" s="99">
        <v>1.8364904782455463E-3</v>
      </c>
      <c r="H19" s="99">
        <v>1.8364904782455463E-3</v>
      </c>
      <c r="I19" s="99">
        <v>9.8527714157873586E-5</v>
      </c>
      <c r="J19" s="99">
        <v>1.8012910774125072E-3</v>
      </c>
      <c r="K19" s="49">
        <v>1005.5311782403134</v>
      </c>
      <c r="L19" s="100">
        <v>8.0442494259225068</v>
      </c>
      <c r="M19" s="49" t="s">
        <v>238</v>
      </c>
      <c r="N19" s="99">
        <v>2.3689243534091376E-3</v>
      </c>
      <c r="O19" s="99">
        <v>3.7116722202641401E-2</v>
      </c>
      <c r="P19" s="99">
        <v>9.6028082567325493E-2</v>
      </c>
      <c r="Q19" s="99">
        <v>1.5170322426147711E-3</v>
      </c>
      <c r="R19" s="99">
        <v>1.5170322426147711E-3</v>
      </c>
      <c r="S19" s="99">
        <v>8.1388779816282471E-5</v>
      </c>
      <c r="T19" s="99">
        <v>1.4879557912979879E-3</v>
      </c>
      <c r="U19" s="49">
        <v>830.61863724023044</v>
      </c>
      <c r="V19" s="100">
        <v>6.6449490979218453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6.6969683938961284E-4</v>
      </c>
      <c r="E20" s="99">
        <v>1.1445727800477035E-2</v>
      </c>
      <c r="F20" s="99">
        <v>7.3057837024321452E-5</v>
      </c>
      <c r="G20" s="99">
        <v>6.0311679724811471E-6</v>
      </c>
      <c r="H20" s="99">
        <v>6.0311679724811471E-6</v>
      </c>
      <c r="I20" s="99">
        <v>2.4352612341440477E-3</v>
      </c>
      <c r="J20" s="99">
        <v>4.8705224682880953E-3</v>
      </c>
      <c r="K20" s="49">
        <v>300.62303278688512</v>
      </c>
      <c r="L20" s="100">
        <v>296.18032786885266</v>
      </c>
      <c r="M20" s="49" t="s">
        <v>239</v>
      </c>
      <c r="N20" s="99">
        <v>6.6969683938961284E-4</v>
      </c>
      <c r="O20" s="99">
        <v>1.1445727800477035E-2</v>
      </c>
      <c r="P20" s="99">
        <v>7.3057837024321452E-5</v>
      </c>
      <c r="Q20" s="99">
        <v>6.0311679724811471E-6</v>
      </c>
      <c r="R20" s="99">
        <v>6.0311679724811471E-6</v>
      </c>
      <c r="S20" s="99">
        <v>2.4352612341440477E-3</v>
      </c>
      <c r="T20" s="99">
        <v>4.8705224682880953E-3</v>
      </c>
      <c r="U20" s="49">
        <v>300.62303278688512</v>
      </c>
      <c r="V20" s="100">
        <v>296.18032786885266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5.2612909836065565E-3</v>
      </c>
      <c r="E21" s="99">
        <v>9.5659836065573767E-2</v>
      </c>
      <c r="F21" s="99">
        <v>5.7395901639344246E-4</v>
      </c>
      <c r="G21" s="99">
        <v>7.2701475409836028E-3</v>
      </c>
      <c r="H21" s="99">
        <v>7.2701475409836028E-3</v>
      </c>
      <c r="I21" s="99">
        <v>1.9131967213114758E-2</v>
      </c>
      <c r="J21" s="99">
        <v>3.8263934426229516E-2</v>
      </c>
      <c r="K21" s="49">
        <v>1941.8946721311468</v>
      </c>
      <c r="L21" s="100">
        <v>1913.1967213114763</v>
      </c>
      <c r="M21" s="49" t="s">
        <v>239</v>
      </c>
      <c r="N21" s="99">
        <v>5.2612909836065565E-3</v>
      </c>
      <c r="O21" s="99">
        <v>9.5659836065573767E-2</v>
      </c>
      <c r="P21" s="99">
        <v>5.7395901639344246E-4</v>
      </c>
      <c r="Q21" s="99">
        <v>7.2701475409836028E-3</v>
      </c>
      <c r="R21" s="99">
        <v>7.2701475409836028E-3</v>
      </c>
      <c r="S21" s="99">
        <v>1.9131967213114758E-2</v>
      </c>
      <c r="T21" s="99">
        <v>3.8263934426229516E-2</v>
      </c>
      <c r="U21" s="49">
        <v>1941.8946721311468</v>
      </c>
      <c r="V21" s="100">
        <v>1913.1967213114763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0.15177185256069628</v>
      </c>
      <c r="E22" s="99">
        <v>7.1636314408648663E-2</v>
      </c>
      <c r="F22" s="99">
        <v>0.14114782288144753</v>
      </c>
      <c r="G22" s="99">
        <v>0.1212657101959963</v>
      </c>
      <c r="H22" s="99">
        <v>0.1212657101959963</v>
      </c>
      <c r="I22" s="99">
        <v>1.9213557674921347E-2</v>
      </c>
      <c r="J22" s="99">
        <v>1.9817609648112917</v>
      </c>
      <c r="K22" s="49">
        <v>461.38643178451656</v>
      </c>
      <c r="L22" s="100">
        <v>30.354370512139248</v>
      </c>
      <c r="M22" s="49" t="s">
        <v>237</v>
      </c>
      <c r="N22" s="99">
        <v>0.13287330776431033</v>
      </c>
      <c r="O22" s="99">
        <v>6.2716201264754454E-2</v>
      </c>
      <c r="P22" s="99">
        <v>0.12357217622080854</v>
      </c>
      <c r="Q22" s="99">
        <v>0.10616577290368391</v>
      </c>
      <c r="R22" s="99">
        <v>0.10616577290368391</v>
      </c>
      <c r="S22" s="99">
        <v>1.682109639642286E-2</v>
      </c>
      <c r="T22" s="99">
        <v>1.7349932161324819</v>
      </c>
      <c r="U22" s="49">
        <v>403.93485560350331</v>
      </c>
      <c r="V22" s="100">
        <v>26.574661552862061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3.7337768457277438E-4</v>
      </c>
      <c r="G23" s="99">
        <v>3.2078362362757715E-4</v>
      </c>
      <c r="H23" s="99">
        <v>3.2078362362757715E-4</v>
      </c>
      <c r="I23" s="99">
        <v>5.0825535460742344E-5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3.7940475162931143E-4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4.8030744532512688E-5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4.8776475754854209E-5</v>
      </c>
      <c r="F24" s="99">
        <v>1.0633485245822148E-5</v>
      </c>
      <c r="G24" s="99">
        <v>3.4500168382878608E-4</v>
      </c>
      <c r="H24" s="99">
        <v>3.4500168382878608E-4</v>
      </c>
      <c r="I24" s="99">
        <v>1.2632663031087653E-5</v>
      </c>
      <c r="J24" s="99">
        <v>2.4538740814386123E-3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2.9694131175428135E-4</v>
      </c>
      <c r="R24" s="99">
        <v>2.9694131175428135E-4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5.2382327984415976E-4</v>
      </c>
      <c r="E25" s="101">
        <v>2.7346164289603576E-2</v>
      </c>
      <c r="F25" s="101">
        <v>1.9363248899601761E-2</v>
      </c>
      <c r="G25" s="101">
        <v>2.7260720241086738E-3</v>
      </c>
      <c r="H25" s="101">
        <v>2.7260720241086738E-3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5.2382327984415976E-4</v>
      </c>
      <c r="O25" s="101">
        <v>2.7346164289603576E-2</v>
      </c>
      <c r="P25" s="101">
        <v>1.9363248899601761E-2</v>
      </c>
      <c r="Q25" s="101">
        <v>2.7260720241086738E-3</v>
      </c>
      <c r="R25" s="101">
        <v>2.7260720241086738E-3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12.100092326072165</v>
      </c>
      <c r="E26" s="103">
        <v>3.1955021785441051</v>
      </c>
      <c r="F26" s="103">
        <v>5.0416123496826541</v>
      </c>
      <c r="G26" s="103">
        <v>3.4478049931672938</v>
      </c>
      <c r="H26" s="103">
        <v>3.4478049931672938</v>
      </c>
      <c r="I26" s="103">
        <v>0.16744790932950868</v>
      </c>
      <c r="J26" s="103">
        <v>36.665355437771964</v>
      </c>
      <c r="K26" s="93">
        <v>63464.528053355214</v>
      </c>
      <c r="L26" s="93"/>
      <c r="M26" s="93"/>
      <c r="N26" s="103">
        <v>10.88688162587404</v>
      </c>
      <c r="O26" s="103">
        <v>2.9756236806598033</v>
      </c>
      <c r="P26" s="103">
        <v>4.6658403061014626</v>
      </c>
      <c r="Q26" s="103">
        <v>3.0623346362358497</v>
      </c>
      <c r="R26" s="103">
        <v>3.0623346362358497</v>
      </c>
      <c r="S26" s="103">
        <v>0.15147484626715427</v>
      </c>
      <c r="T26" s="103">
        <v>32.299622512255311</v>
      </c>
      <c r="U26" s="93">
        <v>58961.619148451522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3.6539887699090521</v>
      </c>
      <c r="E28" s="99">
        <v>4.1486335378880086E-2</v>
      </c>
      <c r="F28" s="99">
        <v>6.382513135212319E-3</v>
      </c>
      <c r="G28" s="99">
        <v>0.55208738619586561</v>
      </c>
      <c r="H28" s="99">
        <v>0.55208738619586561</v>
      </c>
      <c r="I28" s="99">
        <v>2.8721309108455436E-2</v>
      </c>
      <c r="J28" s="99">
        <v>4.0305570448865797</v>
      </c>
      <c r="K28" s="49">
        <v>510.52983738202136</v>
      </c>
      <c r="L28" s="100">
        <v>45.58975611251882</v>
      </c>
      <c r="M28" s="49" t="s">
        <v>237</v>
      </c>
      <c r="N28" s="99">
        <v>3.3792082590388013</v>
      </c>
      <c r="O28" s="99">
        <v>3.836655665284229E-2</v>
      </c>
      <c r="P28" s="99">
        <v>5.9025471773603514E-3</v>
      </c>
      <c r="Q28" s="99">
        <v>0.51057033084167058</v>
      </c>
      <c r="R28" s="99">
        <v>0.51057033084167058</v>
      </c>
      <c r="S28" s="99">
        <v>2.6561462298121598E-2</v>
      </c>
      <c r="T28" s="99">
        <v>3.7274585425030629</v>
      </c>
      <c r="U28" s="49">
        <v>472.13791601499713</v>
      </c>
      <c r="V28" s="100">
        <v>42.161399523628731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8.6162318031635154E-2</v>
      </c>
      <c r="E29" s="99">
        <v>4.5519715186524241E-3</v>
      </c>
      <c r="F29" s="99">
        <v>6.5028164552177509E-4</v>
      </c>
      <c r="G29" s="99">
        <v>4.9746545882415789E-2</v>
      </c>
      <c r="H29" s="99">
        <v>4.9746545882415789E-2</v>
      </c>
      <c r="I29" s="99">
        <v>2.763696993467543E-3</v>
      </c>
      <c r="J29" s="99">
        <v>0.3752125094660641</v>
      </c>
      <c r="K29" s="49">
        <v>52.015276068789667</v>
      </c>
      <c r="L29" s="100">
        <v>4.6449072639157105</v>
      </c>
      <c r="M29" s="49" t="s">
        <v>237</v>
      </c>
      <c r="N29" s="99">
        <v>7.5183193372988011E-2</v>
      </c>
      <c r="O29" s="99">
        <v>3.9719422914031403E-3</v>
      </c>
      <c r="P29" s="99">
        <v>5.6742032734330579E-4</v>
      </c>
      <c r="Q29" s="99">
        <v>4.3407655041762902E-2</v>
      </c>
      <c r="R29" s="99">
        <v>4.3407655041762902E-2</v>
      </c>
      <c r="S29" s="99">
        <v>2.4115363912090497E-3</v>
      </c>
      <c r="T29" s="99">
        <v>0.32740152887708751</v>
      </c>
      <c r="U29" s="49">
        <v>45.387295146740776</v>
      </c>
      <c r="V29" s="100">
        <v>4.0530358165892562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4.1073407423582786E-2</v>
      </c>
      <c r="E30" s="99">
        <v>6.8455679039304655E-3</v>
      </c>
      <c r="F30" s="99">
        <v>1.369113580786093E-3</v>
      </c>
      <c r="G30" s="99">
        <v>4.1073407423582786E-2</v>
      </c>
      <c r="H30" s="99">
        <v>4.1073407423582786E-2</v>
      </c>
      <c r="I30" s="99">
        <v>3.0805055567687104E-3</v>
      </c>
      <c r="J30" s="99">
        <v>0.48192798043670476</v>
      </c>
      <c r="K30" s="49">
        <v>109.51381046127517</v>
      </c>
      <c r="L30" s="100">
        <v>9.7794634991062885</v>
      </c>
      <c r="M30" s="49" t="s">
        <v>237</v>
      </c>
      <c r="N30" s="99">
        <v>3.5839680307590514E-2</v>
      </c>
      <c r="O30" s="99">
        <v>5.9732800512650869E-3</v>
      </c>
      <c r="P30" s="99">
        <v>1.1946560102530173E-3</v>
      </c>
      <c r="Q30" s="99">
        <v>3.5839680307590514E-2</v>
      </c>
      <c r="R30" s="99">
        <v>3.5839680307590514E-2</v>
      </c>
      <c r="S30" s="99">
        <v>2.687976023069289E-3</v>
      </c>
      <c r="T30" s="99">
        <v>0.42051891560906213</v>
      </c>
      <c r="U30" s="49">
        <v>95.559151343859824</v>
      </c>
      <c r="V30" s="100">
        <v>8.5333277021102507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3.091149822749073E-2</v>
      </c>
      <c r="E31" s="99">
        <v>4.1215330969987633E-3</v>
      </c>
      <c r="F31" s="99">
        <v>8.2430661939975254E-4</v>
      </c>
      <c r="G31" s="99">
        <v>2.678996513049196E-2</v>
      </c>
      <c r="H31" s="99">
        <v>2.678996513049196E-2</v>
      </c>
      <c r="I31" s="99">
        <v>1.8546898936494434E-3</v>
      </c>
      <c r="J31" s="99">
        <v>0.22050202068943381</v>
      </c>
      <c r="K31" s="49">
        <v>65.935332280531256</v>
      </c>
      <c r="L31" s="100">
        <v>5.8879530592802265</v>
      </c>
      <c r="M31" s="49" t="s">
        <v>237</v>
      </c>
      <c r="N31" s="99">
        <v>2.6972639568876591E-2</v>
      </c>
      <c r="O31" s="99">
        <v>3.5963519425168781E-3</v>
      </c>
      <c r="P31" s="99">
        <v>7.1927038850337556E-4</v>
      </c>
      <c r="Q31" s="99">
        <v>2.337628762635971E-2</v>
      </c>
      <c r="R31" s="99">
        <v>2.337628762635971E-2</v>
      </c>
      <c r="S31" s="99">
        <v>1.6183583741325952E-3</v>
      </c>
      <c r="T31" s="99">
        <v>0.19240482892465297</v>
      </c>
      <c r="U31" s="49">
        <v>57.533605759530687</v>
      </c>
      <c r="V31" s="100">
        <v>5.1376880699102117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1.7485970958739727</v>
      </c>
      <c r="E32" s="99">
        <v>4.7909667761307999E-2</v>
      </c>
      <c r="F32" s="99">
        <v>1.3196959214143192E-2</v>
      </c>
      <c r="G32" s="99">
        <v>0.40059466643923741</v>
      </c>
      <c r="H32" s="99">
        <v>0.40059466643923741</v>
      </c>
      <c r="I32" s="99">
        <v>1.3098923795764524E-2</v>
      </c>
      <c r="J32" s="99">
        <v>3.9977100411223345</v>
      </c>
      <c r="K32" s="49">
        <v>1055.6094909328481</v>
      </c>
      <c r="L32" s="100">
        <v>94.264773021831274</v>
      </c>
      <c r="M32" s="49" t="s">
        <v>237</v>
      </c>
      <c r="N32" s="99">
        <v>1.5257843172495626</v>
      </c>
      <c r="O32" s="99">
        <v>4.1804838797530108E-2</v>
      </c>
      <c r="P32" s="99">
        <v>1.1515353337732546E-2</v>
      </c>
      <c r="Q32" s="99">
        <v>0.34954939652425282</v>
      </c>
      <c r="R32" s="99">
        <v>0.34954939652425282</v>
      </c>
      <c r="S32" s="99">
        <v>1.1429809958843197E-2</v>
      </c>
      <c r="T32" s="99">
        <v>3.4883068832999951</v>
      </c>
      <c r="U32" s="49">
        <v>921.09978348106415</v>
      </c>
      <c r="V32" s="100">
        <v>82.253203259446536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0.83355279406660987</v>
      </c>
      <c r="E33" s="99">
        <v>0.11175439783257664</v>
      </c>
      <c r="F33" s="99">
        <v>2.7785093135553662E-2</v>
      </c>
      <c r="G33" s="99">
        <v>0.55050085871005816</v>
      </c>
      <c r="H33" s="99">
        <v>0.55050085871005816</v>
      </c>
      <c r="I33" s="99">
        <v>1.734774351260537E-2</v>
      </c>
      <c r="J33" s="99">
        <v>8.5884381730539676</v>
      </c>
      <c r="K33" s="49">
        <v>2222.4974362965645</v>
      </c>
      <c r="L33" s="100">
        <v>198.46659031926518</v>
      </c>
      <c r="M33" s="49" t="s">
        <v>237</v>
      </c>
      <c r="N33" s="99">
        <v>0.72733838102980131</v>
      </c>
      <c r="O33" s="99">
        <v>9.7514234696466306E-2</v>
      </c>
      <c r="P33" s="99">
        <v>2.4244612700993377E-2</v>
      </c>
      <c r="Q33" s="99">
        <v>0.4803539813912408</v>
      </c>
      <c r="R33" s="99">
        <v>0.4803539813912408</v>
      </c>
      <c r="S33" s="99">
        <v>1.5137229184274494E-2</v>
      </c>
      <c r="T33" s="99">
        <v>7.4940672754369526</v>
      </c>
      <c r="U33" s="49">
        <v>1939.298504744321</v>
      </c>
      <c r="V33" s="100">
        <v>173.17723546588448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0.62732476637708612</v>
      </c>
      <c r="E34" s="99">
        <v>6.7284329929394593E-2</v>
      </c>
      <c r="F34" s="99">
        <v>1.672866043672229E-2</v>
      </c>
      <c r="G34" s="99">
        <v>0.36776421513717905</v>
      </c>
      <c r="H34" s="99">
        <v>0.36776421513717905</v>
      </c>
      <c r="I34" s="99">
        <v>1.044461176177895E-2</v>
      </c>
      <c r="J34" s="99">
        <v>5.1708686084971269</v>
      </c>
      <c r="K34" s="49">
        <v>1338.1061834814041</v>
      </c>
      <c r="L34" s="100">
        <v>119.49141870022046</v>
      </c>
      <c r="M34" s="49" t="s">
        <v>237</v>
      </c>
      <c r="N34" s="99">
        <v>0.54738869955745906</v>
      </c>
      <c r="O34" s="99">
        <v>5.8710709085104631E-2</v>
      </c>
      <c r="P34" s="99">
        <v>1.4597031988198908E-2</v>
      </c>
      <c r="Q34" s="99">
        <v>0.32090232405506891</v>
      </c>
      <c r="R34" s="99">
        <v>0.32090232405506891</v>
      </c>
      <c r="S34" s="99">
        <v>9.1137202866721587E-3</v>
      </c>
      <c r="T34" s="99">
        <v>4.5119772004766148</v>
      </c>
      <c r="U34" s="49">
        <v>1167.5996914258526</v>
      </c>
      <c r="V34" s="100">
        <v>104.26537544234705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1.0511413006431042E-2</v>
      </c>
      <c r="E35" s="99">
        <v>1.8356201534902188E-2</v>
      </c>
      <c r="F35" s="99">
        <v>1.4670290936984766E-3</v>
      </c>
      <c r="G35" s="99">
        <v>1.3570019116710913E-2</v>
      </c>
      <c r="H35" s="99">
        <v>1.3570019116710913E-2</v>
      </c>
      <c r="I35" s="99">
        <v>3.295314101720203E-4</v>
      </c>
      <c r="J35" s="99">
        <v>4.553291549566648E-2</v>
      </c>
      <c r="K35" s="49">
        <v>140.13262642114375</v>
      </c>
      <c r="L35" s="100">
        <v>12.513690276570765</v>
      </c>
      <c r="M35" s="49" t="s">
        <v>237</v>
      </c>
      <c r="N35" s="99">
        <v>9.1720094670118824E-3</v>
      </c>
      <c r="O35" s="99">
        <v>1.6017185715516434E-2</v>
      </c>
      <c r="P35" s="99">
        <v>1.2800947624788358E-3</v>
      </c>
      <c r="Q35" s="99">
        <v>1.1840876552929234E-2</v>
      </c>
      <c r="R35" s="99">
        <v>1.1840876552929234E-2</v>
      </c>
      <c r="S35" s="99">
        <v>2.8754128602180844E-4</v>
      </c>
      <c r="T35" s="99">
        <v>3.9730941190436866E-2</v>
      </c>
      <c r="U35" s="49">
        <v>122.27640331376999</v>
      </c>
      <c r="V35" s="100">
        <v>10.919149082405958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3.5455322750655799E-2</v>
      </c>
      <c r="E36" s="99">
        <v>6.1916038262206596E-2</v>
      </c>
      <c r="F36" s="99">
        <v>4.9483347262502782E-3</v>
      </c>
      <c r="G36" s="99">
        <v>4.577209621781507E-2</v>
      </c>
      <c r="H36" s="99">
        <v>4.577209621781507E-2</v>
      </c>
      <c r="I36" s="99">
        <v>1.111519687883969E-3</v>
      </c>
      <c r="J36" s="99">
        <v>0.15358393906599305</v>
      </c>
      <c r="K36" s="49">
        <v>472.6717040438765</v>
      </c>
      <c r="L36" s="100">
        <v>42.209066210804536</v>
      </c>
      <c r="M36" s="49" t="s">
        <v>237</v>
      </c>
      <c r="N36" s="99">
        <v>3.0937472985412759E-2</v>
      </c>
      <c r="O36" s="99">
        <v>5.4026465210089483E-2</v>
      </c>
      <c r="P36" s="99">
        <v>4.3177994173897684E-3</v>
      </c>
      <c r="Q36" s="99">
        <v>3.9939644610855356E-2</v>
      </c>
      <c r="R36" s="99">
        <v>3.9939644610855356E-2</v>
      </c>
      <c r="S36" s="99">
        <v>9.698856941311771E-4</v>
      </c>
      <c r="T36" s="99">
        <v>0.13401369941723495</v>
      </c>
      <c r="U36" s="49">
        <v>412.44210855635112</v>
      </c>
      <c r="V36" s="100">
        <v>36.830629206784202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1.1558607511168233</v>
      </c>
      <c r="E37" s="99">
        <v>4.1059369291282968E-2</v>
      </c>
      <c r="F37" s="99">
        <v>1.0183795164024874E-2</v>
      </c>
      <c r="G37" s="99">
        <v>0.2512890175335647</v>
      </c>
      <c r="H37" s="99">
        <v>0.2512890175335647</v>
      </c>
      <c r="I37" s="99">
        <v>6.2059683552743074E-3</v>
      </c>
      <c r="J37" s="99">
        <v>1.5420981511302383</v>
      </c>
      <c r="K37" s="49">
        <v>814.58998655840321</v>
      </c>
      <c r="L37" s="100">
        <v>72.74199488385355</v>
      </c>
      <c r="M37" s="49" t="s">
        <v>237</v>
      </c>
      <c r="N37" s="99">
        <v>1.0569573941596664</v>
      </c>
      <c r="O37" s="99">
        <v>3.7546048630876655E-2</v>
      </c>
      <c r="P37" s="99">
        <v>9.3123999485433158E-3</v>
      </c>
      <c r="Q37" s="99">
        <v>0.22978700928860832</v>
      </c>
      <c r="R37" s="99">
        <v>0.22978700928860832</v>
      </c>
      <c r="S37" s="99">
        <v>5.6749432271060085E-3</v>
      </c>
      <c r="T37" s="99">
        <v>1.4101456786919804</v>
      </c>
      <c r="U37" s="49">
        <v>744.88809198635659</v>
      </c>
      <c r="V37" s="100">
        <v>66.517691931424366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7.5780837405243689E-2</v>
      </c>
      <c r="E38" s="99">
        <v>1.1873474499960857</v>
      </c>
      <c r="F38" s="99">
        <v>3.0718956900836849</v>
      </c>
      <c r="G38" s="99">
        <v>4.8529187329540278E-2</v>
      </c>
      <c r="H38" s="99">
        <v>4.8529187329540278E-2</v>
      </c>
      <c r="I38" s="99">
        <v>2.603590900229838E-3</v>
      </c>
      <c r="J38" s="99">
        <v>4.7599044572390781E-2</v>
      </c>
      <c r="K38" s="49">
        <v>28529.021814773518</v>
      </c>
      <c r="L38" s="100">
        <v>212.56896887866395</v>
      </c>
      <c r="M38" s="49" t="s">
        <v>238</v>
      </c>
      <c r="N38" s="99">
        <v>7.00683278877062E-2</v>
      </c>
      <c r="O38" s="99">
        <v>1.0978428490841783</v>
      </c>
      <c r="P38" s="99">
        <v>2.8403301127247951</v>
      </c>
      <c r="Q38" s="99">
        <v>4.4870961134230739E-2</v>
      </c>
      <c r="R38" s="99">
        <v>4.4870961134230739E-2</v>
      </c>
      <c r="S38" s="99">
        <v>2.4073270648514791E-3</v>
      </c>
      <c r="T38" s="99">
        <v>4.4010934379157984E-2</v>
      </c>
      <c r="U38" s="49">
        <v>26378.447682537142</v>
      </c>
      <c r="V38" s="100">
        <v>196.54509926425311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2.2526049159973978E-2</v>
      </c>
      <c r="E39" s="99">
        <v>0.56868006294464468</v>
      </c>
      <c r="F39" s="99">
        <v>0.40196834315873914</v>
      </c>
      <c r="G39" s="99">
        <v>1.442542596399402E-2</v>
      </c>
      <c r="H39" s="99">
        <v>1.442542596399402E-2</v>
      </c>
      <c r="I39" s="99">
        <v>7.7392410296827946E-4</v>
      </c>
      <c r="J39" s="99">
        <v>1.414893863301747E-2</v>
      </c>
      <c r="K39" s="49">
        <v>8751.3543019814806</v>
      </c>
      <c r="L39" s="100">
        <v>65.206103887541602</v>
      </c>
      <c r="M39" s="49" t="s">
        <v>238</v>
      </c>
      <c r="N39" s="99">
        <v>2.2148144669505879E-2</v>
      </c>
      <c r="O39" s="99">
        <v>0.55913969712637579</v>
      </c>
      <c r="P39" s="99">
        <v>0.39522478858212812</v>
      </c>
      <c r="Q39" s="99">
        <v>1.4183420221664604E-2</v>
      </c>
      <c r="R39" s="99">
        <v>1.4183420221664604E-2</v>
      </c>
      <c r="S39" s="99">
        <v>7.6094049489230616E-4</v>
      </c>
      <c r="T39" s="99">
        <v>1.3911571334082702E-2</v>
      </c>
      <c r="U39" s="49">
        <v>8604.5386724447853</v>
      </c>
      <c r="V39" s="100">
        <v>64.112184608131685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5.0319040717808068E-4</v>
      </c>
      <c r="E40" s="99">
        <v>1.2703264136333039E-2</v>
      </c>
      <c r="F40" s="99">
        <v>2.0397616284388576E-2</v>
      </c>
      <c r="G40" s="99">
        <v>2.8229475858517861E-4</v>
      </c>
      <c r="H40" s="99">
        <v>2.8229475858517861E-4</v>
      </c>
      <c r="I40" s="99">
        <v>1.7288037584038954E-5</v>
      </c>
      <c r="J40" s="99">
        <v>3.1606120280232747E-4</v>
      </c>
      <c r="K40" s="49">
        <v>193.3648522618827</v>
      </c>
      <c r="L40" s="100">
        <v>1.4114737929258936</v>
      </c>
      <c r="M40" s="49" t="s">
        <v>238</v>
      </c>
      <c r="N40" s="99">
        <v>4.757747878835364E-4</v>
      </c>
      <c r="O40" s="99">
        <v>1.2011144715152394E-2</v>
      </c>
      <c r="P40" s="99">
        <v>1.9286280943746657E-2</v>
      </c>
      <c r="Q40" s="99">
        <v>2.6691432700338649E-4</v>
      </c>
      <c r="R40" s="99">
        <v>2.6691432700338649E-4</v>
      </c>
      <c r="S40" s="99">
        <v>1.6346123251029715E-5</v>
      </c>
      <c r="T40" s="99">
        <v>2.9884105415442638E-4</v>
      </c>
      <c r="U40" s="49">
        <v>182.82964113914463</v>
      </c>
      <c r="V40" s="100">
        <v>1.3345716350169328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1.6098234720326151E-3</v>
      </c>
      <c r="E41" s="99">
        <v>2.5222996471262402E-2</v>
      </c>
      <c r="F41" s="99">
        <v>6.5256731844855018E-2</v>
      </c>
      <c r="G41" s="99">
        <v>1.030912662313178E-3</v>
      </c>
      <c r="H41" s="99">
        <v>1.030912662313178E-3</v>
      </c>
      <c r="I41" s="99">
        <v>5.5308464333101977E-5</v>
      </c>
      <c r="J41" s="99">
        <v>1.011153502952175E-3</v>
      </c>
      <c r="K41" s="49">
        <v>564.45423283051048</v>
      </c>
      <c r="L41" s="100">
        <v>4.5156338626440835</v>
      </c>
      <c r="M41" s="49" t="s">
        <v>238</v>
      </c>
      <c r="N41" s="99">
        <v>1.3435344083483618E-3</v>
      </c>
      <c r="O41" s="99">
        <v>2.105073272288812E-2</v>
      </c>
      <c r="P41" s="99">
        <v>5.4462284923218376E-2</v>
      </c>
      <c r="Q41" s="99">
        <v>8.6038417123520956E-4</v>
      </c>
      <c r="R41" s="99">
        <v>8.6038417123520956E-4</v>
      </c>
      <c r="S41" s="99">
        <v>4.6159610786768991E-5</v>
      </c>
      <c r="T41" s="99">
        <v>8.4389347461986822E-4</v>
      </c>
      <c r="U41" s="49">
        <v>471.08499591457291</v>
      </c>
      <c r="V41" s="100">
        <v>3.7686799673165843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6.2640334377998884E-4</v>
      </c>
      <c r="E42" s="99">
        <v>1.0705802602785272E-2</v>
      </c>
      <c r="F42" s="99">
        <v>6.8334910230544231E-5</v>
      </c>
      <c r="G42" s="99">
        <v>5.6412746225655259E-6</v>
      </c>
      <c r="H42" s="99">
        <v>5.6412746225655259E-6</v>
      </c>
      <c r="I42" s="99">
        <v>2.2778303410181415E-3</v>
      </c>
      <c r="J42" s="99">
        <v>4.5556606820362829E-3</v>
      </c>
      <c r="K42" s="49">
        <v>281.18883333333315</v>
      </c>
      <c r="L42" s="100">
        <v>277.03333333333342</v>
      </c>
      <c r="M42" s="49" t="s">
        <v>239</v>
      </c>
      <c r="N42" s="99">
        <v>6.2640334377998884E-4</v>
      </c>
      <c r="O42" s="99">
        <v>1.0705802602785272E-2</v>
      </c>
      <c r="P42" s="99">
        <v>6.8334910230544231E-5</v>
      </c>
      <c r="Q42" s="99">
        <v>5.6412746225655259E-6</v>
      </c>
      <c r="R42" s="99">
        <v>5.6412746225655259E-6</v>
      </c>
      <c r="S42" s="99">
        <v>2.2778303410181415E-3</v>
      </c>
      <c r="T42" s="99">
        <v>4.5556606820362829E-3</v>
      </c>
      <c r="U42" s="49">
        <v>281.18883333333315</v>
      </c>
      <c r="V42" s="100">
        <v>277.03333333333342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9.7086916666666578E-3</v>
      </c>
      <c r="E43" s="99">
        <v>0.1765216666666666</v>
      </c>
      <c r="F43" s="99">
        <v>1.0591299999999988E-3</v>
      </c>
      <c r="G43" s="99">
        <v>1.3415646666666668E-2</v>
      </c>
      <c r="H43" s="99">
        <v>1.3415646666666668E-2</v>
      </c>
      <c r="I43" s="99">
        <v>3.5304333333333333E-2</v>
      </c>
      <c r="J43" s="99">
        <v>7.0608666666666667E-2</v>
      </c>
      <c r="K43" s="49">
        <v>3583.3898333333341</v>
      </c>
      <c r="L43" s="100">
        <v>3530.4333333333338</v>
      </c>
      <c r="M43" s="49" t="s">
        <v>239</v>
      </c>
      <c r="N43" s="99">
        <v>9.7086916666666578E-3</v>
      </c>
      <c r="O43" s="99">
        <v>0.1765216666666666</v>
      </c>
      <c r="P43" s="99">
        <v>1.0591299999999988E-3</v>
      </c>
      <c r="Q43" s="99">
        <v>1.3415646666666668E-2</v>
      </c>
      <c r="R43" s="99">
        <v>1.3415646666666668E-2</v>
      </c>
      <c r="S43" s="99">
        <v>3.5304333333333333E-2</v>
      </c>
      <c r="T43" s="99">
        <v>7.0608666666666667E-2</v>
      </c>
      <c r="U43" s="49">
        <v>3583.3898333333341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0.11268101493292303</v>
      </c>
      <c r="E44" s="99">
        <v>5.318543904833966E-2</v>
      </c>
      <c r="F44" s="99">
        <v>0.10479334388761843</v>
      </c>
      <c r="G44" s="99">
        <v>9.0032130931405496E-2</v>
      </c>
      <c r="H44" s="99">
        <v>9.0032130931405496E-2</v>
      </c>
      <c r="I44" s="99">
        <v>1.4264853085433399E-2</v>
      </c>
      <c r="J44" s="99">
        <v>1.4713323524866428</v>
      </c>
      <c r="K44" s="49">
        <v>342.550285396086</v>
      </c>
      <c r="L44" s="100">
        <v>22.536202986584605</v>
      </c>
      <c r="M44" s="49" t="s">
        <v>237</v>
      </c>
      <c r="N44" s="99">
        <v>9.9002843708973637E-2</v>
      </c>
      <c r="O44" s="99">
        <v>4.6729342230635559E-2</v>
      </c>
      <c r="P44" s="99">
        <v>9.2072644649345489E-2</v>
      </c>
      <c r="Q44" s="99">
        <v>7.9103272123469945E-2</v>
      </c>
      <c r="R44" s="99">
        <v>7.9103272123469945E-2</v>
      </c>
      <c r="S44" s="99">
        <v>1.2533264999337521E-2</v>
      </c>
      <c r="T44" s="99">
        <v>1.2927296317299237</v>
      </c>
      <c r="U44" s="49">
        <v>300.96864487527984</v>
      </c>
      <c r="V44" s="100">
        <v>19.800568741794734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1.346721927659249E-4</v>
      </c>
      <c r="F45" s="99">
        <v>2.6534987133964015E-4</v>
      </c>
      <c r="G45" s="99">
        <v>2.2797263139825007E-4</v>
      </c>
      <c r="H45" s="99">
        <v>2.2797263139825007E-4</v>
      </c>
      <c r="I45" s="99">
        <v>3.6120394583055649E-5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2.6963315214105564E-4</v>
      </c>
      <c r="O45" s="99">
        <v>1.2726684781057826E-4</v>
      </c>
      <c r="P45" s="99">
        <v>2.5075883149118169E-4</v>
      </c>
      <c r="Q45" s="99">
        <v>2.1543688856070351E-4</v>
      </c>
      <c r="R45" s="99">
        <v>2.1543688856070351E-4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8.7184102008962066E-4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2.9083381335906241E-5</v>
      </c>
      <c r="P46" s="99">
        <v>6.1727592489711029E-6</v>
      </c>
      <c r="Q46" s="99">
        <v>2.1102851649953144E-4</v>
      </c>
      <c r="R46" s="99">
        <v>2.1102851649953144E-4</v>
      </c>
      <c r="S46" s="99">
        <v>8.1341904248124664E-6</v>
      </c>
      <c r="T46" s="99">
        <v>1.5343025389261337E-3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3.7226766797913594E-4</v>
      </c>
      <c r="E47" s="101">
        <v>1.9434212261993555E-2</v>
      </c>
      <c r="F47" s="101">
        <v>1.3760960594379902E-2</v>
      </c>
      <c r="G47" s="101">
        <v>1.9373489384817263E-3</v>
      </c>
      <c r="H47" s="101">
        <v>1.9373489384817263E-3</v>
      </c>
      <c r="I47" s="101">
        <v>1.3544093175893139E-5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3.7226766797913594E-4</v>
      </c>
      <c r="O47" s="101">
        <v>1.9434212261993555E-2</v>
      </c>
      <c r="P47" s="101">
        <v>1.3760960594379902E-2</v>
      </c>
      <c r="Q47" s="101">
        <v>1.9373489384817263E-3</v>
      </c>
      <c r="R47" s="101">
        <v>1.9373489384817263E-3</v>
      </c>
      <c r="S47" s="101">
        <v>1.3544093175893139E-5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8.448403578301507</v>
      </c>
      <c r="E48" s="103">
        <v>2.4592556430118124</v>
      </c>
      <c r="F48" s="103">
        <v>3.7630091443297151</v>
      </c>
      <c r="G48" s="103">
        <v>2.4693199227248517</v>
      </c>
      <c r="H48" s="103">
        <v>2.4693199227248517</v>
      </c>
      <c r="I48" s="103">
        <v>0.14031427053563345</v>
      </c>
      <c r="J48" s="103">
        <v>26.22609926920363</v>
      </c>
      <c r="K48" s="93">
        <v>49151.07675398529</v>
      </c>
      <c r="L48" s="93"/>
      <c r="M48" s="93"/>
      <c r="N48" s="103">
        <v>7.6195124041756292</v>
      </c>
      <c r="O48" s="103">
        <v>2.301119410713433</v>
      </c>
      <c r="P48" s="103">
        <v>3.4901726549773811</v>
      </c>
      <c r="Q48" s="103">
        <v>2.2006372405027741</v>
      </c>
      <c r="R48" s="103">
        <v>2.2006372405027741</v>
      </c>
      <c r="S48" s="103">
        <v>0.12929447718354797</v>
      </c>
      <c r="T48" s="103">
        <v>23.182666236098445</v>
      </c>
      <c r="U48" s="93">
        <v>45902.646859339628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4.8235803277651792</v>
      </c>
      <c r="E50" s="99">
        <v>5.4765540839255313E-2</v>
      </c>
      <c r="F50" s="99">
        <v>8.4254678214238932E-3</v>
      </c>
      <c r="G50" s="99">
        <v>0.7288029665531669</v>
      </c>
      <c r="H50" s="99">
        <v>0.7288029665531669</v>
      </c>
      <c r="I50" s="99">
        <v>3.7914605196407526E-2</v>
      </c>
      <c r="J50" s="99">
        <v>5.3206829292291902</v>
      </c>
      <c r="K50" s="49">
        <v>676.4837491705415</v>
      </c>
      <c r="L50" s="100">
        <v>60.1824101220299</v>
      </c>
      <c r="M50" s="49" t="s">
        <v>237</v>
      </c>
      <c r="N50" s="99">
        <v>4.4502024546198724</v>
      </c>
      <c r="O50" s="99">
        <v>5.0526316078653571E-2</v>
      </c>
      <c r="P50" s="99">
        <v>7.7732793967159328E-3</v>
      </c>
      <c r="Q50" s="99">
        <v>0.67238866781592821</v>
      </c>
      <c r="R50" s="99">
        <v>0.67238866781592821</v>
      </c>
      <c r="S50" s="99">
        <v>3.4979757285221701E-2</v>
      </c>
      <c r="T50" s="99">
        <v>4.9088259390261113</v>
      </c>
      <c r="U50" s="49">
        <v>624.11634359187701</v>
      </c>
      <c r="V50" s="100">
        <v>55.523882894282217</v>
      </c>
      <c r="W50" t="s">
        <v>237</v>
      </c>
      <c r="Y50" s="14">
        <f>N50/$U50*2000</f>
        <v>14.260810505324484</v>
      </c>
      <c r="Z50" s="6">
        <f t="shared" ref="Z50:AE65" si="0">O50/$U50*2000</f>
        <v>0.16191313237486313</v>
      </c>
      <c r="AA50" s="249">
        <f t="shared" si="0"/>
        <v>2.4909712673055862E-2</v>
      </c>
      <c r="AB50" s="6">
        <f t="shared" si="0"/>
        <v>2.1546901462193322</v>
      </c>
      <c r="AC50" s="250">
        <f t="shared" si="0"/>
        <v>2.1546901462193322</v>
      </c>
      <c r="AD50" s="6">
        <f t="shared" si="0"/>
        <v>0.11209370702875139</v>
      </c>
      <c r="AE50" s="14">
        <f t="shared" si="0"/>
        <v>15.730483553034778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0.10442821667263365</v>
      </c>
      <c r="E51" s="99">
        <v>5.5169623902523428E-3</v>
      </c>
      <c r="F51" s="99">
        <v>7.8813748432176309E-4</v>
      </c>
      <c r="G51" s="99">
        <v>6.0292517550614884E-2</v>
      </c>
      <c r="H51" s="99">
        <v>6.0292517550614884E-2</v>
      </c>
      <c r="I51" s="99">
        <v>3.3495843083674931E-3</v>
      </c>
      <c r="J51" s="99">
        <v>0.45475532845365735</v>
      </c>
      <c r="K51" s="49">
        <v>63.268606472714886</v>
      </c>
      <c r="L51" s="100">
        <v>5.6295999604187346</v>
      </c>
      <c r="M51" s="49" t="s">
        <v>237</v>
      </c>
      <c r="N51" s="99">
        <v>9.0890805060767479E-2</v>
      </c>
      <c r="O51" s="99">
        <v>4.8017783805688469E-3</v>
      </c>
      <c r="P51" s="99">
        <v>6.8596834008126406E-4</v>
      </c>
      <c r="Q51" s="99">
        <v>5.2476578016216698E-2</v>
      </c>
      <c r="R51" s="99">
        <v>5.2476578016216698E-2</v>
      </c>
      <c r="S51" s="99">
        <v>2.9153654453453726E-3</v>
      </c>
      <c r="T51" s="99">
        <v>0.39580373222688942</v>
      </c>
      <c r="U51" s="49">
        <v>55.066562645656781</v>
      </c>
      <c r="V51" s="100">
        <v>4.89981433060911</v>
      </c>
      <c r="W51" t="s">
        <v>237</v>
      </c>
      <c r="Y51" s="14">
        <f t="shared" ref="Y51:AE70" si="1">N51/$U51*2000</f>
        <v>3.3011250637027456</v>
      </c>
      <c r="Z51" s="6">
        <f t="shared" si="0"/>
        <v>0.1743990599692016</v>
      </c>
      <c r="AA51" s="249">
        <f t="shared" si="0"/>
        <v>2.4914151424171666E-2</v>
      </c>
      <c r="AB51" s="6">
        <f t="shared" si="0"/>
        <v>1.9059325839491323</v>
      </c>
      <c r="AC51" s="250">
        <f t="shared" si="0"/>
        <v>1.9059325839491323</v>
      </c>
      <c r="AD51" s="6">
        <f t="shared" si="0"/>
        <v>0.1058851435527296</v>
      </c>
      <c r="AE51" s="14">
        <f t="shared" si="0"/>
        <v>14.375465371747055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4.9780725355351288E-2</v>
      </c>
      <c r="E52" s="99">
        <v>8.2967875592252164E-3</v>
      </c>
      <c r="F52" s="99">
        <v>1.6593575118450427E-3</v>
      </c>
      <c r="G52" s="99">
        <v>4.9780725355351288E-2</v>
      </c>
      <c r="H52" s="99">
        <v>4.9780725355351288E-2</v>
      </c>
      <c r="I52" s="99">
        <v>3.7335544016513455E-3</v>
      </c>
      <c r="J52" s="99">
        <v>0.58409384416945498</v>
      </c>
      <c r="K52" s="49">
        <v>133.2067558045575</v>
      </c>
      <c r="L52" s="100">
        <v>11.852651559952488</v>
      </c>
      <c r="M52" s="49" t="s">
        <v>237</v>
      </c>
      <c r="N52" s="99">
        <v>4.3327467883903403E-2</v>
      </c>
      <c r="O52" s="99">
        <v>7.2212446473172327E-3</v>
      </c>
      <c r="P52" s="99">
        <v>1.4442489294634467E-3</v>
      </c>
      <c r="Q52" s="99">
        <v>4.3327467883903403E-2</v>
      </c>
      <c r="R52" s="99">
        <v>4.3327467883903403E-2</v>
      </c>
      <c r="S52" s="99">
        <v>3.2495600912927549E-3</v>
      </c>
      <c r="T52" s="99">
        <v>0.50837562317113316</v>
      </c>
      <c r="U52" s="49">
        <v>115.9380389783004</v>
      </c>
      <c r="V52" s="100">
        <v>10.316148994155512</v>
      </c>
      <c r="W52" t="s">
        <v>237</v>
      </c>
      <c r="Y52" s="14">
        <f t="shared" si="1"/>
        <v>0.74742454272515013</v>
      </c>
      <c r="Z52" s="6">
        <f t="shared" si="0"/>
        <v>0.12457075712085834</v>
      </c>
      <c r="AA52" s="249">
        <f t="shared" si="0"/>
        <v>2.4914151424171669E-2</v>
      </c>
      <c r="AB52" s="6">
        <f t="shared" si="0"/>
        <v>0.74742454272515013</v>
      </c>
      <c r="AC52" s="250">
        <f t="shared" si="0"/>
        <v>0.74742454272515013</v>
      </c>
      <c r="AD52" s="6">
        <f t="shared" si="0"/>
        <v>5.6056840704386254E-2</v>
      </c>
      <c r="AE52" s="14">
        <f t="shared" si="0"/>
        <v>8.7697813013084271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3.7464551886718447E-2</v>
      </c>
      <c r="E53" s="99">
        <v>4.9952735848957912E-3</v>
      </c>
      <c r="F53" s="99">
        <v>9.9905471697915821E-4</v>
      </c>
      <c r="G53" s="99">
        <v>3.2469278301822654E-2</v>
      </c>
      <c r="H53" s="99">
        <v>3.2469278301822654E-2</v>
      </c>
      <c r="I53" s="99">
        <v>2.2478731132031058E-3</v>
      </c>
      <c r="J53" s="99">
        <v>0.26724713679192497</v>
      </c>
      <c r="K53" s="49">
        <v>80.200220127404123</v>
      </c>
      <c r="L53" s="100">
        <v>7.1361640666057484</v>
      </c>
      <c r="M53" s="49" t="s">
        <v>237</v>
      </c>
      <c r="N53" s="99">
        <v>3.2607885021147698E-2</v>
      </c>
      <c r="O53" s="99">
        <v>4.3477180028196911E-3</v>
      </c>
      <c r="P53" s="99">
        <v>8.6954360056393763E-4</v>
      </c>
      <c r="Q53" s="99">
        <v>2.8260167018327988E-2</v>
      </c>
      <c r="R53" s="99">
        <v>2.8260167018327988E-2</v>
      </c>
      <c r="S53" s="99">
        <v>1.9564731012688607E-3</v>
      </c>
      <c r="T53" s="99">
        <v>0.23260291315085335</v>
      </c>
      <c r="U53" s="49">
        <v>69.803188216983244</v>
      </c>
      <c r="V53" s="100">
        <v>6.2110770223417173</v>
      </c>
      <c r="W53" t="s">
        <v>237</v>
      </c>
      <c r="Y53" s="14">
        <f t="shared" si="1"/>
        <v>0.93428067840643814</v>
      </c>
      <c r="Z53" s="6">
        <f t="shared" si="0"/>
        <v>0.12457075712085837</v>
      </c>
      <c r="AA53" s="249">
        <f t="shared" si="0"/>
        <v>2.4914151424171655E-2</v>
      </c>
      <c r="AB53" s="6">
        <f t="shared" si="0"/>
        <v>0.80970992128557917</v>
      </c>
      <c r="AC53" s="250">
        <f t="shared" si="0"/>
        <v>0.80970992128557917</v>
      </c>
      <c r="AD53" s="6">
        <f t="shared" si="0"/>
        <v>5.6056840704386254E-2</v>
      </c>
      <c r="AE53" s="14">
        <f t="shared" si="0"/>
        <v>6.6645355059659197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2.1192892736941107</v>
      </c>
      <c r="E54" s="99">
        <v>5.8066232199728278E-2</v>
      </c>
      <c r="F54" s="99">
        <v>1.599463602788008E-2</v>
      </c>
      <c r="G54" s="99">
        <v>0.48551835164716245</v>
      </c>
      <c r="H54" s="99">
        <v>0.48551835164716245</v>
      </c>
      <c r="I54" s="99">
        <v>1.587581768424777E-2</v>
      </c>
      <c r="J54" s="99">
        <v>4.8452007780873245</v>
      </c>
      <c r="K54" s="49">
        <v>1283.9870614618719</v>
      </c>
      <c r="L54" s="100">
        <v>114.2483439002437</v>
      </c>
      <c r="M54" s="49" t="s">
        <v>237</v>
      </c>
      <c r="N54" s="99">
        <v>1.8445580550949485</v>
      </c>
      <c r="O54" s="99">
        <v>5.0538894176690732E-2</v>
      </c>
      <c r="P54" s="99">
        <v>1.3921192868641121E-2</v>
      </c>
      <c r="Q54" s="99">
        <v>0.4225788322262124</v>
      </c>
      <c r="R54" s="99">
        <v>0.4225788322262124</v>
      </c>
      <c r="S54" s="99">
        <v>1.3817777381401858E-2</v>
      </c>
      <c r="T54" s="99">
        <v>4.2170996827605567</v>
      </c>
      <c r="U54" s="49">
        <v>1117.5329740618663</v>
      </c>
      <c r="V54" s="100">
        <v>99.437913284540713</v>
      </c>
      <c r="W54" t="s">
        <v>237</v>
      </c>
      <c r="Y54" s="14">
        <f t="shared" si="1"/>
        <v>3.3011250637027456</v>
      </c>
      <c r="Z54" s="6">
        <f t="shared" si="0"/>
        <v>9.0447253637623612E-2</v>
      </c>
      <c r="AA54" s="249">
        <f t="shared" si="0"/>
        <v>2.4914151424171666E-2</v>
      </c>
      <c r="AB54" s="6">
        <f t="shared" si="0"/>
        <v>0.75627089675980974</v>
      </c>
      <c r="AC54" s="250">
        <f t="shared" si="0"/>
        <v>0.75627089675980974</v>
      </c>
      <c r="AD54" s="6">
        <f t="shared" si="0"/>
        <v>2.4729073239206111E-2</v>
      </c>
      <c r="AE54" s="14">
        <f t="shared" si="0"/>
        <v>7.5471592886119163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1.010261025648211</v>
      </c>
      <c r="E55" s="99">
        <v>0.13544566508407033</v>
      </c>
      <c r="F55" s="99">
        <v>3.367536752160704E-2</v>
      </c>
      <c r="G55" s="99">
        <v>0.66720376453588115</v>
      </c>
      <c r="H55" s="99">
        <v>0.66720376453588115</v>
      </c>
      <c r="I55" s="99">
        <v>2.1025361894865535E-2</v>
      </c>
      <c r="J55" s="99">
        <v>10.40913595298008</v>
      </c>
      <c r="K55" s="49">
        <v>2703.3272974982224</v>
      </c>
      <c r="L55" s="100">
        <v>240.54032632373591</v>
      </c>
      <c r="M55" s="49" t="s">
        <v>237</v>
      </c>
      <c r="N55" s="99">
        <v>0.87929719445975885</v>
      </c>
      <c r="O55" s="99">
        <v>0.11788734820661149</v>
      </c>
      <c r="P55" s="99">
        <v>2.930990648199195E-2</v>
      </c>
      <c r="Q55" s="99">
        <v>0.58071170063495825</v>
      </c>
      <c r="R55" s="99">
        <v>0.58071170063495825</v>
      </c>
      <c r="S55" s="99">
        <v>1.8299767344577385E-2</v>
      </c>
      <c r="T55" s="99">
        <v>9.0597615941216354</v>
      </c>
      <c r="U55" s="49">
        <v>2352.8721474780427</v>
      </c>
      <c r="V55" s="100">
        <v>209.35820418805875</v>
      </c>
      <c r="W55" t="s">
        <v>237</v>
      </c>
      <c r="Y55" s="14">
        <f t="shared" si="1"/>
        <v>0.74742454272515002</v>
      </c>
      <c r="Z55" s="6">
        <f t="shared" si="0"/>
        <v>0.10020718578607904</v>
      </c>
      <c r="AA55" s="249">
        <f t="shared" si="0"/>
        <v>2.4914151424171655E-2</v>
      </c>
      <c r="AB55" s="6">
        <f t="shared" si="0"/>
        <v>0.49361942701170719</v>
      </c>
      <c r="AC55" s="250">
        <f t="shared" si="0"/>
        <v>0.49361942701170719</v>
      </c>
      <c r="AD55" s="6">
        <f t="shared" si="0"/>
        <v>1.5555258592518285E-2</v>
      </c>
      <c r="AE55" s="14">
        <f t="shared" si="0"/>
        <v>7.7010232824018603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0.76031388342271566</v>
      </c>
      <c r="E56" s="99">
        <v>8.1548207442144138E-2</v>
      </c>
      <c r="F56" s="99">
        <v>2.0275036891272413E-2</v>
      </c>
      <c r="G56" s="99">
        <v>0.44572804005442018</v>
      </c>
      <c r="H56" s="99">
        <v>0.44572804005442018</v>
      </c>
      <c r="I56" s="99">
        <v>1.2658807295784761E-2</v>
      </c>
      <c r="J56" s="99">
        <v>6.2670619798738212</v>
      </c>
      <c r="K56" s="49">
        <v>1627.6009653285182</v>
      </c>
      <c r="L56" s="100">
        <v>144.82288832997173</v>
      </c>
      <c r="M56" s="49" t="s">
        <v>237</v>
      </c>
      <c r="N56" s="99">
        <v>0.66175161431516516</v>
      </c>
      <c r="O56" s="99">
        <v>7.0976815096961549E-2</v>
      </c>
      <c r="P56" s="99">
        <v>1.7646709715071065E-2</v>
      </c>
      <c r="Q56" s="99">
        <v>0.38794668423482676</v>
      </c>
      <c r="R56" s="99">
        <v>0.38794668423482676</v>
      </c>
      <c r="S56" s="99">
        <v>1.101779981391285E-2</v>
      </c>
      <c r="T56" s="99">
        <v>5.4546398173409854</v>
      </c>
      <c r="U56" s="49">
        <v>1416.6013053890545</v>
      </c>
      <c r="V56" s="100">
        <v>126.04896771148501</v>
      </c>
      <c r="W56" t="s">
        <v>237</v>
      </c>
      <c r="Y56" s="14">
        <f t="shared" si="1"/>
        <v>0.93428067840643714</v>
      </c>
      <c r="Z56" s="6">
        <f t="shared" si="0"/>
        <v>0.10020718578607907</v>
      </c>
      <c r="AA56" s="249">
        <f t="shared" si="0"/>
        <v>2.4914151424171648E-2</v>
      </c>
      <c r="AB56" s="6">
        <f t="shared" si="0"/>
        <v>0.54771470668422306</v>
      </c>
      <c r="AC56" s="250">
        <f t="shared" si="0"/>
        <v>0.54771470668422306</v>
      </c>
      <c r="AD56" s="6">
        <f t="shared" si="0"/>
        <v>1.5555258592518278E-2</v>
      </c>
      <c r="AE56" s="14">
        <f t="shared" si="0"/>
        <v>7.7010232824018567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1.2739770006745817E-2</v>
      </c>
      <c r="E57" s="99">
        <v>2.2247607016207344E-2</v>
      </c>
      <c r="F57" s="99">
        <v>1.778030530765822E-3</v>
      </c>
      <c r="G57" s="99">
        <v>1.6446782409583856E-2</v>
      </c>
      <c r="H57" s="99">
        <v>1.6446782409583856E-2</v>
      </c>
      <c r="I57" s="99">
        <v>3.9939010797327296E-4</v>
      </c>
      <c r="J57" s="99">
        <v>5.5185622598644207E-2</v>
      </c>
      <c r="K57" s="49">
        <v>170.44984983453952</v>
      </c>
      <c r="L57" s="100">
        <v>15.1665181419117</v>
      </c>
      <c r="M57" s="49" t="s">
        <v>237</v>
      </c>
      <c r="N57" s="99">
        <v>1.1088267032578676E-2</v>
      </c>
      <c r="O57" s="99">
        <v>1.9363568361199218E-2</v>
      </c>
      <c r="P57" s="99">
        <v>1.5475379309649723E-3</v>
      </c>
      <c r="Q57" s="99">
        <v>1.4314725861425995E-2</v>
      </c>
      <c r="R57" s="99">
        <v>1.4314725861425995E-2</v>
      </c>
      <c r="S57" s="99">
        <v>3.4761570774300706E-4</v>
      </c>
      <c r="T57" s="99">
        <v>4.8031708532325343E-2</v>
      </c>
      <c r="U57" s="49">
        <v>148.35299617203182</v>
      </c>
      <c r="V57" s="100">
        <v>13.20042693258342</v>
      </c>
      <c r="W57" t="s">
        <v>237</v>
      </c>
      <c r="Y57" s="14">
        <f t="shared" si="1"/>
        <v>0.14948490854502994</v>
      </c>
      <c r="Z57" s="6">
        <f t="shared" si="0"/>
        <v>0.26104721658260283</v>
      </c>
      <c r="AA57" s="249">
        <f t="shared" si="0"/>
        <v>2.0862914412196027E-2</v>
      </c>
      <c r="AB57" s="6">
        <f t="shared" si="0"/>
        <v>0.19298195831281326</v>
      </c>
      <c r="AC57" s="250">
        <f t="shared" si="0"/>
        <v>0.19298195831281326</v>
      </c>
      <c r="AD57" s="6">
        <f t="shared" si="0"/>
        <v>4.6863321498395345E-3</v>
      </c>
      <c r="AE57" s="14">
        <f t="shared" si="0"/>
        <v>0.64753270606853441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4.2971640166925687E-2</v>
      </c>
      <c r="E58" s="99">
        <v>7.5041869890069821E-2</v>
      </c>
      <c r="F58" s="99">
        <v>5.9973522389666217E-3</v>
      </c>
      <c r="G58" s="99">
        <v>5.5475508210441227E-2</v>
      </c>
      <c r="H58" s="99">
        <v>5.5475508210441227E-2</v>
      </c>
      <c r="I58" s="99">
        <v>1.3471552466778774E-3</v>
      </c>
      <c r="J58" s="99">
        <v>0.1861428201169264</v>
      </c>
      <c r="K58" s="49">
        <v>574.93264083401493</v>
      </c>
      <c r="L58" s="100">
        <v>51.157137046766415</v>
      </c>
      <c r="M58" s="49" t="s">
        <v>237</v>
      </c>
      <c r="N58" s="99">
        <v>3.7401069308665325E-2</v>
      </c>
      <c r="O58" s="99">
        <v>6.5313917874853619E-2</v>
      </c>
      <c r="P58" s="99">
        <v>5.2198935364518393E-3</v>
      </c>
      <c r="Q58" s="99">
        <v>4.8284015212179503E-2</v>
      </c>
      <c r="R58" s="99">
        <v>4.8284015212179503E-2</v>
      </c>
      <c r="S58" s="99">
        <v>1.1725185856254947E-3</v>
      </c>
      <c r="T58" s="99">
        <v>0.16201244563762396</v>
      </c>
      <c r="U58" s="49">
        <v>500.39926669117693</v>
      </c>
      <c r="V58" s="100">
        <v>44.525450294346669</v>
      </c>
      <c r="W58" t="s">
        <v>237</v>
      </c>
      <c r="Y58" s="14">
        <f t="shared" si="1"/>
        <v>0.14948490854502997</v>
      </c>
      <c r="Z58" s="6">
        <f t="shared" si="0"/>
        <v>0.26104721658260271</v>
      </c>
      <c r="AA58" s="249">
        <f t="shared" si="0"/>
        <v>2.0862914412196027E-2</v>
      </c>
      <c r="AB58" s="6">
        <f t="shared" si="0"/>
        <v>0.19298195831281323</v>
      </c>
      <c r="AC58" s="250">
        <f t="shared" si="0"/>
        <v>0.19298195831281323</v>
      </c>
      <c r="AD58" s="6">
        <f t="shared" si="0"/>
        <v>4.6863321498395345E-3</v>
      </c>
      <c r="AE58" s="14">
        <f t="shared" si="0"/>
        <v>0.64753270606853419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1.2068451083375953</v>
      </c>
      <c r="E59" s="99">
        <v>4.2870474607545041E-2</v>
      </c>
      <c r="F59" s="99">
        <v>1.0632996549229912E-2</v>
      </c>
      <c r="G59" s="99">
        <v>0.26237323249908617</v>
      </c>
      <c r="H59" s="99">
        <v>0.26237323249908617</v>
      </c>
      <c r="I59" s="99">
        <v>6.4797100730550946E-3</v>
      </c>
      <c r="J59" s="99">
        <v>1.6101192193521225</v>
      </c>
      <c r="K59" s="49">
        <v>853.27810186449506</v>
      </c>
      <c r="L59" s="100">
        <v>75.950602710121998</v>
      </c>
      <c r="M59" s="49" t="s">
        <v>237</v>
      </c>
      <c r="N59" s="99">
        <v>1.1034409865075812</v>
      </c>
      <c r="O59" s="99">
        <v>3.9197274336355767E-2</v>
      </c>
      <c r="P59" s="99">
        <v>9.7219470176879395E-3</v>
      </c>
      <c r="Q59" s="99">
        <v>0.239892738928837</v>
      </c>
      <c r="R59" s="99">
        <v>0.239892738928837</v>
      </c>
      <c r="S59" s="99">
        <v>5.9245197464850964E-3</v>
      </c>
      <c r="T59" s="99">
        <v>1.4721620260317012</v>
      </c>
      <c r="U59" s="49">
        <v>780.1678336742666</v>
      </c>
      <c r="V59" s="100">
        <v>69.443052303327363</v>
      </c>
      <c r="W59" t="s">
        <v>237</v>
      </c>
      <c r="Y59" s="14">
        <f t="shared" si="1"/>
        <v>2.8287272017120526</v>
      </c>
      <c r="Z59" s="6">
        <f t="shared" si="0"/>
        <v>0.10048421030575659</v>
      </c>
      <c r="AA59" s="249">
        <f t="shared" si="0"/>
        <v>2.4922706623013678E-2</v>
      </c>
      <c r="AB59" s="6">
        <f t="shared" si="0"/>
        <v>0.61497726149267595</v>
      </c>
      <c r="AC59" s="250">
        <f t="shared" si="0"/>
        <v>0.61497726149267595</v>
      </c>
      <c r="AD59" s="6">
        <f t="shared" si="0"/>
        <v>1.518780829141101E-2</v>
      </c>
      <c r="AE59" s="14">
        <f t="shared" si="0"/>
        <v>3.7739623770398971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8.8970375095838022E-2</v>
      </c>
      <c r="E60" s="99">
        <v>1.3940034395546128</v>
      </c>
      <c r="F60" s="99">
        <v>3.6065543897397223</v>
      </c>
      <c r="G60" s="99">
        <v>5.6975617420488261E-2</v>
      </c>
      <c r="H60" s="99">
        <v>5.6975617420488261E-2</v>
      </c>
      <c r="I60" s="99">
        <v>3.0567418746091958E-3</v>
      </c>
      <c r="J60" s="99">
        <v>5.5883584753262258E-2</v>
      </c>
      <c r="K60" s="49">
        <v>33494.453992429917</v>
      </c>
      <c r="L60" s="100">
        <v>249.56626955354295</v>
      </c>
      <c r="M60" s="49" t="s">
        <v>238</v>
      </c>
      <c r="N60" s="99">
        <v>8.2167458407040136E-2</v>
      </c>
      <c r="O60" s="99">
        <v>1.2874141478609176</v>
      </c>
      <c r="P60" s="99">
        <v>3.3307874389924792</v>
      </c>
      <c r="Q60" s="99">
        <v>5.2619106860800471E-2</v>
      </c>
      <c r="R60" s="99">
        <v>5.2619106860800471E-2</v>
      </c>
      <c r="S60" s="99">
        <v>2.8230150830819453E-3</v>
      </c>
      <c r="T60" s="99">
        <v>5.1610573979301792E-2</v>
      </c>
      <c r="U60" s="49">
        <v>30933.37700695216</v>
      </c>
      <c r="V60" s="100">
        <v>230.48375429744786</v>
      </c>
      <c r="W60" t="s">
        <v>238</v>
      </c>
      <c r="Y60" s="14">
        <f t="shared" si="1"/>
        <v>5.3125436895281953E-3</v>
      </c>
      <c r="Z60" s="6">
        <f t="shared" si="0"/>
        <v>8.3237866177467534E-2</v>
      </c>
      <c r="AA60" s="249">
        <f t="shared" si="0"/>
        <v>0.21535233209383492</v>
      </c>
      <c r="AB60" s="6">
        <f t="shared" si="0"/>
        <v>3.4020926230572579E-3</v>
      </c>
      <c r="AC60" s="250">
        <f t="shared" si="0"/>
        <v>3.4020926230572579E-3</v>
      </c>
      <c r="AD60" s="6">
        <f t="shared" si="0"/>
        <v>1.825222692270219E-4</v>
      </c>
      <c r="AE60" s="14">
        <f t="shared" si="0"/>
        <v>3.3368858477819939E-3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2.7504420498886351E-2</v>
      </c>
      <c r="E61" s="99">
        <v>0.69436124681620526</v>
      </c>
      <c r="F61" s="99">
        <v>0.49080538974955235</v>
      </c>
      <c r="G61" s="99">
        <v>1.7613518410243171E-2</v>
      </c>
      <c r="H61" s="99">
        <v>1.7613518410243171E-2</v>
      </c>
      <c r="I61" s="99">
        <v>9.4496526270954658E-4</v>
      </c>
      <c r="J61" s="99">
        <v>1.7275925974046841E-2</v>
      </c>
      <c r="K61" s="49">
        <v>10685.448076004941</v>
      </c>
      <c r="L61" s="100">
        <v>79.616984215934465</v>
      </c>
      <c r="M61" s="49" t="s">
        <v>238</v>
      </c>
      <c r="N61" s="99">
        <v>2.7042997195561563E-2</v>
      </c>
      <c r="O61" s="99">
        <v>0.68271241166915586</v>
      </c>
      <c r="P61" s="99">
        <v>0.48257147534161138</v>
      </c>
      <c r="Q61" s="99">
        <v>1.731802816901612E-2</v>
      </c>
      <c r="R61" s="99">
        <v>1.731802816901612E-2</v>
      </c>
      <c r="S61" s="99">
        <v>9.2911221126771486E-4</v>
      </c>
      <c r="T61" s="99">
        <v>1.698609929577664E-2</v>
      </c>
      <c r="U61" s="49">
        <v>10506.185446242012</v>
      </c>
      <c r="V61" s="100">
        <v>78.281303216614333</v>
      </c>
      <c r="W61" t="s">
        <v>238</v>
      </c>
      <c r="Y61" s="14">
        <f t="shared" si="1"/>
        <v>5.1480144404332118E-3</v>
      </c>
      <c r="Z61" s="6">
        <f t="shared" si="0"/>
        <v>0.12996389891696747</v>
      </c>
      <c r="AA61" s="249">
        <f t="shared" si="0"/>
        <v>9.1864259927797814E-2</v>
      </c>
      <c r="AB61" s="6">
        <f t="shared" si="0"/>
        <v>3.2967299611507722E-3</v>
      </c>
      <c r="AC61" s="250">
        <f t="shared" si="0"/>
        <v>3.2967299611507722E-3</v>
      </c>
      <c r="AD61" s="6">
        <f t="shared" si="0"/>
        <v>1.7686956241573894E-4</v>
      </c>
      <c r="AE61" s="14">
        <f t="shared" si="0"/>
        <v>3.2335426368953818E-3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5.933760600236763E-4</v>
      </c>
      <c r="E62" s="99">
        <v>1.4980040786011469E-2</v>
      </c>
      <c r="F62" s="99">
        <v>2.4053433873237207E-2</v>
      </c>
      <c r="G62" s="99">
        <v>3.3288979524469931E-4</v>
      </c>
      <c r="H62" s="99">
        <v>3.3288979524469931E-4</v>
      </c>
      <c r="I62" s="99">
        <v>2.038653257459223E-5</v>
      </c>
      <c r="J62" s="99">
        <v>3.7270812116022126E-4</v>
      </c>
      <c r="K62" s="49">
        <v>228.02118749773788</v>
      </c>
      <c r="L62" s="100">
        <v>1.6644489762234969</v>
      </c>
      <c r="M62" s="49" t="s">
        <v>238</v>
      </c>
      <c r="N62" s="99">
        <v>5.6027330658462381E-4</v>
      </c>
      <c r="O62" s="99">
        <v>1.4144347150803972E-2</v>
      </c>
      <c r="P62" s="99">
        <v>2.2711561585978843E-2</v>
      </c>
      <c r="Q62" s="99">
        <v>3.1431882557342143E-4</v>
      </c>
      <c r="R62" s="99">
        <v>3.1431882557342143E-4</v>
      </c>
      <c r="S62" s="99">
        <v>1.924922622410176E-5</v>
      </c>
      <c r="T62" s="99">
        <v>3.5191580095942477E-4</v>
      </c>
      <c r="U62" s="49">
        <v>215.30053754715436</v>
      </c>
      <c r="V62" s="100">
        <v>1.5715941278671075</v>
      </c>
      <c r="W62" t="s">
        <v>238</v>
      </c>
      <c r="Y62" s="14">
        <f t="shared" si="1"/>
        <v>5.2045695098361265E-3</v>
      </c>
      <c r="Z62" s="6">
        <f t="shared" si="0"/>
        <v>0.13139165662980407</v>
      </c>
      <c r="AA62" s="249">
        <f t="shared" si="0"/>
        <v>0.21097542853096349</v>
      </c>
      <c r="AB62" s="6">
        <f t="shared" si="0"/>
        <v>2.9198145917734221E-3</v>
      </c>
      <c r="AC62" s="250">
        <f t="shared" si="0"/>
        <v>2.9198145917734221E-3</v>
      </c>
      <c r="AD62" s="6">
        <f t="shared" si="0"/>
        <v>1.7881261647928644E-4</v>
      </c>
      <c r="AE62" s="14">
        <f t="shared" si="0"/>
        <v>3.2690656973612935E-3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2.2927114011145116E-3</v>
      </c>
      <c r="E63" s="99">
        <v>3.5922604300779377E-2</v>
      </c>
      <c r="F63" s="99">
        <v>9.2938670419100658E-2</v>
      </c>
      <c r="G63" s="99">
        <v>1.4682263338193207E-3</v>
      </c>
      <c r="H63" s="99">
        <v>1.4682263338193207E-3</v>
      </c>
      <c r="I63" s="99">
        <v>7.8770342809406573E-5</v>
      </c>
      <c r="J63" s="99">
        <v>1.440085329087784E-3</v>
      </c>
      <c r="K63" s="49">
        <v>803.89600319583212</v>
      </c>
      <c r="L63" s="100">
        <v>6.431168025566655</v>
      </c>
      <c r="M63" s="49" t="s">
        <v>238</v>
      </c>
      <c r="N63" s="99">
        <v>1.9001746642384968E-3</v>
      </c>
      <c r="O63" s="99">
        <v>2.9772269869039896E-2</v>
      </c>
      <c r="P63" s="99">
        <v>7.7026575072876538E-2</v>
      </c>
      <c r="Q63" s="99">
        <v>1.2168502671269714E-3</v>
      </c>
      <c r="R63" s="99">
        <v>1.2168502671269714E-3</v>
      </c>
      <c r="S63" s="99">
        <v>6.5284016831362008E-5</v>
      </c>
      <c r="T63" s="99">
        <v>1.1935273036737047E-3</v>
      </c>
      <c r="U63" s="49">
        <v>666.26040120564414</v>
      </c>
      <c r="V63" s="100">
        <v>5.3300832096451538</v>
      </c>
      <c r="W63" t="s">
        <v>238</v>
      </c>
      <c r="Y63" s="14">
        <f t="shared" si="1"/>
        <v>5.703999999999999E-3</v>
      </c>
      <c r="Z63" s="6">
        <f t="shared" si="0"/>
        <v>8.9371272298833682E-2</v>
      </c>
      <c r="AA63" s="249">
        <f t="shared" si="0"/>
        <v>0.23122063065279475</v>
      </c>
      <c r="AB63" s="6">
        <f t="shared" si="0"/>
        <v>3.6527767969550553E-3</v>
      </c>
      <c r="AC63" s="250">
        <f t="shared" si="0"/>
        <v>3.6527767969550553E-3</v>
      </c>
      <c r="AD63" s="6">
        <f t="shared" si="0"/>
        <v>1.959714751566387E-4</v>
      </c>
      <c r="AE63" s="14">
        <f t="shared" si="0"/>
        <v>3.5827652416800838E-3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6.4990552711092738E-4</v>
      </c>
      <c r="E64" s="99">
        <v>1.1107476281532223E-2</v>
      </c>
      <c r="F64" s="99">
        <v>7.0898784775737624E-5</v>
      </c>
      <c r="G64" s="99">
        <v>5.8529310125197163E-6</v>
      </c>
      <c r="H64" s="99">
        <v>5.8529310125197163E-6</v>
      </c>
      <c r="I64" s="99">
        <v>2.363292825857918E-3</v>
      </c>
      <c r="J64" s="99">
        <v>4.726585651715836E-3</v>
      </c>
      <c r="K64" s="49">
        <v>291.73882732240446</v>
      </c>
      <c r="L64" s="100">
        <v>287.42741608118672</v>
      </c>
      <c r="M64" s="49" t="s">
        <v>239</v>
      </c>
      <c r="N64" s="99">
        <v>6.4990552711092738E-4</v>
      </c>
      <c r="O64" s="99">
        <v>1.1107476281532223E-2</v>
      </c>
      <c r="P64" s="99">
        <v>7.0898784775737624E-5</v>
      </c>
      <c r="Q64" s="99">
        <v>5.8529310125197163E-6</v>
      </c>
      <c r="R64" s="99">
        <v>5.8529310125197163E-6</v>
      </c>
      <c r="S64" s="99">
        <v>2.363292825857918E-3</v>
      </c>
      <c r="T64" s="99">
        <v>4.726585651715836E-3</v>
      </c>
      <c r="U64" s="49">
        <v>291.73882732240446</v>
      </c>
      <c r="V64" s="100">
        <v>287.42741608118672</v>
      </c>
      <c r="W64" t="s">
        <v>239</v>
      </c>
      <c r="Y64" s="14">
        <f t="shared" si="1"/>
        <v>4.4553927434054447E-3</v>
      </c>
      <c r="Z64" s="6">
        <f t="shared" si="0"/>
        <v>7.6146712341838563E-2</v>
      </c>
      <c r="AA64" s="249">
        <f t="shared" si="0"/>
        <v>4.8604284473513997E-4</v>
      </c>
      <c r="AB64" s="6">
        <f t="shared" si="0"/>
        <v>4.0124456975701519E-5</v>
      </c>
      <c r="AC64" s="250">
        <f t="shared" si="0"/>
        <v>4.0124456975701519E-5</v>
      </c>
      <c r="AD64" s="6">
        <f t="shared" si="0"/>
        <v>1.6201428157837979E-2</v>
      </c>
      <c r="AE64" s="14">
        <f t="shared" si="0"/>
        <v>3.2402856315675958E-2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7.2943884387197452E-3</v>
      </c>
      <c r="E65" s="99">
        <v>0.13262524434035905</v>
      </c>
      <c r="F65" s="99">
        <v>7.9575146604215379E-4</v>
      </c>
      <c r="G65" s="99">
        <v>1.007951856986729E-2</v>
      </c>
      <c r="H65" s="99">
        <v>1.007951856986729E-2</v>
      </c>
      <c r="I65" s="99">
        <v>2.6525048868071836E-2</v>
      </c>
      <c r="J65" s="99">
        <v>5.3050097736143671E-2</v>
      </c>
      <c r="K65" s="49">
        <v>2692.2924601092896</v>
      </c>
      <c r="L65" s="100">
        <v>2652.5048868071826</v>
      </c>
      <c r="M65" s="49" t="s">
        <v>239</v>
      </c>
      <c r="N65" s="99">
        <v>7.2943884387197452E-3</v>
      </c>
      <c r="O65" s="99">
        <v>0.13262524434035905</v>
      </c>
      <c r="P65" s="99">
        <v>7.9575146604215379E-4</v>
      </c>
      <c r="Q65" s="99">
        <v>1.007951856986729E-2</v>
      </c>
      <c r="R65" s="99">
        <v>1.007951856986729E-2</v>
      </c>
      <c r="S65" s="99">
        <v>2.6525048868071836E-2</v>
      </c>
      <c r="T65" s="99">
        <v>5.3050097736143671E-2</v>
      </c>
      <c r="U65" s="49">
        <v>2692.2924601092896</v>
      </c>
      <c r="V65" s="100">
        <v>2652.5048868071826</v>
      </c>
      <c r="W65" t="s">
        <v>239</v>
      </c>
      <c r="Y65" s="14">
        <f t="shared" si="1"/>
        <v>5.4187192118226564E-3</v>
      </c>
      <c r="Z65" s="6">
        <f t="shared" si="0"/>
        <v>9.8522167487684692E-2</v>
      </c>
      <c r="AA65" s="249">
        <f t="shared" si="0"/>
        <v>5.9113300492610779E-4</v>
      </c>
      <c r="AB65" s="6">
        <f t="shared" si="0"/>
        <v>7.4876847290640388E-3</v>
      </c>
      <c r="AC65" s="250">
        <f t="shared" si="0"/>
        <v>7.4876847290640388E-3</v>
      </c>
      <c r="AD65" s="6">
        <f t="shared" si="0"/>
        <v>1.970443349753696E-2</v>
      </c>
      <c r="AE65" s="14">
        <f t="shared" si="0"/>
        <v>3.940886699507392E-2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0.13390175535942855</v>
      </c>
      <c r="E66" s="99">
        <v>6.3201628529650264E-2</v>
      </c>
      <c r="F66" s="99">
        <v>0.12452863248426849</v>
      </c>
      <c r="G66" s="99">
        <v>0.10698750253218334</v>
      </c>
      <c r="H66" s="99">
        <v>0.10698750253218334</v>
      </c>
      <c r="I66" s="99">
        <v>1.6951292719726858E-2</v>
      </c>
      <c r="J66" s="99">
        <v>1.7484221706057379</v>
      </c>
      <c r="K66" s="49">
        <v>407.0613362926627</v>
      </c>
      <c r="L66" s="100">
        <v>26.780351071885701</v>
      </c>
      <c r="M66" s="49" t="s">
        <v>237</v>
      </c>
      <c r="N66" s="99">
        <v>0.11738966705329928</v>
      </c>
      <c r="O66" s="99">
        <v>5.540792284915725E-2</v>
      </c>
      <c r="P66" s="99">
        <v>0.10917239035956829</v>
      </c>
      <c r="Q66" s="99">
        <v>9.37943439755861E-2</v>
      </c>
      <c r="R66" s="99">
        <v>9.37943439755861E-2</v>
      </c>
      <c r="S66" s="99">
        <v>1.4860944900612421E-2</v>
      </c>
      <c r="T66" s="99">
        <v>1.5328155775484553</v>
      </c>
      <c r="U66" s="49">
        <v>356.86458784202961</v>
      </c>
      <c r="V66" s="100">
        <v>23.477933410659848</v>
      </c>
      <c r="W66" t="s">
        <v>237</v>
      </c>
      <c r="Y66" s="14">
        <f t="shared" si="1"/>
        <v>0.65789473684210564</v>
      </c>
      <c r="Z66" s="6">
        <f t="shared" si="1"/>
        <v>0.31052631578947382</v>
      </c>
      <c r="AA66" s="249">
        <f t="shared" si="1"/>
        <v>0.61184210526315808</v>
      </c>
      <c r="AB66" s="6">
        <f t="shared" si="1"/>
        <v>0.52565789473684221</v>
      </c>
      <c r="AC66" s="250">
        <f t="shared" si="1"/>
        <v>0.52565789473684221</v>
      </c>
      <c r="AD66" s="6">
        <f t="shared" si="1"/>
        <v>8.3286184210526346E-2</v>
      </c>
      <c r="AE66" s="14">
        <f t="shared" si="1"/>
        <v>8.5904605263157947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3.2399354138048446E-4</v>
      </c>
      <c r="G67" s="99">
        <v>2.7835574146559898E-4</v>
      </c>
      <c r="H67" s="99">
        <v>2.7835574146559898E-4</v>
      </c>
      <c r="I67" s="99">
        <v>4.4103185345228465E-5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3.2922344900610868E-4</v>
      </c>
      <c r="O67" s="99">
        <v>1.5539346793088337E-4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4.1678042526928352E-5</v>
      </c>
      <c r="T67" s="99">
        <v>4.2988351853972661E-3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1.0961826058757602E-5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8.7269646582558802E-4</v>
      </c>
      <c r="O68" s="99">
        <v>3.5510956409239786E-5</v>
      </c>
      <c r="P68" s="99">
        <v>7.5369704121824456E-6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2.3729271934124708E-2</v>
      </c>
      <c r="F69" s="101">
        <v>1.6802202817214628E-2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5.6489860280612321E-3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2.3729271934124708E-2</v>
      </c>
      <c r="P69" s="101">
        <v>1.6802202817214628E-2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5.6489860280612321E-3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0.37693099395384783</v>
      </c>
      <c r="AA69" s="253">
        <f t="shared" si="1"/>
        <v>0.26689697964980841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8.9732121756607164E-2</v>
      </c>
    </row>
    <row r="70" spans="1:31" x14ac:dyDescent="0.25">
      <c r="A70" s="17" t="s">
        <v>236</v>
      </c>
      <c r="B70" s="17" t="s">
        <v>219</v>
      </c>
      <c r="C70" s="17"/>
      <c r="D70" s="103">
        <v>10.430748898519868</v>
      </c>
      <c r="E70" s="103">
        <v>2.8589323337293435</v>
      </c>
      <c r="F70" s="103">
        <v>4.457108027235595</v>
      </c>
      <c r="G70" s="103">
        <v>3.0004975323936063</v>
      </c>
      <c r="H70" s="103">
        <v>3.0004975323936063</v>
      </c>
      <c r="I70" s="103">
        <v>0.15504396016659427</v>
      </c>
      <c r="J70" s="103">
        <v>31.893124046426433</v>
      </c>
      <c r="K70" s="93">
        <v>56921.236030786124</v>
      </c>
      <c r="L70" s="93"/>
      <c r="M70" s="93"/>
      <c r="N70" s="103">
        <v>9.3932271245261898</v>
      </c>
      <c r="O70" s="103">
        <v>2.667278871541463</v>
      </c>
      <c r="P70" s="103">
        <v>4.1283922370161692</v>
      </c>
      <c r="Q70" s="103">
        <v>2.6684158267578719</v>
      </c>
      <c r="R70" s="103">
        <v>2.6684158267578719</v>
      </c>
      <c r="S70" s="103">
        <v>0.14133524897179139</v>
      </c>
      <c r="T70" s="103">
        <v>28.131871071726465</v>
      </c>
      <c r="U70" s="93">
        <v>52991.803244857532</v>
      </c>
      <c r="Y70" s="14">
        <f t="shared" si="1"/>
        <v>0.35451622890140971</v>
      </c>
      <c r="Z70" s="6">
        <f t="shared" si="1"/>
        <v>0.1006676017125461</v>
      </c>
      <c r="AA70" s="249">
        <f t="shared" si="1"/>
        <v>0.15581248360016128</v>
      </c>
      <c r="AB70" s="6">
        <f t="shared" si="1"/>
        <v>0.10071051231934902</v>
      </c>
      <c r="AC70" s="250">
        <f t="shared" si="1"/>
        <v>0.10071051231934902</v>
      </c>
      <c r="AD70" s="6">
        <f t="shared" si="1"/>
        <v>5.3342305910492657E-3</v>
      </c>
      <c r="AE70" s="14">
        <f t="shared" si="1"/>
        <v>1.0617442453029358</v>
      </c>
    </row>
    <row r="71" spans="1:31" x14ac:dyDescent="0.25">
      <c r="R71" s="99"/>
      <c r="T71" s="1" t="s">
        <v>33</v>
      </c>
      <c r="U71" s="49">
        <f>SUM(U50:U60,U62:U64,U66)</f>
        <v>39644.392017768652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7.6064819683364684</v>
      </c>
      <c r="O74" s="99">
        <f t="shared" si="2"/>
        <v>0.20047218582142617</v>
      </c>
      <c r="P74" s="99">
        <f t="shared" si="2"/>
        <v>0.14127477798269455</v>
      </c>
      <c r="Q74" s="99">
        <f>SUM(Q50,Q51,Q54, Q59,Q66)</f>
        <v>1.4811311609627804</v>
      </c>
      <c r="R74" s="99">
        <f t="shared" ref="R74:U74" si="3">SUM(R50,R51,R54, R59,R66)</f>
        <v>1.4811311609627804</v>
      </c>
      <c r="S74" s="99">
        <f t="shared" si="3"/>
        <v>7.2498364759066458E-2</v>
      </c>
      <c r="T74" s="99">
        <f t="shared" si="3"/>
        <v>12.526706957593714</v>
      </c>
      <c r="U74" s="49">
        <f t="shared" si="3"/>
        <v>2933.7483018156963</v>
      </c>
      <c r="Y74" s="14">
        <f t="shared" ref="Y74:AE81" si="4">N74/$U74*2000</f>
        <v>5.1855041304182894</v>
      </c>
      <c r="Z74" s="6">
        <f t="shared" si="4"/>
        <v>0.13666624754233617</v>
      </c>
      <c r="AA74" s="249">
        <f t="shared" si="4"/>
        <v>9.6310087607215392E-2</v>
      </c>
      <c r="AB74" s="6">
        <f t="shared" si="4"/>
        <v>1.0097193137162508</v>
      </c>
      <c r="AC74" s="250">
        <f t="shared" si="4"/>
        <v>1.0097193137162508</v>
      </c>
      <c r="AD74" s="6">
        <f t="shared" si="4"/>
        <v>4.9423711443955319E-2</v>
      </c>
      <c r="AE74" s="14">
        <f t="shared" si="4"/>
        <v>8.5397284762574461</v>
      </c>
    </row>
    <row r="75" spans="1:31" x14ac:dyDescent="0.25">
      <c r="M75" s="1" t="s">
        <v>588</v>
      </c>
      <c r="N75" s="99">
        <f t="shared" ref="N75:U75" si="5">SUM(N52:N53,N55:N56)</f>
        <v>1.6169841616799752</v>
      </c>
      <c r="O75" s="99">
        <f t="shared" si="5"/>
        <v>0.20043312595370996</v>
      </c>
      <c r="P75" s="99">
        <f t="shared" si="5"/>
        <v>4.9270408727090403E-2</v>
      </c>
      <c r="Q75" s="99">
        <f t="shared" si="5"/>
        <v>1.0402460197720165</v>
      </c>
      <c r="R75" s="99">
        <f t="shared" si="5"/>
        <v>1.0402460197720165</v>
      </c>
      <c r="S75" s="99">
        <f t="shared" si="5"/>
        <v>3.4523600351051849E-2</v>
      </c>
      <c r="T75" s="99">
        <f t="shared" si="5"/>
        <v>15.255379947784608</v>
      </c>
      <c r="U75" s="49">
        <f t="shared" si="5"/>
        <v>3955.2146800623805</v>
      </c>
      <c r="Y75" s="14">
        <f t="shared" si="4"/>
        <v>0.81764672336545463</v>
      </c>
      <c r="Z75" s="6">
        <f t="shared" si="4"/>
        <v>0.10135132586560322</v>
      </c>
      <c r="AA75" s="249">
        <f t="shared" si="4"/>
        <v>2.4914151424171659E-2</v>
      </c>
      <c r="AB75" s="6">
        <f t="shared" si="4"/>
        <v>0.52601241849942271</v>
      </c>
      <c r="AC75" s="250">
        <f t="shared" si="4"/>
        <v>0.52601241849942271</v>
      </c>
      <c r="AD75" s="6">
        <f t="shared" si="4"/>
        <v>1.7457257389885773E-2</v>
      </c>
      <c r="AE75" s="14">
        <f t="shared" si="4"/>
        <v>7.7140591253792596</v>
      </c>
    </row>
    <row r="76" spans="1:31" x14ac:dyDescent="0.25">
      <c r="M76" s="1" t="s">
        <v>589</v>
      </c>
      <c r="N76" s="99">
        <f t="shared" ref="N76:V76" si="6">SUM(N60,N62:N63)</f>
        <v>8.4627906377863257E-2</v>
      </c>
      <c r="O76" s="99">
        <f t="shared" si="6"/>
        <v>1.3313307648807615</v>
      </c>
      <c r="P76" s="99">
        <f t="shared" si="6"/>
        <v>3.4305255756513344</v>
      </c>
      <c r="Q76" s="99">
        <f t="shared" si="6"/>
        <v>5.4150275953500866E-2</v>
      </c>
      <c r="R76" s="99">
        <f t="shared" si="6"/>
        <v>5.4150275953500866E-2</v>
      </c>
      <c r="S76" s="99">
        <f t="shared" si="6"/>
        <v>2.907548326137409E-3</v>
      </c>
      <c r="T76" s="99">
        <f t="shared" si="6"/>
        <v>5.3156017083934921E-2</v>
      </c>
      <c r="U76" s="49">
        <f t="shared" si="6"/>
        <v>31814.937945704958</v>
      </c>
      <c r="V76" s="100">
        <f t="shared" si="6"/>
        <v>237.38543163496013</v>
      </c>
      <c r="W76" t="s">
        <v>238</v>
      </c>
      <c r="Y76" s="14">
        <f t="shared" si="4"/>
        <v>5.3200107774711587E-3</v>
      </c>
      <c r="Z76" s="6">
        <f t="shared" si="4"/>
        <v>8.3692180519276627E-2</v>
      </c>
      <c r="AA76" s="249">
        <f t="shared" si="4"/>
        <v>0.21565502227323741</v>
      </c>
      <c r="AB76" s="6">
        <f t="shared" si="4"/>
        <v>3.4040786781299502E-3</v>
      </c>
      <c r="AC76" s="250">
        <f t="shared" si="4"/>
        <v>3.4040786781299502E-3</v>
      </c>
      <c r="AD76" s="6">
        <f t="shared" si="4"/>
        <v>1.8277881485102382E-4</v>
      </c>
      <c r="AE76" s="14">
        <f t="shared" si="4"/>
        <v>3.3415760341667443E-3</v>
      </c>
    </row>
    <row r="77" spans="1:31" x14ac:dyDescent="0.25">
      <c r="M77" s="1" t="s">
        <v>590</v>
      </c>
      <c r="N77" s="99">
        <f t="shared" ref="N77:U77" si="7">SUM(N64,N66)</f>
        <v>0.11803957258041022</v>
      </c>
      <c r="O77" s="99">
        <f t="shared" si="7"/>
        <v>6.6515399130689476E-2</v>
      </c>
      <c r="P77" s="99">
        <f t="shared" si="7"/>
        <v>0.10924328914434403</v>
      </c>
      <c r="Q77" s="99">
        <f t="shared" si="7"/>
        <v>9.3800196906598618E-2</v>
      </c>
      <c r="R77" s="99">
        <f t="shared" si="7"/>
        <v>9.3800196906598618E-2</v>
      </c>
      <c r="S77" s="99">
        <f t="shared" si="7"/>
        <v>1.7224237726470339E-2</v>
      </c>
      <c r="T77" s="99">
        <f t="shared" si="7"/>
        <v>1.5375421632001711</v>
      </c>
      <c r="U77" s="49">
        <f t="shared" si="7"/>
        <v>648.60341516443407</v>
      </c>
      <c r="Y77" s="14">
        <f t="shared" si="4"/>
        <v>0.36398073096943162</v>
      </c>
      <c r="Z77" s="6">
        <f t="shared" si="4"/>
        <v>0.20510345019946119</v>
      </c>
      <c r="AA77" s="249">
        <f t="shared" si="4"/>
        <v>0.33685696556700573</v>
      </c>
      <c r="AB77" s="6">
        <f t="shared" si="4"/>
        <v>0.28923744375542143</v>
      </c>
      <c r="AC77" s="250">
        <f t="shared" si="4"/>
        <v>0.28923744375542143</v>
      </c>
      <c r="AD77" s="6">
        <f t="shared" si="4"/>
        <v>5.3111770070170372E-2</v>
      </c>
      <c r="AE77" s="14">
        <f t="shared" si="4"/>
        <v>4.7410856225922684</v>
      </c>
    </row>
    <row r="78" spans="1:31" x14ac:dyDescent="0.25">
      <c r="M78" s="1" t="s">
        <v>591</v>
      </c>
      <c r="N78" s="99">
        <f t="shared" ref="N78:V78" si="8">N61</f>
        <v>2.7042997195561563E-2</v>
      </c>
      <c r="O78" s="99">
        <f t="shared" si="8"/>
        <v>0.68271241166915586</v>
      </c>
      <c r="P78" s="99">
        <f t="shared" si="8"/>
        <v>0.48257147534161138</v>
      </c>
      <c r="Q78" s="99">
        <f t="shared" si="8"/>
        <v>1.731802816901612E-2</v>
      </c>
      <c r="R78" s="99">
        <f t="shared" si="8"/>
        <v>1.731802816901612E-2</v>
      </c>
      <c r="S78" s="99">
        <f t="shared" si="8"/>
        <v>9.2911221126771486E-4</v>
      </c>
      <c r="T78" s="99">
        <f t="shared" si="8"/>
        <v>1.698609929577664E-2</v>
      </c>
      <c r="U78" s="49">
        <f t="shared" si="8"/>
        <v>10506.185446242012</v>
      </c>
      <c r="V78" s="100">
        <f t="shared" si="8"/>
        <v>78.281303216614333</v>
      </c>
      <c r="W78" t="s">
        <v>238</v>
      </c>
      <c r="Y78" s="14">
        <f t="shared" si="4"/>
        <v>5.1480144404332118E-3</v>
      </c>
      <c r="Z78" s="6">
        <f t="shared" si="4"/>
        <v>0.12996389891696747</v>
      </c>
      <c r="AA78" s="249">
        <f t="shared" si="4"/>
        <v>9.1864259927797814E-2</v>
      </c>
      <c r="AB78" s="6">
        <f t="shared" si="4"/>
        <v>3.2967299611507722E-3</v>
      </c>
      <c r="AC78" s="250">
        <f t="shared" si="4"/>
        <v>3.2967299611507722E-3</v>
      </c>
      <c r="AD78" s="6">
        <f t="shared" si="4"/>
        <v>1.7686956241573894E-4</v>
      </c>
      <c r="AE78" s="14">
        <f t="shared" si="4"/>
        <v>3.2335426368953818E-3</v>
      </c>
    </row>
    <row r="79" spans="1:31" x14ac:dyDescent="0.25">
      <c r="M79" s="1" t="s">
        <v>592</v>
      </c>
      <c r="N79" s="99">
        <f t="shared" ref="N79:V79" si="9">SUM(N50:N59,N68)</f>
        <v>9.1554384957702108</v>
      </c>
      <c r="O79" s="99">
        <f t="shared" si="9"/>
        <v>0.43021038611844103</v>
      </c>
      <c r="P79" s="99">
        <f t="shared" si="9"/>
        <v>8.814776478804566E-2</v>
      </c>
      <c r="Q79" s="99">
        <f t="shared" si="9"/>
        <v>2.4904392447238823</v>
      </c>
      <c r="R79" s="99">
        <f t="shared" si="9"/>
        <v>2.4904392447238823</v>
      </c>
      <c r="S79" s="99">
        <f t="shared" si="9"/>
        <v>9.3691086390720019E-2</v>
      </c>
      <c r="T79" s="99">
        <f t="shared" si="9"/>
        <v>26.461188873196978</v>
      </c>
      <c r="U79" s="49">
        <f t="shared" si="9"/>
        <v>7188.7456812464579</v>
      </c>
      <c r="V79" s="100">
        <f t="shared" si="9"/>
        <v>639.61688589638436</v>
      </c>
      <c r="W79" t="s">
        <v>743</v>
      </c>
      <c r="Y79" s="14">
        <f t="shared" si="4"/>
        <v>2.5471588234521456</v>
      </c>
      <c r="Z79" s="6">
        <f t="shared" si="4"/>
        <v>0.11968997240805068</v>
      </c>
      <c r="AA79" s="249">
        <f t="shared" si="4"/>
        <v>2.4523823403017283E-2</v>
      </c>
      <c r="AB79" s="6">
        <f t="shared" si="4"/>
        <v>0.69287170673481513</v>
      </c>
      <c r="AC79" s="250">
        <f t="shared" si="4"/>
        <v>0.69287170673481513</v>
      </c>
      <c r="AD79" s="6">
        <f t="shared" si="4"/>
        <v>2.6066045606575109E-2</v>
      </c>
      <c r="AE79" s="14">
        <f t="shared" si="4"/>
        <v>7.3618375295226377</v>
      </c>
    </row>
    <row r="80" spans="1:31" x14ac:dyDescent="0.25">
      <c r="M80" s="1" t="s">
        <v>593</v>
      </c>
      <c r="N80" s="99">
        <f t="shared" ref="N80:U80" si="10">SUM(N65,N67,N69)</f>
        <v>8.0781526021460031E-3</v>
      </c>
      <c r="O80" s="99">
        <f t="shared" si="10"/>
        <v>0.15650990974241466</v>
      </c>
      <c r="P80" s="99">
        <f t="shared" si="10"/>
        <v>1.7904132090832463E-2</v>
      </c>
      <c r="Q80" s="99">
        <f t="shared" si="10"/>
        <v>1.2708081004873811E-2</v>
      </c>
      <c r="R80" s="99">
        <f t="shared" si="10"/>
        <v>1.2708081004873811E-2</v>
      </c>
      <c r="S80" s="99">
        <f t="shared" si="10"/>
        <v>2.6583264317195914E-2</v>
      </c>
      <c r="T80" s="99">
        <f t="shared" si="10"/>
        <v>6.2997918949602175E-2</v>
      </c>
      <c r="U80" s="49">
        <f t="shared" si="10"/>
        <v>2833.3307564996635</v>
      </c>
      <c r="Y80" s="14">
        <f t="shared" si="4"/>
        <v>5.7022305522323596E-3</v>
      </c>
      <c r="Z80" s="6">
        <f t="shared" si="4"/>
        <v>0.11047768382380403</v>
      </c>
      <c r="AA80" s="249">
        <f t="shared" si="4"/>
        <v>1.263822238173949E-2</v>
      </c>
      <c r="AB80" s="6">
        <f t="shared" si="4"/>
        <v>8.9704182794200504E-3</v>
      </c>
      <c r="AC80" s="250">
        <f t="shared" si="4"/>
        <v>8.9704182794200504E-3</v>
      </c>
      <c r="AD80" s="6">
        <f t="shared" si="4"/>
        <v>1.8764674231001009E-2</v>
      </c>
      <c r="AE80" s="14">
        <f t="shared" si="4"/>
        <v>4.4469159701940826E-2</v>
      </c>
    </row>
    <row r="81" spans="13:31" x14ac:dyDescent="0.25">
      <c r="M81" s="1" t="s">
        <v>594</v>
      </c>
      <c r="N81" s="99">
        <f>SUM(N76:N80)</f>
        <v>9.3932271245261916</v>
      </c>
      <c r="O81" s="99">
        <f t="shared" ref="O81:U81" si="11">SUM(O76:O80)</f>
        <v>2.6672788715414626</v>
      </c>
      <c r="P81" s="99">
        <f t="shared" si="11"/>
        <v>4.1283922370161674</v>
      </c>
      <c r="Q81" s="99">
        <f t="shared" si="11"/>
        <v>2.6684158267578719</v>
      </c>
      <c r="R81" s="99">
        <f t="shared" si="11"/>
        <v>2.6684158267578719</v>
      </c>
      <c r="S81" s="99">
        <f t="shared" si="11"/>
        <v>0.14133524897179139</v>
      </c>
      <c r="T81" s="99">
        <f t="shared" si="11"/>
        <v>28.131871071726462</v>
      </c>
      <c r="U81" s="49">
        <f t="shared" si="11"/>
        <v>52991.803244857532</v>
      </c>
      <c r="Y81" s="14">
        <f t="shared" si="4"/>
        <v>0.35451622890140977</v>
      </c>
      <c r="Z81" s="6">
        <f t="shared" si="4"/>
        <v>0.10066760171254609</v>
      </c>
      <c r="AA81" s="249">
        <f t="shared" si="4"/>
        <v>0.15581248360016123</v>
      </c>
      <c r="AB81" s="6">
        <f t="shared" si="4"/>
        <v>0.10071051231934902</v>
      </c>
      <c r="AC81" s="250">
        <f t="shared" si="4"/>
        <v>0.10071051231934902</v>
      </c>
      <c r="AD81" s="6">
        <f t="shared" si="4"/>
        <v>5.3342305910492657E-3</v>
      </c>
      <c r="AE81" s="14">
        <f t="shared" si="4"/>
        <v>1.0617442453029358</v>
      </c>
    </row>
    <row r="83" spans="13:31" x14ac:dyDescent="0.25">
      <c r="V83" s="42">
        <f>V79/Lookup!B37</f>
        <v>380.10089378877484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71873.82981560289</v>
      </c>
      <c r="W84" t="s">
        <v>746</v>
      </c>
    </row>
  </sheetData>
  <sheetProtection algorithmName="SHA-512" hashValue="D8Q3M9De/ourlpYFercmtOUD/h+R91rOjBEGB2YYHheUo+pr+GQ3otrfOLhkerMvKn88lxqFZpA8HDW9basuHg==" saltValue="IbHt8V2h/wvWvq8Q6bx0Fg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40166-7C79-462F-A46C-62E975E91F06}">
  <sheetPr codeName="Sheet23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1541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5.8979061466357576</v>
      </c>
      <c r="E6" s="99">
        <v>6.6963126555689853E-2</v>
      </c>
      <c r="F6" s="99">
        <v>1.0302019470106128E-2</v>
      </c>
      <c r="G6" s="99">
        <v>0.89112468416418</v>
      </c>
      <c r="H6" s="99">
        <v>0.89112468416418</v>
      </c>
      <c r="I6" s="99">
        <v>4.6359087615477572E-2</v>
      </c>
      <c r="J6" s="99">
        <v>6.5057252953720193</v>
      </c>
      <c r="K6" s="49">
        <v>828.79819918018961</v>
      </c>
      <c r="L6" s="100">
        <v>73.586461188369327</v>
      </c>
      <c r="M6" s="49" t="s">
        <v>237</v>
      </c>
      <c r="N6" s="99">
        <v>5.4344900196692842</v>
      </c>
      <c r="O6" s="99">
        <v>6.1701633411092319E-2</v>
      </c>
      <c r="P6" s="99">
        <v>9.4925589863218956E-3</v>
      </c>
      <c r="Q6" s="99">
        <v>0.82110635231684426</v>
      </c>
      <c r="R6" s="99">
        <v>0.82110635231684426</v>
      </c>
      <c r="S6" s="99">
        <v>4.2716515438448531E-2</v>
      </c>
      <c r="T6" s="99">
        <v>5.9945509998622768</v>
      </c>
      <c r="U6" s="49">
        <v>763.6770456806629</v>
      </c>
      <c r="V6" s="100">
        <v>67.804552830852558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0.12165264909865252</v>
      </c>
      <c r="E7" s="99">
        <v>6.4269324052118292E-3</v>
      </c>
      <c r="F7" s="99">
        <v>9.1813320074454719E-4</v>
      </c>
      <c r="G7" s="99">
        <v>7.0237189856957843E-2</v>
      </c>
      <c r="H7" s="99">
        <v>7.0237189856957843E-2</v>
      </c>
      <c r="I7" s="99">
        <v>3.9020661031643243E-3</v>
      </c>
      <c r="J7" s="99">
        <v>0.52976285682960356</v>
      </c>
      <c r="K7" s="49">
        <v>73.863881309164839</v>
      </c>
      <c r="L7" s="100">
        <v>6.558148461900152</v>
      </c>
      <c r="M7" s="49" t="s">
        <v>237</v>
      </c>
      <c r="N7" s="99">
        <v>0.10571992666376755</v>
      </c>
      <c r="O7" s="99">
        <v>5.585203672802813E-3</v>
      </c>
      <c r="P7" s="99">
        <v>7.9788623897183043E-4</v>
      </c>
      <c r="Q7" s="99">
        <v>6.1038297281345008E-2</v>
      </c>
      <c r="R7" s="99">
        <v>6.1038297281345008E-2</v>
      </c>
      <c r="S7" s="99">
        <v>3.3910165156302795E-3</v>
      </c>
      <c r="T7" s="99">
        <v>0.4603803598867463</v>
      </c>
      <c r="U7" s="49">
        <v>64.190004681062334</v>
      </c>
      <c r="V7" s="100">
        <v>5.6992344973921636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5.7991578392221646E-2</v>
      </c>
      <c r="E8" s="99">
        <v>9.6652630653702772E-3</v>
      </c>
      <c r="F8" s="99">
        <v>1.9330526130740551E-3</v>
      </c>
      <c r="G8" s="99">
        <v>5.7991578392221646E-2</v>
      </c>
      <c r="H8" s="99">
        <v>5.7991578392221646E-2</v>
      </c>
      <c r="I8" s="99">
        <v>4.3493683794166259E-3</v>
      </c>
      <c r="J8" s="99">
        <v>0.68043451980206737</v>
      </c>
      <c r="K8" s="49">
        <v>155.51422022500142</v>
      </c>
      <c r="L8" s="100">
        <v>13.807632717042853</v>
      </c>
      <c r="M8" s="49" t="s">
        <v>237</v>
      </c>
      <c r="N8" s="99">
        <v>5.0396480965819827E-2</v>
      </c>
      <c r="O8" s="99">
        <v>8.3994134943033063E-3</v>
      </c>
      <c r="P8" s="99">
        <v>1.6798826988606611E-3</v>
      </c>
      <c r="Q8" s="99">
        <v>5.0396480965819827E-2</v>
      </c>
      <c r="R8" s="99">
        <v>5.0396480965819827E-2</v>
      </c>
      <c r="S8" s="99">
        <v>3.7797360724364875E-3</v>
      </c>
      <c r="T8" s="99">
        <v>0.59131870999895264</v>
      </c>
      <c r="U8" s="49">
        <v>135.14668261788191</v>
      </c>
      <c r="V8" s="100">
        <v>11.999261249644066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4.3643970274823182E-2</v>
      </c>
      <c r="E9" s="99">
        <v>5.8191960366430892E-3</v>
      </c>
      <c r="F9" s="99">
        <v>1.1638392073286181E-3</v>
      </c>
      <c r="G9" s="99">
        <v>3.7824774238180085E-2</v>
      </c>
      <c r="H9" s="99">
        <v>3.7824774238180085E-2</v>
      </c>
      <c r="I9" s="99">
        <v>2.6186382164893915E-3</v>
      </c>
      <c r="J9" s="99">
        <v>0.31132698796040542</v>
      </c>
      <c r="K9" s="49">
        <v>93.63094701657765</v>
      </c>
      <c r="L9" s="100">
        <v>8.3132058629964547</v>
      </c>
      <c r="M9" s="49" t="s">
        <v>237</v>
      </c>
      <c r="N9" s="99">
        <v>3.7927964339093595E-2</v>
      </c>
      <c r="O9" s="99">
        <v>5.057061911879145E-3</v>
      </c>
      <c r="P9" s="99">
        <v>1.0114123823758289E-3</v>
      </c>
      <c r="Q9" s="99">
        <v>3.2870902427214438E-2</v>
      </c>
      <c r="R9" s="99">
        <v>3.2870902427214438E-2</v>
      </c>
      <c r="S9" s="99">
        <v>2.2756778603456149E-3</v>
      </c>
      <c r="T9" s="99">
        <v>0.27055281228553429</v>
      </c>
      <c r="U9" s="49">
        <v>81.368198106598712</v>
      </c>
      <c r="V9" s="100">
        <v>7.2244338342692345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2.4688457063234623</v>
      </c>
      <c r="E10" s="99">
        <v>6.7643700097059889E-2</v>
      </c>
      <c r="F10" s="99">
        <v>1.8632797783573303E-2</v>
      </c>
      <c r="G10" s="99">
        <v>0.56559994554964776</v>
      </c>
      <c r="H10" s="99">
        <v>0.56559994554964776</v>
      </c>
      <c r="I10" s="99">
        <v>1.8494381494135959E-2</v>
      </c>
      <c r="J10" s="99">
        <v>5.6443701601929304</v>
      </c>
      <c r="K10" s="49">
        <v>1499.0099070891285</v>
      </c>
      <c r="L10" s="100">
        <v>133.09251209535196</v>
      </c>
      <c r="M10" s="49" t="s">
        <v>237</v>
      </c>
      <c r="N10" s="99">
        <v>2.1455035213003422</v>
      </c>
      <c r="O10" s="99">
        <v>5.8784474210075134E-2</v>
      </c>
      <c r="P10" s="99">
        <v>1.6192479406040322E-2</v>
      </c>
      <c r="Q10" s="99">
        <v>0.49152390192547007</v>
      </c>
      <c r="R10" s="99">
        <v>0.49152390192547007</v>
      </c>
      <c r="S10" s="99">
        <v>1.6072191355785696E-2</v>
      </c>
      <c r="T10" s="99">
        <v>4.9051328008060953</v>
      </c>
      <c r="U10" s="49">
        <v>1302.6861200302387</v>
      </c>
      <c r="V10" s="100">
        <v>115.66152256007923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1.1768938890961052</v>
      </c>
      <c r="E11" s="99">
        <v>0.15778612803529804</v>
      </c>
      <c r="F11" s="99">
        <v>3.9229796303203508E-2</v>
      </c>
      <c r="G11" s="99">
        <v>0.77725262415262586</v>
      </c>
      <c r="H11" s="99">
        <v>0.77725262415262586</v>
      </c>
      <c r="I11" s="99">
        <v>2.4493293616097433E-2</v>
      </c>
      <c r="J11" s="99">
        <v>12.126023060201302</v>
      </c>
      <c r="K11" s="49">
        <v>3156.03990311288</v>
      </c>
      <c r="L11" s="100">
        <v>280.21514533825484</v>
      </c>
      <c r="M11" s="49" t="s">
        <v>237</v>
      </c>
      <c r="N11" s="99">
        <v>1.0227573058880026</v>
      </c>
      <c r="O11" s="99">
        <v>0.13712104099701283</v>
      </c>
      <c r="P11" s="99">
        <v>3.4091910196266763E-2</v>
      </c>
      <c r="Q11" s="99">
        <v>0.67545664671881511</v>
      </c>
      <c r="R11" s="99">
        <v>0.67545664671881511</v>
      </c>
      <c r="S11" s="99">
        <v>2.1285432121976113E-2</v>
      </c>
      <c r="T11" s="99">
        <v>10.537890281436015</v>
      </c>
      <c r="U11" s="49">
        <v>2742.6966003382609</v>
      </c>
      <c r="V11" s="100">
        <v>243.51565571920952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0.88572036382477415</v>
      </c>
      <c r="E12" s="99">
        <v>9.4998801862936133E-2</v>
      </c>
      <c r="F12" s="99">
        <v>2.3619209701993975E-2</v>
      </c>
      <c r="G12" s="99">
        <v>0.51924660381929499</v>
      </c>
      <c r="H12" s="99">
        <v>0.51924660381929499</v>
      </c>
      <c r="I12" s="99">
        <v>1.4746756107012312E-2</v>
      </c>
      <c r="J12" s="99">
        <v>7.3007537254717079</v>
      </c>
      <c r="K12" s="49">
        <v>1900.1671006228655</v>
      </c>
      <c r="L12" s="100">
        <v>168.71003428785318</v>
      </c>
      <c r="M12" s="49" t="s">
        <v>237</v>
      </c>
      <c r="N12" s="99">
        <v>0.76971847799406279</v>
      </c>
      <c r="O12" s="99">
        <v>8.2556906409419373E-2</v>
      </c>
      <c r="P12" s="99">
        <v>2.0525826079841682E-2</v>
      </c>
      <c r="Q12" s="99">
        <v>0.45124140972606475</v>
      </c>
      <c r="R12" s="99">
        <v>0.45124140972606475</v>
      </c>
      <c r="S12" s="99">
        <v>1.2815388614328798E-2</v>
      </c>
      <c r="T12" s="99">
        <v>6.3445815127395031</v>
      </c>
      <c r="U12" s="49">
        <v>1651.3041681800769</v>
      </c>
      <c r="V12" s="100">
        <v>146.61425447373267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1.4841072840367031E-2</v>
      </c>
      <c r="E13" s="99">
        <v>2.5917136343635846E-2</v>
      </c>
      <c r="F13" s="99">
        <v>2.0712996078829844E-3</v>
      </c>
      <c r="G13" s="99">
        <v>1.9159521372917609E-2</v>
      </c>
      <c r="H13" s="99">
        <v>1.9159521372917609E-2</v>
      </c>
      <c r="I13" s="99">
        <v>4.6526567442071553E-4</v>
      </c>
      <c r="J13" s="99">
        <v>6.4287961579668138E-2</v>
      </c>
      <c r="K13" s="49">
        <v>198.9942276154442</v>
      </c>
      <c r="L13" s="100">
        <v>17.668089797513925</v>
      </c>
      <c r="M13" s="49" t="s">
        <v>237</v>
      </c>
      <c r="N13" s="99">
        <v>1.2897352782041585E-2</v>
      </c>
      <c r="O13" s="99">
        <v>2.2522795630715086E-2</v>
      </c>
      <c r="P13" s="99">
        <v>1.8000236268303767E-3</v>
      </c>
      <c r="Q13" s="99">
        <v>1.6650218548180981E-2</v>
      </c>
      <c r="R13" s="99">
        <v>1.6650218548180981E-2</v>
      </c>
      <c r="S13" s="99">
        <v>4.0433030717677338E-4</v>
      </c>
      <c r="T13" s="99">
        <v>5.5868233317747831E-2</v>
      </c>
      <c r="U13" s="49">
        <v>172.93215812306431</v>
      </c>
      <c r="V13" s="100">
        <v>15.354118233523288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5.0059399930273016E-2</v>
      </c>
      <c r="E14" s="99">
        <v>8.7419306355307591E-2</v>
      </c>
      <c r="F14" s="99">
        <v>6.9865579504741352E-3</v>
      </c>
      <c r="G14" s="99">
        <v>6.462566104188576E-2</v>
      </c>
      <c r="H14" s="99">
        <v>6.462566104188576E-2</v>
      </c>
      <c r="I14" s="99">
        <v>1.5693555796252529E-3</v>
      </c>
      <c r="J14" s="99">
        <v>0.216845292387841</v>
      </c>
      <c r="K14" s="49">
        <v>671.21371420820742</v>
      </c>
      <c r="L14" s="100">
        <v>59.5950159864489</v>
      </c>
      <c r="M14" s="49" t="s">
        <v>237</v>
      </c>
      <c r="N14" s="99">
        <v>4.3503171765449815E-2</v>
      </c>
      <c r="O14" s="99">
        <v>7.5970089639280355E-2</v>
      </c>
      <c r="P14" s="99">
        <v>6.0715356355069208E-3</v>
      </c>
      <c r="Q14" s="99">
        <v>5.6161704628439023E-2</v>
      </c>
      <c r="R14" s="99">
        <v>5.6161704628439023E-2</v>
      </c>
      <c r="S14" s="99">
        <v>1.3638186921257421E-3</v>
      </c>
      <c r="T14" s="99">
        <v>0.18844528728704613</v>
      </c>
      <c r="U14" s="49">
        <v>583.30554383786694</v>
      </c>
      <c r="V14" s="100">
        <v>51.789917986119853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1.2690054606292667</v>
      </c>
      <c r="E15" s="99">
        <v>4.5078582165098094E-2</v>
      </c>
      <c r="F15" s="99">
        <v>1.1180664851359177E-2</v>
      </c>
      <c r="G15" s="99">
        <v>0.27588715607666398</v>
      </c>
      <c r="H15" s="99">
        <v>0.27588715607666398</v>
      </c>
      <c r="I15" s="99">
        <v>6.813457177887644E-3</v>
      </c>
      <c r="J15" s="99">
        <v>1.6930508045365575</v>
      </c>
      <c r="K15" s="49">
        <v>899.4852826023897</v>
      </c>
      <c r="L15" s="100">
        <v>79.862551466934008</v>
      </c>
      <c r="M15" s="49" t="s">
        <v>237</v>
      </c>
      <c r="N15" s="99">
        <v>1.1601648623630698</v>
      </c>
      <c r="O15" s="99">
        <v>4.1212263221593902E-2</v>
      </c>
      <c r="P15" s="99">
        <v>1.0221716849013828E-2</v>
      </c>
      <c r="Q15" s="99">
        <v>0.25222474952842594</v>
      </c>
      <c r="R15" s="99">
        <v>0.25222474952842594</v>
      </c>
      <c r="S15" s="99">
        <v>6.2290776944970263E-3</v>
      </c>
      <c r="T15" s="99">
        <v>1.547840505465466</v>
      </c>
      <c r="U15" s="49">
        <v>822.33784760117476</v>
      </c>
      <c r="V15" s="100">
        <v>73.012866299767168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0.10060427432795327</v>
      </c>
      <c r="E16" s="99">
        <v>1.5762854129365484</v>
      </c>
      <c r="F16" s="99">
        <v>4.0781528324817868</v>
      </c>
      <c r="G16" s="99">
        <v>6.44258343162077E-2</v>
      </c>
      <c r="H16" s="99">
        <v>6.44258343162077E-2</v>
      </c>
      <c r="I16" s="99">
        <v>3.4564460110645431E-3</v>
      </c>
      <c r="J16" s="99">
        <v>6.3191005825147056E-2</v>
      </c>
      <c r="K16" s="49">
        <v>37874.238860852653</v>
      </c>
      <c r="L16" s="100">
        <v>282.19992798864871</v>
      </c>
      <c r="M16" s="49" t="s">
        <v>238</v>
      </c>
      <c r="N16" s="99">
        <v>9.2852626400251909E-2</v>
      </c>
      <c r="O16" s="99">
        <v>1.4548312338146536</v>
      </c>
      <c r="P16" s="99">
        <v>3.7639275655740847</v>
      </c>
      <c r="Q16" s="99">
        <v>5.9461767049645252E-2</v>
      </c>
      <c r="R16" s="99">
        <v>5.9461767049645252E-2</v>
      </c>
      <c r="S16" s="99">
        <v>3.1901238022134675E-3</v>
      </c>
      <c r="T16" s="99">
        <v>5.8322083181193717E-2</v>
      </c>
      <c r="U16" s="49">
        <v>34955.995405093054</v>
      </c>
      <c r="V16" s="100">
        <v>260.45617503576966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3.2129713399464854E-2</v>
      </c>
      <c r="E17" s="99">
        <v>0.81112880952365685</v>
      </c>
      <c r="F17" s="99">
        <v>0.57334189274063296</v>
      </c>
      <c r="G17" s="99">
        <v>2.057550343590132E-2</v>
      </c>
      <c r="H17" s="99">
        <v>2.057550343590132E-2</v>
      </c>
      <c r="I17" s="99">
        <v>1.103875759336106E-3</v>
      </c>
      <c r="J17" s="99">
        <v>2.0181139620046543E-2</v>
      </c>
      <c r="K17" s="49">
        <v>12482.37112433628</v>
      </c>
      <c r="L17" s="100">
        <v>93.005809182246452</v>
      </c>
      <c r="M17" s="49" t="s">
        <v>238</v>
      </c>
      <c r="N17" s="99">
        <v>3.1594610082262643E-2</v>
      </c>
      <c r="O17" s="99">
        <v>0.79761988987479349</v>
      </c>
      <c r="P17" s="99">
        <v>0.56379318793638733</v>
      </c>
      <c r="Q17" s="99">
        <v>2.0232829350864522E-2</v>
      </c>
      <c r="R17" s="99">
        <v>2.0232829350864522E-2</v>
      </c>
      <c r="S17" s="99">
        <v>1.0854912946738819E-3</v>
      </c>
      <c r="T17" s="99">
        <v>1.984503345497295E-2</v>
      </c>
      <c r="U17" s="49">
        <v>12274.483860850985</v>
      </c>
      <c r="V17" s="100">
        <v>91.456846812313671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6.7430969376823676E-4</v>
      </c>
      <c r="E18" s="99">
        <v>1.7023246125986352E-2</v>
      </c>
      <c r="F18" s="99">
        <v>2.7334206284779918E-2</v>
      </c>
      <c r="G18" s="99">
        <v>3.7829435835525226E-4</v>
      </c>
      <c r="H18" s="99">
        <v>3.7829435835525226E-4</v>
      </c>
      <c r="I18" s="99">
        <v>2.3167157328222783E-5</v>
      </c>
      <c r="J18" s="99">
        <v>4.2354371194964596E-4</v>
      </c>
      <c r="K18" s="49">
        <v>259.12217811438893</v>
      </c>
      <c r="L18" s="100">
        <v>1.8914717917762611</v>
      </c>
      <c r="M18" s="49" t="s">
        <v>238</v>
      </c>
      <c r="N18" s="99">
        <v>6.3613974535155779E-4</v>
      </c>
      <c r="O18" s="99">
        <v>1.6059628914906091E-2</v>
      </c>
      <c r="P18" s="99">
        <v>2.5786927262183634E-2</v>
      </c>
      <c r="Q18" s="99">
        <v>3.5688064255346851E-4</v>
      </c>
      <c r="R18" s="99">
        <v>3.5688064255346851E-4</v>
      </c>
      <c r="S18" s="99">
        <v>2.1855758117516352E-5</v>
      </c>
      <c r="T18" s="99">
        <v>3.9956861299031914E-4</v>
      </c>
      <c r="U18" s="49">
        <v>244.45431813306223</v>
      </c>
      <c r="V18" s="100">
        <v>1.7844032127673428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2.8814567737648644E-3</v>
      </c>
      <c r="E19" s="99">
        <v>4.5147170046539002E-2</v>
      </c>
      <c r="F19" s="99">
        <v>0.11680439208076422</v>
      </c>
      <c r="G19" s="99">
        <v>1.8452521817386516E-3</v>
      </c>
      <c r="H19" s="99">
        <v>1.8452521817386516E-3</v>
      </c>
      <c r="I19" s="99">
        <v>9.8997779550278646E-5</v>
      </c>
      <c r="J19" s="99">
        <v>1.8098848482553274E-3</v>
      </c>
      <c r="K19" s="49">
        <v>1010.3284620493916</v>
      </c>
      <c r="L19" s="100">
        <v>8.0826276963951322</v>
      </c>
      <c r="M19" s="49" t="s">
        <v>238</v>
      </c>
      <c r="N19" s="99">
        <v>2.3806803989664905E-3</v>
      </c>
      <c r="O19" s="99">
        <v>3.730091798606771E-2</v>
      </c>
      <c r="P19" s="99">
        <v>9.6504632403888277E-2</v>
      </c>
      <c r="Q19" s="99">
        <v>1.5245606806294704E-3</v>
      </c>
      <c r="R19" s="99">
        <v>1.5245606806294704E-3</v>
      </c>
      <c r="S19" s="99">
        <v>8.1792680515771127E-5</v>
      </c>
      <c r="T19" s="99">
        <v>1.4953399342507387E-3</v>
      </c>
      <c r="U19" s="49">
        <v>834.74067284940031</v>
      </c>
      <c r="V19" s="100">
        <v>6.6779253827952045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6.6969683938961316E-4</v>
      </c>
      <c r="E20" s="99">
        <v>1.1445727800477036E-2</v>
      </c>
      <c r="F20" s="99">
        <v>7.3057837024321465E-5</v>
      </c>
      <c r="G20" s="99">
        <v>6.0311679724811488E-6</v>
      </c>
      <c r="H20" s="99">
        <v>6.0311679724811488E-6</v>
      </c>
      <c r="I20" s="99">
        <v>2.4352612341440498E-3</v>
      </c>
      <c r="J20" s="99">
        <v>4.8705224682880997E-3</v>
      </c>
      <c r="K20" s="49">
        <v>300.62303278688512</v>
      </c>
      <c r="L20" s="100">
        <v>296.18032786885277</v>
      </c>
      <c r="M20" s="49" t="s">
        <v>239</v>
      </c>
      <c r="N20" s="99">
        <v>6.6969683938961316E-4</v>
      </c>
      <c r="O20" s="99">
        <v>1.1445727800477036E-2</v>
      </c>
      <c r="P20" s="99">
        <v>7.3057837024321465E-5</v>
      </c>
      <c r="Q20" s="99">
        <v>6.0311679724811488E-6</v>
      </c>
      <c r="R20" s="99">
        <v>6.0311679724811488E-6</v>
      </c>
      <c r="S20" s="99">
        <v>2.4352612341440498E-3</v>
      </c>
      <c r="T20" s="99">
        <v>4.8705224682880997E-3</v>
      </c>
      <c r="U20" s="49">
        <v>300.62303278688512</v>
      </c>
      <c r="V20" s="100">
        <v>296.18032786885277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5.2612909836065574E-3</v>
      </c>
      <c r="E21" s="99">
        <v>9.5659836065573711E-2</v>
      </c>
      <c r="F21" s="99">
        <v>5.7395901639344278E-4</v>
      </c>
      <c r="G21" s="99">
        <v>7.2701475409835984E-3</v>
      </c>
      <c r="H21" s="99">
        <v>7.2701475409835984E-3</v>
      </c>
      <c r="I21" s="99">
        <v>1.9131967213114744E-2</v>
      </c>
      <c r="J21" s="99">
        <v>3.8263934426229489E-2</v>
      </c>
      <c r="K21" s="49">
        <v>1941.8946721311484</v>
      </c>
      <c r="L21" s="100">
        <v>1913.196721311474</v>
      </c>
      <c r="M21" s="49" t="s">
        <v>239</v>
      </c>
      <c r="N21" s="99">
        <v>5.2612909836065574E-3</v>
      </c>
      <c r="O21" s="99">
        <v>9.5659836065573711E-2</v>
      </c>
      <c r="P21" s="99">
        <v>5.7395901639344278E-4</v>
      </c>
      <c r="Q21" s="99">
        <v>7.2701475409835984E-3</v>
      </c>
      <c r="R21" s="99">
        <v>7.2701475409835984E-3</v>
      </c>
      <c r="S21" s="99">
        <v>1.9131967213114744E-2</v>
      </c>
      <c r="T21" s="99">
        <v>3.8263934426229489E-2</v>
      </c>
      <c r="U21" s="49">
        <v>1941.8946721311484</v>
      </c>
      <c r="V21" s="100">
        <v>1913.196721311474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0.15290304603647806</v>
      </c>
      <c r="E22" s="99">
        <v>7.2170237729217643E-2</v>
      </c>
      <c r="F22" s="99">
        <v>0.14219983281392454</v>
      </c>
      <c r="G22" s="99">
        <v>0.12216953378314592</v>
      </c>
      <c r="H22" s="99">
        <v>0.12216953378314592</v>
      </c>
      <c r="I22" s="99">
        <v>1.9356761112987942E-2</v>
      </c>
      <c r="J22" s="99">
        <v>1.9965315236213121</v>
      </c>
      <c r="K22" s="49">
        <v>464.8252599508931</v>
      </c>
      <c r="L22" s="100">
        <v>30.580609207295606</v>
      </c>
      <c r="M22" s="49" t="s">
        <v>237</v>
      </c>
      <c r="N22" s="99">
        <v>0.13386581253347593</v>
      </c>
      <c r="O22" s="99">
        <v>6.3184663515800626E-2</v>
      </c>
      <c r="P22" s="99">
        <v>0.12449520565613256</v>
      </c>
      <c r="Q22" s="99">
        <v>0.10695878421424722</v>
      </c>
      <c r="R22" s="99">
        <v>0.10695878421424722</v>
      </c>
      <c r="S22" s="99">
        <v>1.6946742537675384E-2</v>
      </c>
      <c r="T22" s="99">
        <v>1.7479528471558619</v>
      </c>
      <c r="U22" s="49">
        <v>406.95207010176682</v>
      </c>
      <c r="V22" s="100">
        <v>26.773162506695179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3.7337768457277421E-4</v>
      </c>
      <c r="G23" s="99">
        <v>3.2078362362757698E-4</v>
      </c>
      <c r="H23" s="99">
        <v>3.2078362362757698E-4</v>
      </c>
      <c r="I23" s="99">
        <v>5.0825535460742337E-5</v>
      </c>
      <c r="J23" s="99">
        <v>5.2423431358161283E-3</v>
      </c>
      <c r="K23" s="49">
        <v>18.456877950864644</v>
      </c>
      <c r="L23" s="100">
        <v>1.2205033990335847</v>
      </c>
      <c r="M23" s="49" t="s">
        <v>237</v>
      </c>
      <c r="N23" s="99">
        <v>3.7940475162931143E-4</v>
      </c>
      <c r="O23" s="99">
        <v>1.7907904276903499E-4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4.8030744532512681E-5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4.8776475754854222E-5</v>
      </c>
      <c r="F24" s="99">
        <v>1.0633485245822149E-5</v>
      </c>
      <c r="G24" s="99">
        <v>3.4500168382878613E-4</v>
      </c>
      <c r="H24" s="99">
        <v>3.4500168382878613E-4</v>
      </c>
      <c r="I24" s="99">
        <v>1.2632663031087651E-5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2.969413117542813E-4</v>
      </c>
      <c r="R24" s="99">
        <v>2.969413117542813E-4</v>
      </c>
      <c r="S24" s="99">
        <v>1.1445738305269712E-5</v>
      </c>
      <c r="T24" s="99">
        <v>2.15893954093954E-3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5.2382327984415965E-4</v>
      </c>
      <c r="E25" s="101">
        <v>2.734616428960358E-2</v>
      </c>
      <c r="F25" s="101">
        <v>1.9363248899601761E-2</v>
      </c>
      <c r="G25" s="101">
        <v>2.7260720241086738E-3</v>
      </c>
      <c r="H25" s="101">
        <v>2.7260720241086738E-3</v>
      </c>
      <c r="I25" s="101">
        <v>1.9058091583470184E-5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5.2382327984415965E-4</v>
      </c>
      <c r="O25" s="101">
        <v>2.734616428960358E-2</v>
      </c>
      <c r="P25" s="101">
        <v>1.9363248899601761E-2</v>
      </c>
      <c r="Q25" s="101">
        <v>2.7260720241086738E-3</v>
      </c>
      <c r="R25" s="101">
        <v>2.7260720241086738E-3</v>
      </c>
      <c r="S25" s="101">
        <v>1.9058091583470184E-5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12.283836110010842</v>
      </c>
      <c r="E26" s="103">
        <v>3.2241630531275636</v>
      </c>
      <c r="F26" s="103">
        <v>5.0742648040144678</v>
      </c>
      <c r="G26" s="103">
        <v>3.4990121927804454</v>
      </c>
      <c r="H26" s="103">
        <v>3.4990121927804454</v>
      </c>
      <c r="I26" s="103">
        <v>0.16950066252132845</v>
      </c>
      <c r="J26" s="103">
        <v>37.21205845881672</v>
      </c>
      <c r="K26" s="93">
        <v>63984.815542961551</v>
      </c>
      <c r="L26" s="93"/>
      <c r="M26" s="93"/>
      <c r="N26" s="103">
        <v>11.052248884428675</v>
      </c>
      <c r="O26" s="103">
        <v>3.002578947554027</v>
      </c>
      <c r="P26" s="103">
        <v>4.6967645488845537</v>
      </c>
      <c r="Q26" s="103">
        <v>3.1078078224459307</v>
      </c>
      <c r="R26" s="103">
        <v>3.1078078224459307</v>
      </c>
      <c r="S26" s="103">
        <v>0.15330495376762715</v>
      </c>
      <c r="T26" s="103">
        <v>32.78133387214865</v>
      </c>
      <c r="U26" s="93">
        <v>59450.42262019519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3.7102317195525925</v>
      </c>
      <c r="E28" s="99">
        <v>4.2124901619374419E-2</v>
      </c>
      <c r="F28" s="99">
        <v>6.4807540952883692E-3</v>
      </c>
      <c r="G28" s="99">
        <v>0.56058522924244403</v>
      </c>
      <c r="H28" s="99">
        <v>0.56058522924244403</v>
      </c>
      <c r="I28" s="99">
        <v>2.9163393428797667E-2</v>
      </c>
      <c r="J28" s="99">
        <v>4.0925962111746053</v>
      </c>
      <c r="K28" s="49">
        <v>518.38801805620994</v>
      </c>
      <c r="L28" s="100">
        <v>46.291483052243791</v>
      </c>
      <c r="M28" s="49" t="s">
        <v>237</v>
      </c>
      <c r="N28" s="99">
        <v>3.4312313336972924</v>
      </c>
      <c r="O28" s="99">
        <v>3.8957211648964901E-2</v>
      </c>
      <c r="P28" s="99">
        <v>5.9934171767638275E-3</v>
      </c>
      <c r="Q28" s="99">
        <v>0.51843058579007129</v>
      </c>
      <c r="R28" s="99">
        <v>0.51843058579007129</v>
      </c>
      <c r="S28" s="99">
        <v>2.6970377295437227E-2</v>
      </c>
      <c r="T28" s="99">
        <v>3.784842947126358</v>
      </c>
      <c r="U28" s="49">
        <v>479.40650207750258</v>
      </c>
      <c r="V28" s="100">
        <v>42.810476309369108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8.7487462966520865E-2</v>
      </c>
      <c r="E29" s="99">
        <v>4.6219791755897814E-3</v>
      </c>
      <c r="F29" s="99">
        <v>6.6028273936996856E-4</v>
      </c>
      <c r="G29" s="99">
        <v>5.0511629561802614E-2</v>
      </c>
      <c r="H29" s="99">
        <v>5.0511629561802614E-2</v>
      </c>
      <c r="I29" s="99">
        <v>2.8062016423223671E-3</v>
      </c>
      <c r="J29" s="99">
        <v>0.38098314061647198</v>
      </c>
      <c r="K29" s="49">
        <v>52.815251988587121</v>
      </c>
      <c r="L29" s="100">
        <v>4.7163442386211925</v>
      </c>
      <c r="M29" s="49" t="s">
        <v>237</v>
      </c>
      <c r="N29" s="99">
        <v>7.6339738608776964E-2</v>
      </c>
      <c r="O29" s="99">
        <v>4.0330427944259518E-3</v>
      </c>
      <c r="P29" s="99">
        <v>5.7614897063227894E-4</v>
      </c>
      <c r="Q29" s="99">
        <v>4.4075396253369356E-2</v>
      </c>
      <c r="R29" s="99">
        <v>4.4075396253369356E-2</v>
      </c>
      <c r="S29" s="99">
        <v>2.4486331251871861E-3</v>
      </c>
      <c r="T29" s="99">
        <v>0.3324379560548249</v>
      </c>
      <c r="U29" s="49">
        <v>46.085489219276255</v>
      </c>
      <c r="V29" s="100">
        <v>4.1153837836528941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4.1705101405932178E-2</v>
      </c>
      <c r="E30" s="99">
        <v>6.9508502343220277E-3</v>
      </c>
      <c r="F30" s="99">
        <v>1.3901700468644054E-3</v>
      </c>
      <c r="G30" s="99">
        <v>4.1705101405932178E-2</v>
      </c>
      <c r="H30" s="99">
        <v>4.1705101405932178E-2</v>
      </c>
      <c r="I30" s="99">
        <v>3.1278826054449115E-3</v>
      </c>
      <c r="J30" s="99">
        <v>0.48933985649627082</v>
      </c>
      <c r="K30" s="49">
        <v>111.19809280822302</v>
      </c>
      <c r="L30" s="100">
        <v>9.929868070591727</v>
      </c>
      <c r="M30" s="49" t="s">
        <v>237</v>
      </c>
      <c r="N30" s="99">
        <v>3.639100314521336E-2</v>
      </c>
      <c r="O30" s="99">
        <v>6.0651671908688943E-3</v>
      </c>
      <c r="P30" s="99">
        <v>1.2130334381737786E-3</v>
      </c>
      <c r="Q30" s="99">
        <v>3.639100314521336E-2</v>
      </c>
      <c r="R30" s="99">
        <v>3.639100314521336E-2</v>
      </c>
      <c r="S30" s="99">
        <v>2.7293252358910015E-3</v>
      </c>
      <c r="T30" s="99">
        <v>0.42698777023717011</v>
      </c>
      <c r="U30" s="49">
        <v>97.029140529800472</v>
      </c>
      <c r="V30" s="100">
        <v>8.6645961286898441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3.1386905763425961E-2</v>
      </c>
      <c r="E31" s="99">
        <v>4.1849207684567938E-3</v>
      </c>
      <c r="F31" s="99">
        <v>8.3698415369135883E-4</v>
      </c>
      <c r="G31" s="99">
        <v>2.7201984994969154E-2</v>
      </c>
      <c r="H31" s="99">
        <v>2.7201984994969154E-2</v>
      </c>
      <c r="I31" s="99">
        <v>1.883214345805557E-3</v>
      </c>
      <c r="J31" s="99">
        <v>0.22389326111243849</v>
      </c>
      <c r="K31" s="49">
        <v>66.949393573189042</v>
      </c>
      <c r="L31" s="100">
        <v>5.978507623637296</v>
      </c>
      <c r="M31" s="49" t="s">
        <v>237</v>
      </c>
      <c r="N31" s="99">
        <v>2.7387560462636393E-2</v>
      </c>
      <c r="O31" s="99">
        <v>3.651674728351519E-3</v>
      </c>
      <c r="P31" s="99">
        <v>7.3033494567030402E-4</v>
      </c>
      <c r="Q31" s="99">
        <v>2.3735885734284867E-2</v>
      </c>
      <c r="R31" s="99">
        <v>2.3735885734284867E-2</v>
      </c>
      <c r="S31" s="99">
        <v>1.6432536277581832E-3</v>
      </c>
      <c r="T31" s="99">
        <v>0.1953645979668063</v>
      </c>
      <c r="U31" s="49">
        <v>58.418646879144156</v>
      </c>
      <c r="V31" s="100">
        <v>5.2167212739235866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1.775489879606909</v>
      </c>
      <c r="E32" s="99">
        <v>4.864650092708523E-2</v>
      </c>
      <c r="F32" s="99">
        <v>1.339992361967478E-2</v>
      </c>
      <c r="G32" s="99">
        <v>0.40675566587961087</v>
      </c>
      <c r="H32" s="99">
        <v>0.40675566587961087</v>
      </c>
      <c r="I32" s="99">
        <v>1.3300380452420832E-2</v>
      </c>
      <c r="J32" s="99">
        <v>4.0591933592729648</v>
      </c>
      <c r="K32" s="49">
        <v>1071.8443787827007</v>
      </c>
      <c r="L32" s="100">
        <v>95.714530750751294</v>
      </c>
      <c r="M32" s="49" t="s">
        <v>237</v>
      </c>
      <c r="N32" s="99">
        <v>1.5492555014835441</v>
      </c>
      <c r="O32" s="99">
        <v>4.2447923840544237E-2</v>
      </c>
      <c r="P32" s="99">
        <v>1.16924943508192E-2</v>
      </c>
      <c r="Q32" s="99">
        <v>0.35492652498988503</v>
      </c>
      <c r="R32" s="99">
        <v>0.35492652498988503</v>
      </c>
      <c r="S32" s="99">
        <v>1.1605635055660941E-2</v>
      </c>
      <c r="T32" s="99">
        <v>3.5419676088671523</v>
      </c>
      <c r="U32" s="49">
        <v>935.26908806202641</v>
      </c>
      <c r="V32" s="100">
        <v>83.51850666157992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0.84637253114252775</v>
      </c>
      <c r="E33" s="99">
        <v>0.11347313959373337</v>
      </c>
      <c r="F33" s="99">
        <v>2.8212417704750928E-2</v>
      </c>
      <c r="G33" s="99">
        <v>0.55896736055489049</v>
      </c>
      <c r="H33" s="99">
        <v>0.55896736055489049</v>
      </c>
      <c r="I33" s="99">
        <v>1.7614545462373992E-2</v>
      </c>
      <c r="J33" s="99">
        <v>8.7205252106778079</v>
      </c>
      <c r="K33" s="49">
        <v>2256.678633921998</v>
      </c>
      <c r="L33" s="100">
        <v>201.51893388329339</v>
      </c>
      <c r="M33" s="49" t="s">
        <v>237</v>
      </c>
      <c r="N33" s="99">
        <v>0.7385270483588573</v>
      </c>
      <c r="O33" s="99">
        <v>9.9014298986104768E-2</v>
      </c>
      <c r="P33" s="99">
        <v>2.4617568278628578E-2</v>
      </c>
      <c r="Q33" s="99">
        <v>0.48774328056498262</v>
      </c>
      <c r="R33" s="99">
        <v>0.48774328056498262</v>
      </c>
      <c r="S33" s="99">
        <v>1.5370085618148815E-2</v>
      </c>
      <c r="T33" s="99">
        <v>7.6093487288475554</v>
      </c>
      <c r="U33" s="49">
        <v>1969.1307896714532</v>
      </c>
      <c r="V33" s="100">
        <v>175.84122588235334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0.63697279182119859</v>
      </c>
      <c r="E34" s="99">
        <v>6.8319138312455674E-2</v>
      </c>
      <c r="F34" s="99">
        <v>1.6985941115231967E-2</v>
      </c>
      <c r="G34" s="99">
        <v>0.37342029424524475</v>
      </c>
      <c r="H34" s="99">
        <v>0.37342029424524475</v>
      </c>
      <c r="I34" s="99">
        <v>1.0605246070246457E-2</v>
      </c>
      <c r="J34" s="99">
        <v>5.250394676296203</v>
      </c>
      <c r="K34" s="49">
        <v>1358.6857671310522</v>
      </c>
      <c r="L34" s="100">
        <v>121.32915301227511</v>
      </c>
      <c r="M34" s="49" t="s">
        <v>237</v>
      </c>
      <c r="N34" s="99">
        <v>0.55580919573746501</v>
      </c>
      <c r="O34" s="99">
        <v>5.9613857619183301E-2</v>
      </c>
      <c r="P34" s="99">
        <v>1.4821578552999069E-2</v>
      </c>
      <c r="Q34" s="99">
        <v>0.32583877377725962</v>
      </c>
      <c r="R34" s="99">
        <v>0.32583877377725962</v>
      </c>
      <c r="S34" s="99">
        <v>9.2539169091483027E-3</v>
      </c>
      <c r="T34" s="99">
        <v>4.5813850761079582</v>
      </c>
      <c r="U34" s="49">
        <v>1185.5609112124059</v>
      </c>
      <c r="V34" s="100">
        <v>105.86929272512793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1.0673074693606743E-2</v>
      </c>
      <c r="E35" s="99">
        <v>1.8638513200180108E-2</v>
      </c>
      <c r="F35" s="99">
        <v>1.4895914645498588E-3</v>
      </c>
      <c r="G35" s="99">
        <v>1.3778721047086193E-2</v>
      </c>
      <c r="H35" s="99">
        <v>1.3778721047086193E-2</v>
      </c>
      <c r="I35" s="99">
        <v>3.3459948272451204E-4</v>
      </c>
      <c r="J35" s="99">
        <v>4.6233195080966252E-2</v>
      </c>
      <c r="K35" s="49">
        <v>142.28781495780805</v>
      </c>
      <c r="L35" s="100">
        <v>12.706146255768509</v>
      </c>
      <c r="M35" s="49" t="s">
        <v>237</v>
      </c>
      <c r="N35" s="99">
        <v>9.3131027536332341E-3</v>
      </c>
      <c r="O35" s="99">
        <v>1.6263578546133847E-2</v>
      </c>
      <c r="P35" s="99">
        <v>1.2997864971935143E-3</v>
      </c>
      <c r="Q35" s="99">
        <v>1.2023025099040007E-2</v>
      </c>
      <c r="R35" s="99">
        <v>1.2023025099040007E-2</v>
      </c>
      <c r="S35" s="99">
        <v>2.9196454193209325E-4</v>
      </c>
      <c r="T35" s="99">
        <v>4.0342123406643712E-2</v>
      </c>
      <c r="U35" s="49">
        <v>124.15738475865707</v>
      </c>
      <c r="V35" s="100">
        <v>11.087118668207868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3.6000612645717793E-2</v>
      </c>
      <c r="E36" s="99">
        <v>6.2868284283039352E-2</v>
      </c>
      <c r="F36" s="99">
        <v>5.0244383043388111E-3</v>
      </c>
      <c r="G36" s="99">
        <v>4.6476054315133998E-2</v>
      </c>
      <c r="H36" s="99">
        <v>4.6476054315133998E-2</v>
      </c>
      <c r="I36" s="99">
        <v>1.1286144541121058E-3</v>
      </c>
      <c r="J36" s="99">
        <v>0.15594600387091584</v>
      </c>
      <c r="K36" s="49">
        <v>479.94122195828044</v>
      </c>
      <c r="L36" s="100">
        <v>42.858226209900252</v>
      </c>
      <c r="M36" s="49" t="s">
        <v>237</v>
      </c>
      <c r="N36" s="99">
        <v>3.1413385026167917E-2</v>
      </c>
      <c r="O36" s="99">
        <v>5.4857555885305401E-2</v>
      </c>
      <c r="P36" s="99">
        <v>4.3842202505738588E-3</v>
      </c>
      <c r="Q36" s="99">
        <v>4.0554037317808191E-2</v>
      </c>
      <c r="R36" s="99">
        <v>4.0554037317808191E-2</v>
      </c>
      <c r="S36" s="99">
        <v>9.8480547378515353E-4</v>
      </c>
      <c r="T36" s="99">
        <v>0.13607523602718616</v>
      </c>
      <c r="U36" s="49">
        <v>418.78671742821882</v>
      </c>
      <c r="V36" s="100">
        <v>37.397195839953035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1.1736421048544925</v>
      </c>
      <c r="E37" s="99">
        <v>4.1691012133129167E-2</v>
      </c>
      <c r="F37" s="99">
        <v>1.0340459073607866E-2</v>
      </c>
      <c r="G37" s="99">
        <v>0.25515475906587159</v>
      </c>
      <c r="H37" s="99">
        <v>0.25515475906587159</v>
      </c>
      <c r="I37" s="99">
        <v>6.3014387815374124E-3</v>
      </c>
      <c r="J37" s="99">
        <v>1.5658212446749913</v>
      </c>
      <c r="K37" s="49">
        <v>827.12135133410197</v>
      </c>
      <c r="L37" s="100">
        <v>73.861032052789128</v>
      </c>
      <c r="M37" s="49" t="s">
        <v>237</v>
      </c>
      <c r="N37" s="99">
        <v>1.0732197233420511</v>
      </c>
      <c r="O37" s="99">
        <v>3.8123731521130334E-2</v>
      </c>
      <c r="P37" s="99">
        <v>9.4556803818682932E-3</v>
      </c>
      <c r="Q37" s="99">
        <v>0.23332250845587418</v>
      </c>
      <c r="R37" s="99">
        <v>0.23332250845587418</v>
      </c>
      <c r="S37" s="99">
        <v>5.7622578107973579E-3</v>
      </c>
      <c r="T37" s="99">
        <v>1.4318421570445814</v>
      </c>
      <c r="U37" s="49">
        <v>756.34892798869271</v>
      </c>
      <c r="V37" s="100">
        <v>67.541132051734337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7.6180430485430592E-2</v>
      </c>
      <c r="E38" s="99">
        <v>1.1936083444522767</v>
      </c>
      <c r="F38" s="99">
        <v>3.088093825428234</v>
      </c>
      <c r="G38" s="99">
        <v>4.878508219832195E-2</v>
      </c>
      <c r="H38" s="99">
        <v>4.878508219832195E-2</v>
      </c>
      <c r="I38" s="99">
        <v>2.6173196599399732E-3</v>
      </c>
      <c r="J38" s="99">
        <v>4.7850034789520768E-2</v>
      </c>
      <c r="K38" s="49">
        <v>28679.455619571996</v>
      </c>
      <c r="L38" s="100">
        <v>213.68984708395681</v>
      </c>
      <c r="M38" s="49" t="s">
        <v>238</v>
      </c>
      <c r="N38" s="99">
        <v>7.0445346560971581E-2</v>
      </c>
      <c r="O38" s="99">
        <v>1.103750043773895</v>
      </c>
      <c r="P38" s="99">
        <v>2.8556131589029685</v>
      </c>
      <c r="Q38" s="99">
        <v>4.5112399609287264E-2</v>
      </c>
      <c r="R38" s="99">
        <v>4.5112399609287264E-2</v>
      </c>
      <c r="S38" s="99">
        <v>2.4202802390382622E-3</v>
      </c>
      <c r="T38" s="99">
        <v>4.4247745283442601E-2</v>
      </c>
      <c r="U38" s="49">
        <v>26520.382956973961</v>
      </c>
      <c r="V38" s="100">
        <v>197.60265514999048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2.2833756994563508E-2</v>
      </c>
      <c r="E39" s="99">
        <v>0.57644828317271113</v>
      </c>
      <c r="F39" s="99">
        <v>0.40745926647016895</v>
      </c>
      <c r="G39" s="99">
        <v>1.4622478565401786E-2</v>
      </c>
      <c r="H39" s="99">
        <v>1.4622478565401786E-2</v>
      </c>
      <c r="I39" s="99">
        <v>7.8449597503380594E-4</v>
      </c>
      <c r="J39" s="99">
        <v>1.4342214392898253E-2</v>
      </c>
      <c r="K39" s="49">
        <v>8870.8985799356124</v>
      </c>
      <c r="L39" s="100">
        <v>66.096825064911087</v>
      </c>
      <c r="M39" s="49" t="s">
        <v>238</v>
      </c>
      <c r="N39" s="99">
        <v>2.2453472895540588E-2</v>
      </c>
      <c r="O39" s="99">
        <v>0.56684784308517611</v>
      </c>
      <c r="P39" s="99">
        <v>0.40067324873007293</v>
      </c>
      <c r="Q39" s="99">
        <v>1.4378948948788552E-2</v>
      </c>
      <c r="R39" s="99">
        <v>1.4378948948788552E-2</v>
      </c>
      <c r="S39" s="99">
        <v>7.7143061110250609E-4</v>
      </c>
      <c r="T39" s="99">
        <v>1.4103352427270106E-2</v>
      </c>
      <c r="U39" s="49">
        <v>8723.1584741441002</v>
      </c>
      <c r="V39" s="100">
        <v>64.996017537964505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5.0691758186930628E-4</v>
      </c>
      <c r="E40" s="99">
        <v>1.2797358308061038E-2</v>
      </c>
      <c r="F40" s="99">
        <v>2.0548703185275373E-2</v>
      </c>
      <c r="G40" s="99">
        <v>2.8438574017913403E-4</v>
      </c>
      <c r="H40" s="99">
        <v>2.8438574017913403E-4</v>
      </c>
      <c r="I40" s="99">
        <v>1.7416091567630459E-5</v>
      </c>
      <c r="J40" s="99">
        <v>3.1840229535727007E-4</v>
      </c>
      <c r="K40" s="49">
        <v>194.79712237920234</v>
      </c>
      <c r="L40" s="100">
        <v>1.4219287008956709</v>
      </c>
      <c r="M40" s="49" t="s">
        <v>238</v>
      </c>
      <c r="N40" s="99">
        <v>4.7930267022561511E-4</v>
      </c>
      <c r="O40" s="99">
        <v>1.2100207663479771E-2</v>
      </c>
      <c r="P40" s="99">
        <v>1.9429289215135908E-2</v>
      </c>
      <c r="Q40" s="99">
        <v>2.6889350363288374E-4</v>
      </c>
      <c r="R40" s="99">
        <v>2.6889350363288374E-4</v>
      </c>
      <c r="S40" s="99">
        <v>1.6467330177179129E-5</v>
      </c>
      <c r="T40" s="99">
        <v>3.0105696829046025E-4</v>
      </c>
      <c r="U40" s="49">
        <v>184.18532765093451</v>
      </c>
      <c r="V40" s="100">
        <v>1.3444675181644188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1.6175484220851189E-3</v>
      </c>
      <c r="E41" s="99">
        <v>2.5344032343393753E-2</v>
      </c>
      <c r="F41" s="99">
        <v>6.5569874871310344E-2</v>
      </c>
      <c r="G41" s="99">
        <v>1.0358596325637773E-3</v>
      </c>
      <c r="H41" s="99">
        <v>1.0358596325637773E-3</v>
      </c>
      <c r="I41" s="99">
        <v>5.5573869287046661E-5</v>
      </c>
      <c r="J41" s="99">
        <v>1.0160056562729715E-3</v>
      </c>
      <c r="K41" s="49">
        <v>567.16284084330971</v>
      </c>
      <c r="L41" s="100">
        <v>4.5373027267464767</v>
      </c>
      <c r="M41" s="49" t="s">
        <v>238</v>
      </c>
      <c r="N41" s="99">
        <v>1.3502279528604922E-3</v>
      </c>
      <c r="O41" s="99">
        <v>2.1155608352137412E-2</v>
      </c>
      <c r="P41" s="99">
        <v>5.473361830039182E-2</v>
      </c>
      <c r="Q41" s="99">
        <v>8.6467064109553452E-4</v>
      </c>
      <c r="R41" s="99">
        <v>8.6467064109553452E-4</v>
      </c>
      <c r="S41" s="99">
        <v>4.6389579894775454E-5</v>
      </c>
      <c r="T41" s="99">
        <v>8.4809778714120369E-4</v>
      </c>
      <c r="U41" s="49">
        <v>473.43196103102827</v>
      </c>
      <c r="V41" s="100">
        <v>3.7874556882482251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6.2640334377998927E-4</v>
      </c>
      <c r="E42" s="99">
        <v>1.0705802602785277E-2</v>
      </c>
      <c r="F42" s="99">
        <v>6.8334910230544272E-5</v>
      </c>
      <c r="G42" s="99">
        <v>5.6412746225655276E-6</v>
      </c>
      <c r="H42" s="99">
        <v>5.6412746225655276E-6</v>
      </c>
      <c r="I42" s="99">
        <v>2.2778303410181415E-3</v>
      </c>
      <c r="J42" s="99">
        <v>4.5556606820362829E-3</v>
      </c>
      <c r="K42" s="49">
        <v>281.18883333333321</v>
      </c>
      <c r="L42" s="100">
        <v>277.03333333333364</v>
      </c>
      <c r="M42" s="49" t="s">
        <v>239</v>
      </c>
      <c r="N42" s="99">
        <v>6.2640334377998927E-4</v>
      </c>
      <c r="O42" s="99">
        <v>1.0705802602785277E-2</v>
      </c>
      <c r="P42" s="99">
        <v>6.8334910230544272E-5</v>
      </c>
      <c r="Q42" s="99">
        <v>5.6412746225655276E-6</v>
      </c>
      <c r="R42" s="99">
        <v>5.6412746225655276E-6</v>
      </c>
      <c r="S42" s="99">
        <v>2.2778303410181415E-3</v>
      </c>
      <c r="T42" s="99">
        <v>4.5556606820362829E-3</v>
      </c>
      <c r="U42" s="49">
        <v>281.18883333333321</v>
      </c>
      <c r="V42" s="100">
        <v>277.03333333333364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9.7086916666666578E-3</v>
      </c>
      <c r="E43" s="99">
        <v>0.17652166666666658</v>
      </c>
      <c r="F43" s="99">
        <v>1.0591299999999988E-3</v>
      </c>
      <c r="G43" s="99">
        <v>1.341564666666667E-2</v>
      </c>
      <c r="H43" s="99">
        <v>1.341564666666667E-2</v>
      </c>
      <c r="I43" s="99">
        <v>3.5304333333333326E-2</v>
      </c>
      <c r="J43" s="99">
        <v>7.0608666666666653E-2</v>
      </c>
      <c r="K43" s="49">
        <v>3583.3898333333327</v>
      </c>
      <c r="L43" s="100">
        <v>3530.4333333333288</v>
      </c>
      <c r="M43" s="49" t="s">
        <v>239</v>
      </c>
      <c r="N43" s="99">
        <v>9.7086916666666578E-3</v>
      </c>
      <c r="O43" s="99">
        <v>0.17652166666666658</v>
      </c>
      <c r="P43" s="99">
        <v>1.0591299999999988E-3</v>
      </c>
      <c r="Q43" s="99">
        <v>1.341564666666667E-2</v>
      </c>
      <c r="R43" s="99">
        <v>1.341564666666667E-2</v>
      </c>
      <c r="S43" s="99">
        <v>3.5304333333333326E-2</v>
      </c>
      <c r="T43" s="99">
        <v>7.0608666666666653E-2</v>
      </c>
      <c r="U43" s="49">
        <v>3583.3898333333327</v>
      </c>
      <c r="V43" s="100">
        <v>3530.4333333333288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0.11351443044240531</v>
      </c>
      <c r="E44" s="99">
        <v>5.3578811168815306E-2</v>
      </c>
      <c r="F44" s="99">
        <v>0.10556842031143694</v>
      </c>
      <c r="G44" s="99">
        <v>9.069802992348186E-2</v>
      </c>
      <c r="H44" s="99">
        <v>9.069802992348186E-2</v>
      </c>
      <c r="I44" s="99">
        <v>1.4370359321856303E-2</v>
      </c>
      <c r="J44" s="99">
        <v>1.4822146755017076</v>
      </c>
      <c r="K44" s="49">
        <v>345.08386854491215</v>
      </c>
      <c r="L44" s="100">
        <v>22.702886088481058</v>
      </c>
      <c r="M44" s="49" t="s">
        <v>237</v>
      </c>
      <c r="N44" s="99">
        <v>9.9736804928091366E-2</v>
      </c>
      <c r="O44" s="99">
        <v>4.7075771926059128E-2</v>
      </c>
      <c r="P44" s="99">
        <v>9.2755228583124974E-2</v>
      </c>
      <c r="Q44" s="99">
        <v>7.9689707137545016E-2</v>
      </c>
      <c r="R44" s="99">
        <v>7.9689707137545016E-2</v>
      </c>
      <c r="S44" s="99">
        <v>1.2626180819871727E-2</v>
      </c>
      <c r="T44" s="99">
        <v>1.3023133303485532</v>
      </c>
      <c r="U44" s="49">
        <v>303.1998869813977</v>
      </c>
      <c r="V44" s="100">
        <v>19.947360985618278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2.8532244230068839E-4</v>
      </c>
      <c r="E45" s="99">
        <v>1.3467219276592487E-4</v>
      </c>
      <c r="F45" s="99">
        <v>2.6534987133964015E-4</v>
      </c>
      <c r="G45" s="99">
        <v>2.279726313982501E-4</v>
      </c>
      <c r="H45" s="99">
        <v>2.279726313982501E-4</v>
      </c>
      <c r="I45" s="99">
        <v>3.6120394583055642E-5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2.6963315214105558E-4</v>
      </c>
      <c r="O45" s="99">
        <v>1.2726684781057824E-4</v>
      </c>
      <c r="P45" s="99">
        <v>2.5075883149118169E-4</v>
      </c>
      <c r="Q45" s="99">
        <v>2.1543688856070345E-4</v>
      </c>
      <c r="R45" s="99">
        <v>2.1543688856070345E-4</v>
      </c>
      <c r="S45" s="99">
        <v>3.4134208895296937E-5</v>
      </c>
      <c r="T45" s="99">
        <v>3.5207348840818335E-3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8.7184102008962044E-4</v>
      </c>
      <c r="E46" s="99">
        <v>3.4664180803309314E-5</v>
      </c>
      <c r="F46" s="99">
        <v>7.5569431662724817E-6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7.1473614547591419E-4</v>
      </c>
      <c r="O46" s="99">
        <v>2.9083381335906241E-5</v>
      </c>
      <c r="P46" s="99">
        <v>6.1727592489711021E-6</v>
      </c>
      <c r="Q46" s="99">
        <v>2.1102851649953142E-4</v>
      </c>
      <c r="R46" s="99">
        <v>2.1102851649953142E-4</v>
      </c>
      <c r="S46" s="99">
        <v>8.1341904248124647E-6</v>
      </c>
      <c r="T46" s="99">
        <v>1.5343025389261335E-3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3.7226766797913605E-4</v>
      </c>
      <c r="E47" s="101">
        <v>1.9434212261993555E-2</v>
      </c>
      <c r="F47" s="101">
        <v>1.37609605943799E-2</v>
      </c>
      <c r="G47" s="101">
        <v>1.9373489384817266E-3</v>
      </c>
      <c r="H47" s="101">
        <v>1.9373489384817266E-3</v>
      </c>
      <c r="I47" s="101">
        <v>1.3544093175893139E-5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3.7226766797913605E-4</v>
      </c>
      <c r="O47" s="101">
        <v>1.9434212261993555E-2</v>
      </c>
      <c r="P47" s="101">
        <v>1.37609605943799E-2</v>
      </c>
      <c r="Q47" s="101">
        <v>1.9373489384817266E-3</v>
      </c>
      <c r="R47" s="101">
        <v>1.9373489384817266E-3</v>
      </c>
      <c r="S47" s="101">
        <v>1.3544093175893139E-5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8.576479794520095</v>
      </c>
      <c r="E48" s="103">
        <v>2.4801270875976384</v>
      </c>
      <c r="F48" s="103">
        <v>3.7872223849029103</v>
      </c>
      <c r="G48" s="103">
        <v>2.5058144296650271</v>
      </c>
      <c r="H48" s="103">
        <v>2.5058144296650271</v>
      </c>
      <c r="I48" s="103">
        <v>0.14175148751273509</v>
      </c>
      <c r="J48" s="103">
        <v>26.615927826871104</v>
      </c>
      <c r="K48" s="93">
        <v>49532.037538602133</v>
      </c>
      <c r="L48" s="93"/>
      <c r="M48" s="93"/>
      <c r="N48" s="103">
        <v>7.7350444795993702</v>
      </c>
      <c r="O48" s="103">
        <v>2.3207755493223527</v>
      </c>
      <c r="P48" s="103">
        <v>3.5131341636703675</v>
      </c>
      <c r="Q48" s="103">
        <v>2.2331407432529695</v>
      </c>
      <c r="R48" s="103">
        <v>2.2331407432529695</v>
      </c>
      <c r="S48" s="103">
        <v>0.13057897944067817</v>
      </c>
      <c r="T48" s="103">
        <v>23.527253654200358</v>
      </c>
      <c r="U48" s="93">
        <v>46261.106875264471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4.8978264085405963</v>
      </c>
      <c r="E50" s="99">
        <v>5.5608509441945654E-2</v>
      </c>
      <c r="F50" s="99">
        <v>8.5551552987608633E-3</v>
      </c>
      <c r="G50" s="99">
        <v>0.74002093334281505</v>
      </c>
      <c r="H50" s="99">
        <v>0.74002093334281505</v>
      </c>
      <c r="I50" s="99">
        <v>3.8498198844423896E-2</v>
      </c>
      <c r="J50" s="99">
        <v>5.402580571167487</v>
      </c>
      <c r="K50" s="49">
        <v>686.89640209494166</v>
      </c>
      <c r="L50" s="100">
        <v>61.108756897569073</v>
      </c>
      <c r="M50" s="49" t="s">
        <v>237</v>
      </c>
      <c r="N50" s="99">
        <v>4.5187146203678008</v>
      </c>
      <c r="O50" s="99">
        <v>5.1304183462691194E-2</v>
      </c>
      <c r="P50" s="99">
        <v>7.8929513019524947E-3</v>
      </c>
      <c r="Q50" s="99">
        <v>0.68274028761889094</v>
      </c>
      <c r="R50" s="99">
        <v>0.68274028761889094</v>
      </c>
      <c r="S50" s="99">
        <v>3.5518280858786222E-2</v>
      </c>
      <c r="T50" s="99">
        <v>4.9843987471830014</v>
      </c>
      <c r="U50" s="49">
        <v>633.72479717636099</v>
      </c>
      <c r="V50" s="100">
        <v>56.378689278174406</v>
      </c>
      <c r="W50" t="s">
        <v>237</v>
      </c>
      <c r="Y50" s="14">
        <f>N50/$U50*2000</f>
        <v>14.260810498505002</v>
      </c>
      <c r="Z50" s="6">
        <f t="shared" ref="Z50:AE65" si="0">O50/$U50*2000</f>
        <v>0.16191313229743673</v>
      </c>
      <c r="AA50" s="249">
        <f t="shared" si="0"/>
        <v>2.4909712661144123E-2</v>
      </c>
      <c r="AB50" s="6">
        <f t="shared" si="0"/>
        <v>2.1546901451889671</v>
      </c>
      <c r="AC50" s="250">
        <f t="shared" si="0"/>
        <v>2.1546901451889671</v>
      </c>
      <c r="AD50" s="6">
        <f t="shared" si="0"/>
        <v>0.11209370697514853</v>
      </c>
      <c r="AE50" s="14">
        <f t="shared" si="0"/>
        <v>15.730483545512513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0.10603427829539235</v>
      </c>
      <c r="E51" s="99">
        <v>5.6018109288131814E-3</v>
      </c>
      <c r="F51" s="99">
        <v>8.0025870411616845E-4</v>
      </c>
      <c r="G51" s="99">
        <v>6.1219790864886901E-2</v>
      </c>
      <c r="H51" s="99">
        <v>6.1219790864886901E-2</v>
      </c>
      <c r="I51" s="99">
        <v>3.401099492493715E-3</v>
      </c>
      <c r="J51" s="99">
        <v>0.4617492722750291</v>
      </c>
      <c r="K51" s="49">
        <v>64.241650762615038</v>
      </c>
      <c r="L51" s="100">
        <v>5.7161808169726269</v>
      </c>
      <c r="M51" s="49" t="s">
        <v>237</v>
      </c>
      <c r="N51" s="99">
        <v>9.2288983552914705E-2</v>
      </c>
      <c r="O51" s="99">
        <v>4.8756444141162484E-3</v>
      </c>
      <c r="P51" s="99">
        <v>6.9652063058803562E-4</v>
      </c>
      <c r="Q51" s="99">
        <v>5.3283828239984704E-2</v>
      </c>
      <c r="R51" s="99">
        <v>5.3283828239984704E-2</v>
      </c>
      <c r="S51" s="99">
        <v>2.960212679999151E-3</v>
      </c>
      <c r="T51" s="99">
        <v>0.40189240384929653</v>
      </c>
      <c r="U51" s="49">
        <v>55.913654755674415</v>
      </c>
      <c r="V51" s="100">
        <v>4.9751884568256406</v>
      </c>
      <c r="W51" t="s">
        <v>237</v>
      </c>
      <c r="Y51" s="14">
        <f t="shared" ref="Y51:AE70" si="1">N51/$U51*2000</f>
        <v>3.3011250634997609</v>
      </c>
      <c r="Z51" s="6">
        <f t="shared" si="0"/>
        <v>0.17439905995847793</v>
      </c>
      <c r="AA51" s="249">
        <f t="shared" si="0"/>
        <v>2.4914151422639707E-2</v>
      </c>
      <c r="AB51" s="6">
        <f t="shared" si="0"/>
        <v>1.905932583831937</v>
      </c>
      <c r="AC51" s="250">
        <f t="shared" si="0"/>
        <v>1.905932583831937</v>
      </c>
      <c r="AD51" s="6">
        <f t="shared" si="0"/>
        <v>0.10588514354621874</v>
      </c>
      <c r="AE51" s="14">
        <f t="shared" si="0"/>
        <v>14.375465370863111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5.0546331769917886E-2</v>
      </c>
      <c r="E52" s="99">
        <v>8.424388628319646E-3</v>
      </c>
      <c r="F52" s="99">
        <v>1.6848777256639295E-3</v>
      </c>
      <c r="G52" s="99">
        <v>5.0546331769917886E-2</v>
      </c>
      <c r="H52" s="99">
        <v>5.0546331769917886E-2</v>
      </c>
      <c r="I52" s="99">
        <v>3.790974882743841E-3</v>
      </c>
      <c r="J52" s="99">
        <v>0.59307695943370309</v>
      </c>
      <c r="K52" s="49">
        <v>135.25541912018846</v>
      </c>
      <c r="L52" s="100">
        <v>12.034940307236626</v>
      </c>
      <c r="M52" s="49" t="s">
        <v>237</v>
      </c>
      <c r="N52" s="99">
        <v>4.3993976819256868E-2</v>
      </c>
      <c r="O52" s="99">
        <v>7.3323294698761452E-3</v>
      </c>
      <c r="P52" s="99">
        <v>1.466465893975229E-3</v>
      </c>
      <c r="Q52" s="99">
        <v>4.3993976819256868E-2</v>
      </c>
      <c r="R52" s="99">
        <v>4.3993976819256868E-2</v>
      </c>
      <c r="S52" s="99">
        <v>3.2995482614442662E-3</v>
      </c>
      <c r="T52" s="99">
        <v>0.51619599467928046</v>
      </c>
      <c r="U52" s="49">
        <v>117.72152052047326</v>
      </c>
      <c r="V52" s="100">
        <v>10.474842908636418</v>
      </c>
      <c r="W52" t="s">
        <v>237</v>
      </c>
      <c r="Y52" s="14">
        <f t="shared" si="1"/>
        <v>0.74742454267919112</v>
      </c>
      <c r="Z52" s="6">
        <f t="shared" si="0"/>
        <v>0.12457075711319854</v>
      </c>
      <c r="AA52" s="249">
        <f t="shared" si="0"/>
        <v>2.4914151422639703E-2</v>
      </c>
      <c r="AB52" s="6">
        <f t="shared" si="0"/>
        <v>0.74742454267919112</v>
      </c>
      <c r="AC52" s="250">
        <f t="shared" si="0"/>
        <v>0.74742454267919112</v>
      </c>
      <c r="AD52" s="6">
        <f t="shared" si="0"/>
        <v>5.6056840700939352E-2</v>
      </c>
      <c r="AE52" s="14">
        <f t="shared" si="0"/>
        <v>8.7697813007691732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3.8040740783898741E-2</v>
      </c>
      <c r="E53" s="99">
        <v>5.0720987711864963E-3</v>
      </c>
      <c r="F53" s="99">
        <v>1.0144197542372995E-3</v>
      </c>
      <c r="G53" s="99">
        <v>3.296864201271224E-2</v>
      </c>
      <c r="H53" s="99">
        <v>3.296864201271224E-2</v>
      </c>
      <c r="I53" s="99">
        <v>2.2824444470339244E-3</v>
      </c>
      <c r="J53" s="99">
        <v>0.27135728425847766</v>
      </c>
      <c r="K53" s="49">
        <v>81.433665442457141</v>
      </c>
      <c r="L53" s="100">
        <v>7.2459152392894115</v>
      </c>
      <c r="M53" s="49" t="s">
        <v>237</v>
      </c>
      <c r="N53" s="99">
        <v>3.3109493995570317E-2</v>
      </c>
      <c r="O53" s="99">
        <v>4.4145991994093735E-3</v>
      </c>
      <c r="P53" s="99">
        <v>8.8291983988187436E-4</v>
      </c>
      <c r="Q53" s="99">
        <v>2.8694894796160917E-2</v>
      </c>
      <c r="R53" s="99">
        <v>2.8694894796160917E-2</v>
      </c>
      <c r="S53" s="99">
        <v>1.9865696397342175E-3</v>
      </c>
      <c r="T53" s="99">
        <v>0.23618105716840151</v>
      </c>
      <c r="U53" s="49">
        <v>70.87697468833376</v>
      </c>
      <c r="V53" s="100">
        <v>6.3066223781112241</v>
      </c>
      <c r="W53" t="s">
        <v>237</v>
      </c>
      <c r="Y53" s="14">
        <f t="shared" si="1"/>
        <v>0.93428067834898965</v>
      </c>
      <c r="Z53" s="6">
        <f t="shared" si="0"/>
        <v>0.12457075711319857</v>
      </c>
      <c r="AA53" s="249">
        <f t="shared" si="0"/>
        <v>2.4914151422639703E-2</v>
      </c>
      <c r="AB53" s="6">
        <f t="shared" si="0"/>
        <v>0.80970992123579033</v>
      </c>
      <c r="AC53" s="250">
        <f t="shared" si="0"/>
        <v>0.80970992123579033</v>
      </c>
      <c r="AD53" s="6">
        <f t="shared" si="0"/>
        <v>5.6056840700939338E-2</v>
      </c>
      <c r="AE53" s="14">
        <f t="shared" si="0"/>
        <v>6.664535505556124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2.1518830426816096</v>
      </c>
      <c r="E54" s="99">
        <v>5.8959266190785758E-2</v>
      </c>
      <c r="F54" s="99">
        <v>1.6240626737219693E-2</v>
      </c>
      <c r="G54" s="99">
        <v>0.49298541770048804</v>
      </c>
      <c r="H54" s="99">
        <v>0.49298541770048804</v>
      </c>
      <c r="I54" s="99">
        <v>1.6119981017923331E-2</v>
      </c>
      <c r="J54" s="99">
        <v>4.9197179083438032</v>
      </c>
      <c r="K54" s="49">
        <v>1303.7342370061899</v>
      </c>
      <c r="L54" s="100">
        <v>116.00543490924878</v>
      </c>
      <c r="M54" s="49" t="s">
        <v>237</v>
      </c>
      <c r="N54" s="99">
        <v>1.87293299795552</v>
      </c>
      <c r="O54" s="99">
        <v>5.1316336898289579E-2</v>
      </c>
      <c r="P54" s="99">
        <v>1.4135343380796375E-2</v>
      </c>
      <c r="Q54" s="99">
        <v>0.42907938675491686</v>
      </c>
      <c r="R54" s="99">
        <v>0.42907938675491686</v>
      </c>
      <c r="S54" s="99">
        <v>1.4030337047157235E-2</v>
      </c>
      <c r="T54" s="99">
        <v>4.2819715702054344</v>
      </c>
      <c r="U54" s="49">
        <v>1134.7240482733416</v>
      </c>
      <c r="V54" s="100">
        <v>100.96757243505101</v>
      </c>
      <c r="W54" t="s">
        <v>237</v>
      </c>
      <c r="Y54" s="14">
        <f t="shared" si="1"/>
        <v>3.3011250634997604</v>
      </c>
      <c r="Z54" s="6">
        <f t="shared" si="0"/>
        <v>9.0447253632062061E-2</v>
      </c>
      <c r="AA54" s="249">
        <f t="shared" si="0"/>
        <v>2.49141514226397E-2</v>
      </c>
      <c r="AB54" s="6">
        <f t="shared" si="0"/>
        <v>0.75627089671330672</v>
      </c>
      <c r="AC54" s="250">
        <f t="shared" si="0"/>
        <v>0.75627089671330672</v>
      </c>
      <c r="AD54" s="6">
        <f t="shared" si="0"/>
        <v>2.4729073237685525E-2</v>
      </c>
      <c r="AE54" s="14">
        <f t="shared" si="0"/>
        <v>7.5471592881478404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1.0257984111744698</v>
      </c>
      <c r="E55" s="99">
        <v>0.13752876189058275</v>
      </c>
      <c r="F55" s="99">
        <v>3.4193280372482322E-2</v>
      </c>
      <c r="G55" s="99">
        <v>0.67746507507937537</v>
      </c>
      <c r="H55" s="99">
        <v>0.67746507507937537</v>
      </c>
      <c r="I55" s="99">
        <v>2.134872303153814E-2</v>
      </c>
      <c r="J55" s="99">
        <v>10.569224043276273</v>
      </c>
      <c r="K55" s="49">
        <v>2744.9033229113329</v>
      </c>
      <c r="L55" s="100">
        <v>244.23973438741527</v>
      </c>
      <c r="M55" s="49" t="s">
        <v>237</v>
      </c>
      <c r="N55" s="99">
        <v>0.89282347387467897</v>
      </c>
      <c r="O55" s="99">
        <v>0.11970081607774057</v>
      </c>
      <c r="P55" s="99">
        <v>2.9760782462489317E-2</v>
      </c>
      <c r="Q55" s="99">
        <v>0.58964482219134895</v>
      </c>
      <c r="R55" s="99">
        <v>0.58964482219134895</v>
      </c>
      <c r="S55" s="99">
        <v>1.8581273720226495E-2</v>
      </c>
      <c r="T55" s="99">
        <v>9.1991284288241495</v>
      </c>
      <c r="U55" s="49">
        <v>2389.066515462006</v>
      </c>
      <c r="V55" s="100">
        <v>212.57877350807524</v>
      </c>
      <c r="W55" t="s">
        <v>237</v>
      </c>
      <c r="Y55" s="14">
        <f t="shared" si="1"/>
        <v>0.7474245426791909</v>
      </c>
      <c r="Z55" s="6">
        <f t="shared" si="0"/>
        <v>0.1002071857799174</v>
      </c>
      <c r="AA55" s="249">
        <f t="shared" si="0"/>
        <v>2.491415142263971E-2</v>
      </c>
      <c r="AB55" s="6">
        <f t="shared" si="0"/>
        <v>0.49361942698135503</v>
      </c>
      <c r="AC55" s="250">
        <f t="shared" si="0"/>
        <v>0.49361942698135503</v>
      </c>
      <c r="AD55" s="6">
        <f t="shared" si="0"/>
        <v>1.5555258591561805E-2</v>
      </c>
      <c r="AE55" s="14">
        <f t="shared" si="0"/>
        <v>7.7010232819283306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0.77200718805171109</v>
      </c>
      <c r="E56" s="99">
        <v>8.2802384239859347E-2</v>
      </c>
      <c r="F56" s="99">
        <v>2.0586858348045634E-2</v>
      </c>
      <c r="G56" s="99">
        <v>0.45258314801401478</v>
      </c>
      <c r="H56" s="99">
        <v>0.45258314801401478</v>
      </c>
      <c r="I56" s="99">
        <v>1.2853494375919346E-2</v>
      </c>
      <c r="J56" s="99">
        <v>6.363446731562906</v>
      </c>
      <c r="K56" s="49">
        <v>1652.6327767408939</v>
      </c>
      <c r="L56" s="100">
        <v>147.05020284758888</v>
      </c>
      <c r="M56" s="49" t="s">
        <v>237</v>
      </c>
      <c r="N56" s="99">
        <v>0.67193137753390386</v>
      </c>
      <c r="O56" s="99">
        <v>7.2068655533882878E-2</v>
      </c>
      <c r="P56" s="99">
        <v>1.7918170067570769E-2</v>
      </c>
      <c r="Q56" s="99">
        <v>0.39391449043518229</v>
      </c>
      <c r="R56" s="99">
        <v>0.39391449043518229</v>
      </c>
      <c r="S56" s="99">
        <v>1.1187287263389146E-2</v>
      </c>
      <c r="T56" s="99">
        <v>5.5385488559936533</v>
      </c>
      <c r="U56" s="49">
        <v>1438.3929649948554</v>
      </c>
      <c r="V56" s="100">
        <v>127.98798624579906</v>
      </c>
      <c r="W56" t="s">
        <v>237</v>
      </c>
      <c r="Y56" s="14">
        <f t="shared" si="1"/>
        <v>0.93428067834898942</v>
      </c>
      <c r="Z56" s="6">
        <f t="shared" si="0"/>
        <v>0.10020718577991744</v>
      </c>
      <c r="AA56" s="249">
        <f t="shared" si="0"/>
        <v>2.4914151422639714E-2</v>
      </c>
      <c r="AB56" s="6">
        <f t="shared" si="0"/>
        <v>0.54771470665054478</v>
      </c>
      <c r="AC56" s="250">
        <f t="shared" si="0"/>
        <v>0.54771470665054478</v>
      </c>
      <c r="AD56" s="6">
        <f t="shared" si="0"/>
        <v>1.5555258591561812E-2</v>
      </c>
      <c r="AE56" s="14">
        <f t="shared" si="0"/>
        <v>7.7010232819283324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1.2935702258990897E-2</v>
      </c>
      <c r="E57" s="99">
        <v>2.2589765763770364E-2</v>
      </c>
      <c r="F57" s="99">
        <v>1.8053758852164129E-3</v>
      </c>
      <c r="G57" s="99">
        <v>1.6699726938251825E-2</v>
      </c>
      <c r="H57" s="99">
        <v>1.6699726938251825E-2</v>
      </c>
      <c r="I57" s="99">
        <v>4.0553255821673684E-4</v>
      </c>
      <c r="J57" s="99">
        <v>5.6034354037404435E-2</v>
      </c>
      <c r="K57" s="49">
        <v>173.07129611481054</v>
      </c>
      <c r="L57" s="100">
        <v>15.399772749858874</v>
      </c>
      <c r="M57" s="49" t="s">
        <v>237</v>
      </c>
      <c r="N57" s="99">
        <v>1.1258838483340628E-2</v>
      </c>
      <c r="O57" s="99">
        <v>1.9661439249192239E-2</v>
      </c>
      <c r="P57" s="99">
        <v>1.5713437961392396E-3</v>
      </c>
      <c r="Q57" s="99">
        <v>1.4534930114287962E-2</v>
      </c>
      <c r="R57" s="99">
        <v>1.4534930114287962E-2</v>
      </c>
      <c r="S57" s="99">
        <v>3.5296310020777662E-4</v>
      </c>
      <c r="T57" s="99">
        <v>4.8770583072671653E-2</v>
      </c>
      <c r="U57" s="49">
        <v>150.6351188707639</v>
      </c>
      <c r="V57" s="100">
        <v>13.403489860807669</v>
      </c>
      <c r="W57" t="s">
        <v>237</v>
      </c>
      <c r="Y57" s="14">
        <f t="shared" si="1"/>
        <v>0.14948490853583818</v>
      </c>
      <c r="Z57" s="6">
        <f t="shared" si="0"/>
        <v>0.26104721656655111</v>
      </c>
      <c r="AA57" s="249">
        <f t="shared" si="0"/>
        <v>2.0862914410913175E-2</v>
      </c>
      <c r="AB57" s="6">
        <f t="shared" si="0"/>
        <v>0.1929819583009468</v>
      </c>
      <c r="AC57" s="250">
        <f t="shared" si="0"/>
        <v>0.1929819583009468</v>
      </c>
      <c r="AD57" s="6">
        <f t="shared" si="0"/>
        <v>4.6863321495513709E-3</v>
      </c>
      <c r="AE57" s="14">
        <f t="shared" si="0"/>
        <v>0.64753270602871771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4.3632525743047774E-2</v>
      </c>
      <c r="E58" s="99">
        <v>7.6195981979413546E-2</v>
      </c>
      <c r="F58" s="99">
        <v>6.0895889693837017E-3</v>
      </c>
      <c r="G58" s="99">
        <v>5.6328697966799242E-2</v>
      </c>
      <c r="H58" s="99">
        <v>5.6328697966799242E-2</v>
      </c>
      <c r="I58" s="99">
        <v>1.3678739222478138E-3</v>
      </c>
      <c r="J58" s="99">
        <v>0.1890056176372466</v>
      </c>
      <c r="K58" s="49">
        <v>583.7748606082406</v>
      </c>
      <c r="L58" s="100">
        <v>51.943912088598083</v>
      </c>
      <c r="M58" s="49" t="s">
        <v>237</v>
      </c>
      <c r="N58" s="99">
        <v>3.7976412113206674E-2</v>
      </c>
      <c r="O58" s="99">
        <v>6.631864563746323E-2</v>
      </c>
      <c r="P58" s="99">
        <v>5.3001914595375227E-3</v>
      </c>
      <c r="Q58" s="99">
        <v>4.9026771000722072E-2</v>
      </c>
      <c r="R58" s="99">
        <v>4.9026771000722072E-2</v>
      </c>
      <c r="S58" s="99">
        <v>1.1905555065986157E-3</v>
      </c>
      <c r="T58" s="99">
        <v>0.16450469242539587</v>
      </c>
      <c r="U58" s="49">
        <v>508.09693747917066</v>
      </c>
      <c r="V58" s="100">
        <v>45.210387862157873</v>
      </c>
      <c r="W58" t="s">
        <v>237</v>
      </c>
      <c r="Y58" s="14">
        <f t="shared" si="1"/>
        <v>0.14948490853583823</v>
      </c>
      <c r="Z58" s="6">
        <f t="shared" si="0"/>
        <v>0.26104721656655111</v>
      </c>
      <c r="AA58" s="249">
        <f t="shared" si="0"/>
        <v>2.0862914410913185E-2</v>
      </c>
      <c r="AB58" s="6">
        <f t="shared" si="0"/>
        <v>0.19298195830094692</v>
      </c>
      <c r="AC58" s="250">
        <f t="shared" si="0"/>
        <v>0.19298195830094692</v>
      </c>
      <c r="AD58" s="6">
        <f t="shared" si="0"/>
        <v>4.6863321495513735E-3</v>
      </c>
      <c r="AE58" s="14">
        <f t="shared" si="0"/>
        <v>0.64753270602871804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1.2254107837036554</v>
      </c>
      <c r="E59" s="99">
        <v>4.3529978721912291E-2</v>
      </c>
      <c r="F59" s="99">
        <v>1.0796570781530006E-2</v>
      </c>
      <c r="G59" s="99">
        <v>0.26640948887173027</v>
      </c>
      <c r="H59" s="99">
        <v>0.26640948887173027</v>
      </c>
      <c r="I59" s="99">
        <v>6.5793916252703949E-3</v>
      </c>
      <c r="J59" s="99">
        <v>1.6348887200284128</v>
      </c>
      <c r="K59" s="49">
        <v>866.40462830831552</v>
      </c>
      <c r="L59" s="100">
        <v>77.118999734753487</v>
      </c>
      <c r="M59" s="49" t="s">
        <v>237</v>
      </c>
      <c r="N59" s="99">
        <v>1.1204185130963187</v>
      </c>
      <c r="O59" s="99">
        <v>3.9800363015667695E-2</v>
      </c>
      <c r="P59" s="99">
        <v>9.8715287497472982E-3</v>
      </c>
      <c r="Q59" s="99">
        <v>0.24358372503811659</v>
      </c>
      <c r="R59" s="99">
        <v>0.24358372503811659</v>
      </c>
      <c r="S59" s="99">
        <v>6.0156743190914628E-3</v>
      </c>
      <c r="T59" s="99">
        <v>1.4948126890444904</v>
      </c>
      <c r="U59" s="49">
        <v>792.17148434975445</v>
      </c>
      <c r="V59" s="100">
        <v>70.511502072095013</v>
      </c>
      <c r="W59" t="s">
        <v>237</v>
      </c>
      <c r="Y59" s="14">
        <f t="shared" si="1"/>
        <v>2.8287272017017937</v>
      </c>
      <c r="Z59" s="6">
        <f t="shared" si="0"/>
        <v>0.10048421030539215</v>
      </c>
      <c r="AA59" s="249">
        <f t="shared" si="0"/>
        <v>2.4922706622923289E-2</v>
      </c>
      <c r="AB59" s="6">
        <f t="shared" si="0"/>
        <v>0.6149772614904454</v>
      </c>
      <c r="AC59" s="250">
        <f t="shared" si="0"/>
        <v>0.6149772614904454</v>
      </c>
      <c r="AD59" s="6">
        <f t="shared" si="0"/>
        <v>1.5187808291355917E-2</v>
      </c>
      <c r="AE59" s="14">
        <f t="shared" si="0"/>
        <v>3.7739623770262103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8.9439088571371464E-2</v>
      </c>
      <c r="E60" s="99">
        <v>1.4013473244865955</v>
      </c>
      <c r="F60" s="99">
        <v>3.6255544292573063</v>
      </c>
      <c r="G60" s="99">
        <v>5.7275776205174211E-2</v>
      </c>
      <c r="H60" s="99">
        <v>5.7275776205174211E-2</v>
      </c>
      <c r="I60" s="99">
        <v>3.0728453934075976E-3</v>
      </c>
      <c r="J60" s="99">
        <v>5.6177990494575045E-2</v>
      </c>
      <c r="K60" s="49">
        <v>33670.909379124343</v>
      </c>
      <c r="L60" s="100">
        <v>250.88103386078961</v>
      </c>
      <c r="M60" s="49" t="s">
        <v>238</v>
      </c>
      <c r="N60" s="99">
        <v>8.260929847372378E-2</v>
      </c>
      <c r="O60" s="99">
        <v>1.2943369755103071</v>
      </c>
      <c r="P60" s="99">
        <v>3.3486981225244321</v>
      </c>
      <c r="Q60" s="99">
        <v>5.2902056219767318E-2</v>
      </c>
      <c r="R60" s="99">
        <v>5.2902056219767318E-2</v>
      </c>
      <c r="S60" s="99">
        <v>2.8381953161905173E-3</v>
      </c>
      <c r="T60" s="99">
        <v>5.1888100142221782E-2</v>
      </c>
      <c r="U60" s="49">
        <v>31099.715428810043</v>
      </c>
      <c r="V60" s="100">
        <v>231.72313737369916</v>
      </c>
      <c r="W60" t="s">
        <v>238</v>
      </c>
      <c r="Y60" s="14">
        <f t="shared" si="1"/>
        <v>5.3125436895281987E-3</v>
      </c>
      <c r="Z60" s="6">
        <f t="shared" si="0"/>
        <v>8.323786617746759E-2</v>
      </c>
      <c r="AA60" s="249">
        <f t="shared" si="0"/>
        <v>0.215352332093835</v>
      </c>
      <c r="AB60" s="6">
        <f t="shared" si="0"/>
        <v>3.4020926230572584E-3</v>
      </c>
      <c r="AC60" s="250">
        <f t="shared" si="0"/>
        <v>3.4020926230572584E-3</v>
      </c>
      <c r="AD60" s="6">
        <f t="shared" si="0"/>
        <v>1.8252226922702193E-4</v>
      </c>
      <c r="AE60" s="14">
        <f t="shared" si="0"/>
        <v>3.3368858477819943E-3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2.7880133328652811E-2</v>
      </c>
      <c r="E61" s="99">
        <v>0.70384628319179587</v>
      </c>
      <c r="F61" s="99">
        <v>0.49750983501699236</v>
      </c>
      <c r="G61" s="99">
        <v>1.7854120637958673E-2</v>
      </c>
      <c r="H61" s="99">
        <v>1.7854120637958673E-2</v>
      </c>
      <c r="I61" s="99">
        <v>9.5787357222648346E-4</v>
      </c>
      <c r="J61" s="99">
        <v>1.7511916659064469E-2</v>
      </c>
      <c r="K61" s="49">
        <v>10831.412246895978</v>
      </c>
      <c r="L61" s="100">
        <v>80.70455930003601</v>
      </c>
      <c r="M61" s="49" t="s">
        <v>238</v>
      </c>
      <c r="N61" s="99">
        <v>2.7415804511189711E-2</v>
      </c>
      <c r="O61" s="99">
        <v>0.69212409705668243</v>
      </c>
      <c r="P61" s="99">
        <v>0.48922407287064373</v>
      </c>
      <c r="Q61" s="99">
        <v>1.7556769738486938E-2</v>
      </c>
      <c r="R61" s="99">
        <v>1.7556769738486938E-2</v>
      </c>
      <c r="S61" s="99">
        <v>9.4192069646982458E-4</v>
      </c>
      <c r="T61" s="99">
        <v>1.7220264985165934E-2</v>
      </c>
      <c r="U61" s="49">
        <v>10651.020826927837</v>
      </c>
      <c r="V61" s="100">
        <v>79.360467715468317</v>
      </c>
      <c r="W61" t="s">
        <v>238</v>
      </c>
      <c r="Y61" s="14">
        <f t="shared" si="1"/>
        <v>5.1480144404332144E-3</v>
      </c>
      <c r="Z61" s="6">
        <f t="shared" si="0"/>
        <v>0.12996389891696747</v>
      </c>
      <c r="AA61" s="249">
        <f t="shared" si="0"/>
        <v>9.186425992779787E-2</v>
      </c>
      <c r="AB61" s="6">
        <f t="shared" si="0"/>
        <v>3.2967299611507722E-3</v>
      </c>
      <c r="AC61" s="250">
        <f t="shared" si="0"/>
        <v>3.2967299611507722E-3</v>
      </c>
      <c r="AD61" s="6">
        <f t="shared" si="0"/>
        <v>1.7686956241573902E-4</v>
      </c>
      <c r="AE61" s="14">
        <f t="shared" si="0"/>
        <v>3.2335426368953818E-3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5.977875854715829E-4</v>
      </c>
      <c r="E62" s="99">
        <v>1.5091411694934779E-2</v>
      </c>
      <c r="F62" s="99">
        <v>2.4232262010720689E-2</v>
      </c>
      <c r="G62" s="99">
        <v>3.3536470433188388E-4</v>
      </c>
      <c r="H62" s="99">
        <v>3.3536470433188388E-4</v>
      </c>
      <c r="I62" s="99">
        <v>2.0538098694809146E-5</v>
      </c>
      <c r="J62" s="99">
        <v>3.7547906436455992E-4</v>
      </c>
      <c r="K62" s="49">
        <v>229.71643834973216</v>
      </c>
      <c r="L62" s="100">
        <v>1.6768235216594196</v>
      </c>
      <c r="M62" s="49" t="s">
        <v>238</v>
      </c>
      <c r="N62" s="99">
        <v>5.6444279672255551E-4</v>
      </c>
      <c r="O62" s="99">
        <v>1.4249607771396916E-2</v>
      </c>
      <c r="P62" s="99">
        <v>2.2880578440676102E-2</v>
      </c>
      <c r="Q62" s="99">
        <v>3.1665795047548697E-4</v>
      </c>
      <c r="R62" s="99">
        <v>3.1665795047548697E-4</v>
      </c>
      <c r="S62" s="99">
        <v>1.9392476773362194E-5</v>
      </c>
      <c r="T62" s="99">
        <v>3.5453471827038359E-4</v>
      </c>
      <c r="U62" s="49">
        <v>216.90277962694668</v>
      </c>
      <c r="V62" s="100">
        <v>1.5832897523774347</v>
      </c>
      <c r="W62" t="s">
        <v>238</v>
      </c>
      <c r="Y62" s="14">
        <f t="shared" si="1"/>
        <v>5.2045695098361256E-3</v>
      </c>
      <c r="Z62" s="6">
        <f t="shared" si="0"/>
        <v>0.13139165662980404</v>
      </c>
      <c r="AA62" s="249">
        <f t="shared" si="0"/>
        <v>0.21097542853096343</v>
      </c>
      <c r="AB62" s="6">
        <f t="shared" si="0"/>
        <v>2.9198145917734225E-3</v>
      </c>
      <c r="AC62" s="250">
        <f t="shared" si="0"/>
        <v>2.9198145917734225E-3</v>
      </c>
      <c r="AD62" s="6">
        <f t="shared" si="0"/>
        <v>1.7881261647928638E-4</v>
      </c>
      <c r="AE62" s="14">
        <f t="shared" si="0"/>
        <v>3.2690656973612922E-3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2.3036700987112664E-3</v>
      </c>
      <c r="E63" s="99">
        <v>3.6094307096529742E-2</v>
      </c>
      <c r="F63" s="99">
        <v>9.3382898499299566E-2</v>
      </c>
      <c r="G63" s="99">
        <v>1.4752441592587094E-3</v>
      </c>
      <c r="H63" s="99">
        <v>1.4752441592587094E-3</v>
      </c>
      <c r="I63" s="99">
        <v>7.9146849144229734E-5</v>
      </c>
      <c r="J63" s="99">
        <v>1.4469686462062503E-3</v>
      </c>
      <c r="K63" s="49">
        <v>807.7384637837539</v>
      </c>
      <c r="L63" s="100">
        <v>6.4619077102700313</v>
      </c>
      <c r="M63" s="49" t="s">
        <v>238</v>
      </c>
      <c r="N63" s="99">
        <v>1.9096164236037487E-3</v>
      </c>
      <c r="O63" s="99">
        <v>2.9920205010556714E-2</v>
      </c>
      <c r="P63" s="99">
        <v>7.7409311670861333E-2</v>
      </c>
      <c r="Q63" s="99">
        <v>1.2228966625568143E-3</v>
      </c>
      <c r="R63" s="99">
        <v>1.2228966625568143E-3</v>
      </c>
      <c r="S63" s="99">
        <v>6.560840594617312E-5</v>
      </c>
      <c r="T63" s="99">
        <v>1.1994578098578083E-3</v>
      </c>
      <c r="U63" s="49">
        <v>669.57097601814439</v>
      </c>
      <c r="V63" s="100">
        <v>5.356567808145158</v>
      </c>
      <c r="W63" t="s">
        <v>238</v>
      </c>
      <c r="Y63" s="14">
        <f t="shared" si="1"/>
        <v>5.7040000000000025E-3</v>
      </c>
      <c r="Z63" s="6">
        <f t="shared" si="0"/>
        <v>8.9371272298833696E-2</v>
      </c>
      <c r="AA63" s="249">
        <f t="shared" si="0"/>
        <v>0.23122063065279477</v>
      </c>
      <c r="AB63" s="6">
        <f t="shared" si="0"/>
        <v>3.652776796955057E-3</v>
      </c>
      <c r="AC63" s="250">
        <f t="shared" si="0"/>
        <v>3.652776796955057E-3</v>
      </c>
      <c r="AD63" s="6">
        <f t="shared" si="0"/>
        <v>1.9597147515663889E-4</v>
      </c>
      <c r="AE63" s="14">
        <f t="shared" si="0"/>
        <v>3.5827652416800838E-3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6.499055271109276E-4</v>
      </c>
      <c r="E64" s="99">
        <v>1.1107476281532223E-2</v>
      </c>
      <c r="F64" s="99">
        <v>7.0898784775737624E-5</v>
      </c>
      <c r="G64" s="99">
        <v>5.8529310125197163E-6</v>
      </c>
      <c r="H64" s="99">
        <v>5.8529310125197163E-6</v>
      </c>
      <c r="I64" s="99">
        <v>2.3632928258579193E-3</v>
      </c>
      <c r="J64" s="99">
        <v>4.7265856517158386E-3</v>
      </c>
      <c r="K64" s="49">
        <v>291.73882732240446</v>
      </c>
      <c r="L64" s="100">
        <v>287.42741608118678</v>
      </c>
      <c r="M64" s="49" t="s">
        <v>239</v>
      </c>
      <c r="N64" s="99">
        <v>6.499055271109276E-4</v>
      </c>
      <c r="O64" s="99">
        <v>1.1107476281532223E-2</v>
      </c>
      <c r="P64" s="99">
        <v>7.0898784775737624E-5</v>
      </c>
      <c r="Q64" s="99">
        <v>5.8529310125197163E-6</v>
      </c>
      <c r="R64" s="99">
        <v>5.8529310125197163E-6</v>
      </c>
      <c r="S64" s="99">
        <v>2.3632928258579193E-3</v>
      </c>
      <c r="T64" s="99">
        <v>4.7265856517158386E-3</v>
      </c>
      <c r="U64" s="49">
        <v>291.73882732240446</v>
      </c>
      <c r="V64" s="100">
        <v>287.42741608118678</v>
      </c>
      <c r="W64" t="s">
        <v>239</v>
      </c>
      <c r="Y64" s="14">
        <f t="shared" si="1"/>
        <v>4.4553927434054464E-3</v>
      </c>
      <c r="Z64" s="6">
        <f t="shared" si="0"/>
        <v>7.6146712341838563E-2</v>
      </c>
      <c r="AA64" s="249">
        <f t="shared" si="0"/>
        <v>4.8604284473513997E-4</v>
      </c>
      <c r="AB64" s="6">
        <f t="shared" si="0"/>
        <v>4.0124456975701519E-5</v>
      </c>
      <c r="AC64" s="250">
        <f t="shared" si="0"/>
        <v>4.0124456975701519E-5</v>
      </c>
      <c r="AD64" s="6">
        <f t="shared" si="0"/>
        <v>1.620142815783799E-2</v>
      </c>
      <c r="AE64" s="14">
        <f t="shared" si="0"/>
        <v>3.2402856315675979E-2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0.13262524434035905</v>
      </c>
      <c r="F65" s="99">
        <v>7.9575146604215412E-4</v>
      </c>
      <c r="G65" s="99">
        <v>1.0079518569867288E-2</v>
      </c>
      <c r="H65" s="99">
        <v>1.0079518569867288E-2</v>
      </c>
      <c r="I65" s="99">
        <v>2.6525048868071797E-2</v>
      </c>
      <c r="J65" s="99">
        <v>5.3050097736143595E-2</v>
      </c>
      <c r="K65" s="49">
        <v>2692.2924601092905</v>
      </c>
      <c r="L65" s="100">
        <v>2652.5048868071799</v>
      </c>
      <c r="M65" s="49" t="s">
        <v>239</v>
      </c>
      <c r="N65" s="99">
        <v>7.2943884387197469E-3</v>
      </c>
      <c r="O65" s="99">
        <v>0.13262524434035905</v>
      </c>
      <c r="P65" s="99">
        <v>7.9575146604215412E-4</v>
      </c>
      <c r="Q65" s="99">
        <v>1.0079518569867288E-2</v>
      </c>
      <c r="R65" s="99">
        <v>1.0079518569867288E-2</v>
      </c>
      <c r="S65" s="99">
        <v>2.6525048868071797E-2</v>
      </c>
      <c r="T65" s="99">
        <v>5.3050097736143595E-2</v>
      </c>
      <c r="U65" s="49">
        <v>2692.2924601092905</v>
      </c>
      <c r="V65" s="100">
        <v>2652.5048868071799</v>
      </c>
      <c r="W65" t="s">
        <v>239</v>
      </c>
      <c r="Y65" s="14">
        <f t="shared" si="1"/>
        <v>5.4187192118226556E-3</v>
      </c>
      <c r="Z65" s="6">
        <f t="shared" si="0"/>
        <v>9.8522167487684664E-2</v>
      </c>
      <c r="AA65" s="249">
        <f t="shared" si="0"/>
        <v>5.9113300492610779E-4</v>
      </c>
      <c r="AB65" s="6">
        <f t="shared" si="0"/>
        <v>7.4876847290640345E-3</v>
      </c>
      <c r="AC65" s="250">
        <f t="shared" si="0"/>
        <v>7.4876847290640345E-3</v>
      </c>
      <c r="AD65" s="6">
        <f t="shared" si="0"/>
        <v>1.9704433497536925E-2</v>
      </c>
      <c r="AE65" s="14">
        <f t="shared" si="0"/>
        <v>3.940886699507385E-2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0.13489682176490195</v>
      </c>
      <c r="E66" s="99">
        <v>6.3671299873033715E-2</v>
      </c>
      <c r="F66" s="99">
        <v>0.12545404424135878</v>
      </c>
      <c r="G66" s="99">
        <v>0.10778256059015662</v>
      </c>
      <c r="H66" s="99">
        <v>0.10778256059015662</v>
      </c>
      <c r="I66" s="99">
        <v>1.7077263151327762E-2</v>
      </c>
      <c r="J66" s="99">
        <v>1.7614152501952074</v>
      </c>
      <c r="K66" s="49">
        <v>410.08633816530175</v>
      </c>
      <c r="L66" s="100">
        <v>26.97936435298039</v>
      </c>
      <c r="M66" s="49" t="s">
        <v>237</v>
      </c>
      <c r="N66" s="99">
        <v>0.11826398048530015</v>
      </c>
      <c r="O66" s="99">
        <v>5.5820598789061676E-2</v>
      </c>
      <c r="P66" s="99">
        <v>0.10998550185132909</v>
      </c>
      <c r="Q66" s="99">
        <v>9.4492920407754755E-2</v>
      </c>
      <c r="R66" s="99">
        <v>9.4492920407754755E-2</v>
      </c>
      <c r="S66" s="99">
        <v>1.4971628609536571E-2</v>
      </c>
      <c r="T66" s="99">
        <v>1.5442319251868066</v>
      </c>
      <c r="U66" s="49">
        <v>359.52250067531236</v>
      </c>
      <c r="V66" s="100">
        <v>23.652796097060016</v>
      </c>
      <c r="W66" t="s">
        <v>237</v>
      </c>
      <c r="Y66" s="14">
        <f t="shared" si="1"/>
        <v>0.65789473684210542</v>
      </c>
      <c r="Z66" s="6">
        <f t="shared" si="1"/>
        <v>0.31052631578947382</v>
      </c>
      <c r="AA66" s="249">
        <f t="shared" si="1"/>
        <v>0.61184210526315785</v>
      </c>
      <c r="AB66" s="6">
        <f t="shared" si="1"/>
        <v>0.52565789473684188</v>
      </c>
      <c r="AC66" s="250">
        <f t="shared" si="1"/>
        <v>0.52565789473684188</v>
      </c>
      <c r="AD66" s="6">
        <f t="shared" si="1"/>
        <v>8.3286184210526332E-2</v>
      </c>
      <c r="AE66" s="14">
        <f t="shared" si="1"/>
        <v>8.5904605263157912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1.6443543175439636E-4</v>
      </c>
      <c r="F67" s="99">
        <v>3.2399354138048429E-4</v>
      </c>
      <c r="G67" s="99">
        <v>2.7835574146559887E-4</v>
      </c>
      <c r="H67" s="99">
        <v>2.7835574146559887E-4</v>
      </c>
      <c r="I67" s="99">
        <v>4.4103185345228465E-5</v>
      </c>
      <c r="J67" s="99">
        <v>4.5489738350276065E-3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1.5539346793088334E-4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4.1678042526928339E-5</v>
      </c>
      <c r="T67" s="99">
        <v>4.2988351853972644E-3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4.2325140919862265E-5</v>
      </c>
      <c r="F68" s="99">
        <v>9.227066009456588E-6</v>
      </c>
      <c r="G68" s="99">
        <v>2.9937064250054862E-4</v>
      </c>
      <c r="H68" s="99">
        <v>2.9937064250054862E-4</v>
      </c>
      <c r="I68" s="99">
        <v>1.09618260587576E-5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8.7269646582558802E-4</v>
      </c>
      <c r="O68" s="99">
        <v>3.5510956409239793E-5</v>
      </c>
      <c r="P68" s="99">
        <v>7.5369704121824448E-6</v>
      </c>
      <c r="Q68" s="99">
        <v>2.5766689106639573E-4</v>
      </c>
      <c r="R68" s="99">
        <v>2.5766689106639573E-4</v>
      </c>
      <c r="S68" s="99">
        <v>9.9318878456321123E-6</v>
      </c>
      <c r="T68" s="99">
        <v>1.8733911971619828E-3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4.5454071442014882E-4</v>
      </c>
      <c r="E69" s="101">
        <v>2.3729271934124708E-2</v>
      </c>
      <c r="F69" s="101">
        <v>1.6802202817214625E-2</v>
      </c>
      <c r="G69" s="101">
        <v>2.3655128992506407E-3</v>
      </c>
      <c r="H69" s="101">
        <v>2.3655128992506407E-3</v>
      </c>
      <c r="I69" s="101">
        <v>1.6537406597149248E-5</v>
      </c>
      <c r="J69" s="101">
        <v>5.6489860280612321E-3</v>
      </c>
      <c r="K69" s="94">
        <v>125.9077778943812</v>
      </c>
      <c r="L69" s="102">
        <v>0.90908142884029708</v>
      </c>
      <c r="M69" s="94" t="s">
        <v>238</v>
      </c>
      <c r="N69" s="101">
        <v>4.5454071442014882E-4</v>
      </c>
      <c r="O69" s="101">
        <v>2.3729271934124708E-2</v>
      </c>
      <c r="P69" s="101">
        <v>1.6802202817214625E-2</v>
      </c>
      <c r="Q69" s="101">
        <v>2.3655128992506407E-3</v>
      </c>
      <c r="R69" s="101">
        <v>2.3655128992506407E-3</v>
      </c>
      <c r="S69" s="101">
        <v>1.6537406597149248E-5</v>
      </c>
      <c r="T69" s="101">
        <v>5.6489860280612321E-3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7.2202166064981961E-3</v>
      </c>
      <c r="Z69" s="252">
        <f t="shared" si="1"/>
        <v>0.37693099395384783</v>
      </c>
      <c r="AA69" s="253">
        <f t="shared" si="1"/>
        <v>0.26689697964980835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2.6269078644246729E-4</v>
      </c>
      <c r="AE69" s="251">
        <f t="shared" si="1"/>
        <v>8.9732121756607164E-2</v>
      </c>
    </row>
    <row r="70" spans="1:31" x14ac:dyDescent="0.25">
      <c r="A70" s="17" t="s">
        <v>236</v>
      </c>
      <c r="B70" s="17" t="s">
        <v>219</v>
      </c>
      <c r="C70" s="17"/>
      <c r="D70" s="103">
        <v>10.589044651500791</v>
      </c>
      <c r="E70" s="103">
        <v>2.8840323260281697</v>
      </c>
      <c r="F70" s="103">
        <v>4.4859025552777556</v>
      </c>
      <c r="G70" s="103">
        <v>3.0449789296419683</v>
      </c>
      <c r="H70" s="103">
        <v>3.0449789296419683</v>
      </c>
      <c r="I70" s="103">
        <v>0.15681532537454287</v>
      </c>
      <c r="J70" s="103">
        <v>32.368113027070159</v>
      </c>
      <c r="K70" s="93">
        <v>57377.83131239724</v>
      </c>
      <c r="L70" s="93"/>
      <c r="M70" s="93"/>
      <c r="N70" s="103">
        <v>9.5358125850781317</v>
      </c>
      <c r="O70" s="103">
        <v>2.69089739407669</v>
      </c>
      <c r="P70" s="103">
        <v>4.1556763727866413</v>
      </c>
      <c r="Q70" s="103">
        <v>2.707960014814863</v>
      </c>
      <c r="R70" s="103">
        <v>2.707960014814863</v>
      </c>
      <c r="S70" s="103">
        <v>0.14291593693245044</v>
      </c>
      <c r="T70" s="103">
        <v>28.550897201086578</v>
      </c>
      <c r="U70" s="93">
        <v>53421.021136798277</v>
      </c>
      <c r="Y70" s="14">
        <f t="shared" si="1"/>
        <v>0.35700600183808645</v>
      </c>
      <c r="Z70" s="6">
        <f t="shared" si="1"/>
        <v>0.10074301601932896</v>
      </c>
      <c r="AA70" s="249">
        <f t="shared" si="1"/>
        <v>0.15558206430180216</v>
      </c>
      <c r="AB70" s="6">
        <f t="shared" si="1"/>
        <v>0.10138181401963224</v>
      </c>
      <c r="AC70" s="250">
        <f t="shared" si="1"/>
        <v>0.10138181401963224</v>
      </c>
      <c r="AD70" s="6">
        <f t="shared" si="1"/>
        <v>5.3505505470019896E-3</v>
      </c>
      <c r="AE70" s="14">
        <f t="shared" si="1"/>
        <v>1.0689012150469628</v>
      </c>
    </row>
    <row r="71" spans="1:31" x14ac:dyDescent="0.25">
      <c r="R71" s="99"/>
      <c r="T71" s="1" t="s">
        <v>33</v>
      </c>
      <c r="U71" s="49">
        <f>SUM(U50:U60,U62:U64,U66)</f>
        <v>39928.774529023576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7.722619095457854</v>
      </c>
      <c r="O74" s="99">
        <f t="shared" si="2"/>
        <v>0.20311712657982639</v>
      </c>
      <c r="P74" s="99">
        <f t="shared" si="2"/>
        <v>0.14258184591441331</v>
      </c>
      <c r="Q74" s="99">
        <f>SUM(Q50,Q51,Q54, Q59,Q66)</f>
        <v>1.5031801480596638</v>
      </c>
      <c r="R74" s="99">
        <f t="shared" ref="R74:U74" si="3">SUM(R50,R51,R54, R59,R66)</f>
        <v>1.5031801480596638</v>
      </c>
      <c r="S74" s="99">
        <f t="shared" si="3"/>
        <v>7.3496133514570641E-2</v>
      </c>
      <c r="T74" s="99">
        <f t="shared" si="3"/>
        <v>12.707307335469029</v>
      </c>
      <c r="U74" s="49">
        <f t="shared" si="3"/>
        <v>2976.0564852304442</v>
      </c>
      <c r="Y74" s="14">
        <f t="shared" ref="Y74:AE81" si="4">N74/$U74*2000</f>
        <v>5.1898336834556895</v>
      </c>
      <c r="Z74" s="6">
        <f t="shared" si="4"/>
        <v>0.13650085446150292</v>
      </c>
      <c r="AA74" s="249">
        <f t="shared" si="4"/>
        <v>9.5819314332249841E-2</v>
      </c>
      <c r="AB74" s="6">
        <f t="shared" si="4"/>
        <v>1.0101825388863668</v>
      </c>
      <c r="AC74" s="250">
        <f t="shared" si="4"/>
        <v>1.0101825388863668</v>
      </c>
      <c r="AD74" s="6">
        <f t="shared" si="4"/>
        <v>4.9391625380309022E-2</v>
      </c>
      <c r="AE74" s="14">
        <f t="shared" si="4"/>
        <v>8.5396949947239094</v>
      </c>
    </row>
    <row r="75" spans="1:31" x14ac:dyDescent="0.25">
      <c r="M75" s="1" t="s">
        <v>588</v>
      </c>
      <c r="N75" s="99">
        <f t="shared" ref="N75:U75" si="5">SUM(N52:N53,N55:N56)</f>
        <v>1.64185832222341</v>
      </c>
      <c r="O75" s="99">
        <f t="shared" si="5"/>
        <v>0.20351640028090895</v>
      </c>
      <c r="P75" s="99">
        <f t="shared" si="5"/>
        <v>5.0028338263917185E-2</v>
      </c>
      <c r="Q75" s="99">
        <f t="shared" si="5"/>
        <v>1.0562481842419491</v>
      </c>
      <c r="R75" s="99">
        <f t="shared" si="5"/>
        <v>1.0562481842419491</v>
      </c>
      <c r="S75" s="99">
        <f t="shared" si="5"/>
        <v>3.5054678884794126E-2</v>
      </c>
      <c r="T75" s="99">
        <f t="shared" si="5"/>
        <v>15.490054336665485</v>
      </c>
      <c r="U75" s="49">
        <f t="shared" si="5"/>
        <v>4016.0579756656684</v>
      </c>
      <c r="Y75" s="14">
        <f t="shared" si="4"/>
        <v>0.81764672331517785</v>
      </c>
      <c r="Z75" s="6">
        <f t="shared" si="4"/>
        <v>0.10135132585937122</v>
      </c>
      <c r="AA75" s="249">
        <f t="shared" si="4"/>
        <v>2.491415142263971E-2</v>
      </c>
      <c r="AB75" s="6">
        <f t="shared" si="4"/>
        <v>0.52601241846707869</v>
      </c>
      <c r="AC75" s="250">
        <f t="shared" si="4"/>
        <v>0.52601241846707869</v>
      </c>
      <c r="AD75" s="6">
        <f t="shared" si="4"/>
        <v>1.7457257388812347E-2</v>
      </c>
      <c r="AE75" s="14">
        <f t="shared" si="4"/>
        <v>7.7140591249049297</v>
      </c>
    </row>
    <row r="76" spans="1:31" x14ac:dyDescent="0.25">
      <c r="M76" s="1" t="s">
        <v>589</v>
      </c>
      <c r="N76" s="99">
        <f t="shared" ref="N76:V76" si="6">SUM(N60,N62:N63)</f>
        <v>8.5083357694050094E-2</v>
      </c>
      <c r="O76" s="99">
        <f t="shared" si="6"/>
        <v>1.3385067882922608</v>
      </c>
      <c r="P76" s="99">
        <f t="shared" si="6"/>
        <v>3.4489880126359695</v>
      </c>
      <c r="Q76" s="99">
        <f t="shared" si="6"/>
        <v>5.4441610832799622E-2</v>
      </c>
      <c r="R76" s="99">
        <f t="shared" si="6"/>
        <v>5.4441610832799622E-2</v>
      </c>
      <c r="S76" s="99">
        <f t="shared" si="6"/>
        <v>2.9231961989100524E-3</v>
      </c>
      <c r="T76" s="99">
        <f t="shared" si="6"/>
        <v>5.3442092670349974E-2</v>
      </c>
      <c r="U76" s="49">
        <f t="shared" si="6"/>
        <v>31986.189184455136</v>
      </c>
      <c r="V76" s="100">
        <f t="shared" si="6"/>
        <v>238.66299493422173</v>
      </c>
      <c r="W76" t="s">
        <v>238</v>
      </c>
      <c r="Y76" s="14">
        <f t="shared" si="4"/>
        <v>5.3200059065116444E-3</v>
      </c>
      <c r="Z76" s="6">
        <f t="shared" si="4"/>
        <v>8.3692795073115958E-2</v>
      </c>
      <c r="AA76" s="249">
        <f t="shared" si="4"/>
        <v>0.21565482482121576</v>
      </c>
      <c r="AB76" s="6">
        <f t="shared" si="4"/>
        <v>3.4040698326925126E-3</v>
      </c>
      <c r="AC76" s="250">
        <f t="shared" si="4"/>
        <v>3.4040698326925126E-3</v>
      </c>
      <c r="AD76" s="6">
        <f t="shared" si="4"/>
        <v>1.8277864750019591E-4</v>
      </c>
      <c r="AE76" s="14">
        <f t="shared" si="4"/>
        <v>3.3415729746463282E-3</v>
      </c>
    </row>
    <row r="77" spans="1:31" x14ac:dyDescent="0.25">
      <c r="M77" s="1" t="s">
        <v>590</v>
      </c>
      <c r="N77" s="99">
        <f t="shared" ref="N77:U77" si="7">SUM(N64,N66)</f>
        <v>0.11891388601241108</v>
      </c>
      <c r="O77" s="99">
        <f t="shared" si="7"/>
        <v>6.6928075070593895E-2</v>
      </c>
      <c r="P77" s="99">
        <f t="shared" si="7"/>
        <v>0.11005640063610483</v>
      </c>
      <c r="Q77" s="99">
        <f t="shared" si="7"/>
        <v>9.4498773338767272E-2</v>
      </c>
      <c r="R77" s="99">
        <f t="shared" si="7"/>
        <v>9.4498773338767272E-2</v>
      </c>
      <c r="S77" s="99">
        <f t="shared" si="7"/>
        <v>1.7334921435394491E-2</v>
      </c>
      <c r="T77" s="99">
        <f t="shared" si="7"/>
        <v>1.5489585108385224</v>
      </c>
      <c r="U77" s="49">
        <f t="shared" si="7"/>
        <v>651.26132799771676</v>
      </c>
      <c r="Y77" s="14">
        <f t="shared" si="4"/>
        <v>0.36518024608649258</v>
      </c>
      <c r="Z77" s="6">
        <f t="shared" si="4"/>
        <v>0.20553369958680714</v>
      </c>
      <c r="AA77" s="249">
        <f t="shared" si="4"/>
        <v>0.33797922862845214</v>
      </c>
      <c r="AB77" s="6">
        <f t="shared" si="4"/>
        <v>0.29020231749150799</v>
      </c>
      <c r="AC77" s="250">
        <f t="shared" si="4"/>
        <v>0.29020231749150799</v>
      </c>
      <c r="AD77" s="6">
        <f t="shared" si="4"/>
        <v>5.3234917198876776E-2</v>
      </c>
      <c r="AE77" s="14">
        <f t="shared" si="4"/>
        <v>4.756795603389345</v>
      </c>
    </row>
    <row r="78" spans="1:31" x14ac:dyDescent="0.25">
      <c r="M78" s="1" t="s">
        <v>591</v>
      </c>
      <c r="N78" s="99">
        <f t="shared" ref="N78:V78" si="8">N61</f>
        <v>2.7415804511189711E-2</v>
      </c>
      <c r="O78" s="99">
        <f t="shared" si="8"/>
        <v>0.69212409705668243</v>
      </c>
      <c r="P78" s="99">
        <f t="shared" si="8"/>
        <v>0.48922407287064373</v>
      </c>
      <c r="Q78" s="99">
        <f t="shared" si="8"/>
        <v>1.7556769738486938E-2</v>
      </c>
      <c r="R78" s="99">
        <f t="shared" si="8"/>
        <v>1.7556769738486938E-2</v>
      </c>
      <c r="S78" s="99">
        <f t="shared" si="8"/>
        <v>9.4192069646982458E-4</v>
      </c>
      <c r="T78" s="99">
        <f t="shared" si="8"/>
        <v>1.7220264985165934E-2</v>
      </c>
      <c r="U78" s="49">
        <f t="shared" si="8"/>
        <v>10651.020826927837</v>
      </c>
      <c r="V78" s="100">
        <f t="shared" si="8"/>
        <v>79.360467715468317</v>
      </c>
      <c r="W78" t="s">
        <v>238</v>
      </c>
      <c r="Y78" s="14">
        <f t="shared" si="4"/>
        <v>5.1480144404332144E-3</v>
      </c>
      <c r="Z78" s="6">
        <f t="shared" si="4"/>
        <v>0.12996389891696747</v>
      </c>
      <c r="AA78" s="249">
        <f t="shared" si="4"/>
        <v>9.186425992779787E-2</v>
      </c>
      <c r="AB78" s="6">
        <f t="shared" si="4"/>
        <v>3.2967299611507722E-3</v>
      </c>
      <c r="AC78" s="250">
        <f t="shared" si="4"/>
        <v>3.2967299611507722E-3</v>
      </c>
      <c r="AD78" s="6">
        <f t="shared" si="4"/>
        <v>1.7686956241573902E-4</v>
      </c>
      <c r="AE78" s="14">
        <f t="shared" si="4"/>
        <v>3.2335426368953818E-3</v>
      </c>
    </row>
    <row r="79" spans="1:31" x14ac:dyDescent="0.25">
      <c r="M79" s="1" t="s">
        <v>592</v>
      </c>
      <c r="N79" s="99">
        <f t="shared" ref="N79:V79" si="9">SUM(N50:N59,N68)</f>
        <v>9.2963213842583361</v>
      </c>
      <c r="O79" s="99">
        <f t="shared" si="9"/>
        <v>0.43682852391473831</v>
      </c>
      <c r="P79" s="99">
        <f t="shared" si="9"/>
        <v>8.9503754553090342E-2</v>
      </c>
      <c r="Q79" s="99">
        <f t="shared" si="9"/>
        <v>2.5287547798999346</v>
      </c>
      <c r="R79" s="99">
        <f t="shared" si="9"/>
        <v>2.5287547798999346</v>
      </c>
      <c r="S79" s="99">
        <f t="shared" si="9"/>
        <v>9.5132634284480225E-2</v>
      </c>
      <c r="T79" s="99">
        <f t="shared" si="9"/>
        <v>26.868278413642937</v>
      </c>
      <c r="U79" s="49">
        <f t="shared" si="9"/>
        <v>7299.2190409179366</v>
      </c>
      <c r="V79" s="100">
        <f t="shared" si="9"/>
        <v>649.44700294638744</v>
      </c>
      <c r="W79" t="s">
        <v>743</v>
      </c>
      <c r="Y79" s="14">
        <f t="shared" si="4"/>
        <v>2.5472098678351891</v>
      </c>
      <c r="Z79" s="6">
        <f t="shared" si="4"/>
        <v>0.11969185236556583</v>
      </c>
      <c r="AA79" s="249">
        <f t="shared" si="4"/>
        <v>2.4524200205898881E-2</v>
      </c>
      <c r="AB79" s="6">
        <f t="shared" si="4"/>
        <v>0.69288365391537088</v>
      </c>
      <c r="AC79" s="250">
        <f t="shared" si="4"/>
        <v>0.69288365391537088</v>
      </c>
      <c r="AD79" s="6">
        <f t="shared" si="4"/>
        <v>2.6066524035293647E-2</v>
      </c>
      <c r="AE79" s="14">
        <f t="shared" si="4"/>
        <v>7.361959755701216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0.15650990974241466</v>
      </c>
      <c r="P80" s="99">
        <f t="shared" si="10"/>
        <v>1.7904132090832459E-2</v>
      </c>
      <c r="Q80" s="99">
        <f t="shared" si="10"/>
        <v>1.2708081004873809E-2</v>
      </c>
      <c r="R80" s="99">
        <f t="shared" si="10"/>
        <v>1.2708081004873809E-2</v>
      </c>
      <c r="S80" s="99">
        <f t="shared" si="10"/>
        <v>2.6583264317195876E-2</v>
      </c>
      <c r="T80" s="99">
        <f t="shared" si="10"/>
        <v>6.2997918949602091E-2</v>
      </c>
      <c r="U80" s="49">
        <f t="shared" si="10"/>
        <v>2833.3307564996644</v>
      </c>
      <c r="Y80" s="14">
        <f t="shared" si="4"/>
        <v>5.7022305522323588E-3</v>
      </c>
      <c r="Z80" s="6">
        <f t="shared" si="4"/>
        <v>0.110477683823804</v>
      </c>
      <c r="AA80" s="249">
        <f t="shared" si="4"/>
        <v>1.2638222381739483E-2</v>
      </c>
      <c r="AB80" s="6">
        <f t="shared" si="4"/>
        <v>8.9704182794200452E-3</v>
      </c>
      <c r="AC80" s="250">
        <f t="shared" si="4"/>
        <v>8.9704182794200452E-3</v>
      </c>
      <c r="AD80" s="6">
        <f t="shared" si="4"/>
        <v>1.8764674231000974E-2</v>
      </c>
      <c r="AE80" s="14">
        <f t="shared" si="4"/>
        <v>4.446915970194075E-2</v>
      </c>
    </row>
    <row r="81" spans="13:31" x14ac:dyDescent="0.25">
      <c r="M81" s="1" t="s">
        <v>594</v>
      </c>
      <c r="N81" s="99">
        <f>SUM(N76:N80)</f>
        <v>9.5358125850781317</v>
      </c>
      <c r="O81" s="99">
        <f t="shared" ref="O81:U81" si="11">SUM(O76:O80)</f>
        <v>2.69089739407669</v>
      </c>
      <c r="P81" s="99">
        <f t="shared" si="11"/>
        <v>4.1556763727866404</v>
      </c>
      <c r="Q81" s="99">
        <f t="shared" si="11"/>
        <v>2.7079600148148621</v>
      </c>
      <c r="R81" s="99">
        <f t="shared" si="11"/>
        <v>2.7079600148148621</v>
      </c>
      <c r="S81" s="99">
        <f t="shared" si="11"/>
        <v>0.14291593693245047</v>
      </c>
      <c r="T81" s="99">
        <f t="shared" si="11"/>
        <v>28.550897201086578</v>
      </c>
      <c r="U81" s="49">
        <f t="shared" si="11"/>
        <v>53421.021136798292</v>
      </c>
      <c r="Y81" s="14">
        <f t="shared" si="4"/>
        <v>0.3570060018380864</v>
      </c>
      <c r="Z81" s="6">
        <f t="shared" si="4"/>
        <v>0.10074301601932893</v>
      </c>
      <c r="AA81" s="249">
        <f t="shared" si="4"/>
        <v>0.15558206430180208</v>
      </c>
      <c r="AB81" s="6">
        <f t="shared" si="4"/>
        <v>0.10138181401963219</v>
      </c>
      <c r="AC81" s="250">
        <f t="shared" si="4"/>
        <v>0.10138181401963219</v>
      </c>
      <c r="AD81" s="6">
        <f t="shared" si="4"/>
        <v>5.3505505470019888E-3</v>
      </c>
      <c r="AE81" s="14">
        <f t="shared" si="4"/>
        <v>1.0689012150469623</v>
      </c>
    </row>
    <row r="83" spans="13:31" x14ac:dyDescent="0.25">
      <c r="V83" s="42">
        <f>V79/Lookup!B37</f>
        <v>385.94257239223765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72978.441303351865</v>
      </c>
      <c r="W84" t="s">
        <v>746</v>
      </c>
    </row>
  </sheetData>
  <sheetProtection algorithmName="SHA-512" hashValue="Bte4VDdTSp8V2tGrerNPjbkihuxar3WIUsaY0BGLyXu6Ru7qEg3zWfk2f4zM0lPv8MekcOYV5iJm8JZsX+sc9w==" saltValue="7qTBSUTudjqSIWvttquJgQ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F129E-5E4E-4B5F-ACE0-CB175DC2EC50}">
  <sheetPr codeName="Sheet24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1542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5.943160326493464</v>
      </c>
      <c r="E6" s="99">
        <v>6.7476929471104841E-2</v>
      </c>
      <c r="F6" s="99">
        <v>1.0381066072477664E-2</v>
      </c>
      <c r="G6" s="99">
        <v>0.89796221526931841</v>
      </c>
      <c r="H6" s="99">
        <v>0.89796221526931841</v>
      </c>
      <c r="I6" s="99">
        <v>4.6714797326149499E-2</v>
      </c>
      <c r="J6" s="99">
        <v>6.5556432247696463</v>
      </c>
      <c r="K6" s="49">
        <v>835.15750396377587</v>
      </c>
      <c r="L6" s="100">
        <v>74.151084440573854</v>
      </c>
      <c r="M6" s="49" t="s">
        <v>237</v>
      </c>
      <c r="N6" s="99">
        <v>5.4761884432573442</v>
      </c>
      <c r="O6" s="99">
        <v>6.2175065294624861E-2</v>
      </c>
      <c r="P6" s="99">
        <v>9.5653946607115164E-3</v>
      </c>
      <c r="Q6" s="99">
        <v>0.82740663815154614</v>
      </c>
      <c r="R6" s="99">
        <v>0.82740663815154614</v>
      </c>
      <c r="S6" s="99">
        <v>4.3044275973201825E-2</v>
      </c>
      <c r="T6" s="99">
        <v>6.0405467282393221</v>
      </c>
      <c r="U6" s="49">
        <v>769.53668086630387</v>
      </c>
      <c r="V6" s="100">
        <v>68.324811945306095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0.12258608051068291</v>
      </c>
      <c r="E7" s="99">
        <v>6.4762457628285306E-3</v>
      </c>
      <c r="F7" s="99">
        <v>9.2517796611836164E-4</v>
      </c>
      <c r="G7" s="99">
        <v>7.0776114408054674E-2</v>
      </c>
      <c r="H7" s="99">
        <v>7.0776114408054674E-2</v>
      </c>
      <c r="I7" s="99">
        <v>3.932006356003037E-3</v>
      </c>
      <c r="J7" s="99">
        <v>0.53382768645029444</v>
      </c>
      <c r="K7" s="49">
        <v>74.430633184601149</v>
      </c>
      <c r="L7" s="100">
        <v>6.6084686302191518</v>
      </c>
      <c r="M7" s="49" t="s">
        <v>237</v>
      </c>
      <c r="N7" s="99">
        <v>0.10653110752301446</v>
      </c>
      <c r="O7" s="99">
        <v>5.6280585106498202E-3</v>
      </c>
      <c r="P7" s="99">
        <v>8.040083586642599E-4</v>
      </c>
      <c r="Q7" s="99">
        <v>6.1506639437815903E-2</v>
      </c>
      <c r="R7" s="99">
        <v>6.1506639437815903E-2</v>
      </c>
      <c r="S7" s="99">
        <v>3.417035524323105E-3</v>
      </c>
      <c r="T7" s="99">
        <v>0.46391282294927799</v>
      </c>
      <c r="U7" s="49">
        <v>64.682529645801011</v>
      </c>
      <c r="V7" s="100">
        <v>5.7429642849784504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5.8436543309184769E-2</v>
      </c>
      <c r="E8" s="99">
        <v>9.7394238848641287E-3</v>
      </c>
      <c r="F8" s="99">
        <v>1.9478847769728259E-3</v>
      </c>
      <c r="G8" s="99">
        <v>5.8436543309184769E-2</v>
      </c>
      <c r="H8" s="99">
        <v>5.8436543309184769E-2</v>
      </c>
      <c r="I8" s="99">
        <v>4.3827407481888568E-3</v>
      </c>
      <c r="J8" s="99">
        <v>0.68565544149443469</v>
      </c>
      <c r="K8" s="49">
        <v>156.70746886570896</v>
      </c>
      <c r="L8" s="100">
        <v>13.913577620005185</v>
      </c>
      <c r="M8" s="49" t="s">
        <v>237</v>
      </c>
      <c r="N8" s="99">
        <v>5.0783169284880934E-2</v>
      </c>
      <c r="O8" s="99">
        <v>8.4638615474801563E-3</v>
      </c>
      <c r="P8" s="99">
        <v>1.6927723094960318E-3</v>
      </c>
      <c r="Q8" s="99">
        <v>5.0783169284880934E-2</v>
      </c>
      <c r="R8" s="99">
        <v>5.0783169284880934E-2</v>
      </c>
      <c r="S8" s="99">
        <v>3.8087376963660698E-3</v>
      </c>
      <c r="T8" s="99">
        <v>0.59585585294260301</v>
      </c>
      <c r="U8" s="49">
        <v>136.18365271036987</v>
      </c>
      <c r="V8" s="100">
        <v>12.091330657540757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4.3978847099142925E-2</v>
      </c>
      <c r="E9" s="99">
        <v>5.8638462798857247E-3</v>
      </c>
      <c r="F9" s="99">
        <v>1.1727692559771446E-3</v>
      </c>
      <c r="G9" s="99">
        <v>3.8115000819257214E-2</v>
      </c>
      <c r="H9" s="99">
        <v>3.8115000819257214E-2</v>
      </c>
      <c r="I9" s="99">
        <v>2.6387308259485757E-3</v>
      </c>
      <c r="J9" s="99">
        <v>0.31371577597388628</v>
      </c>
      <c r="K9" s="49">
        <v>94.349370065569843</v>
      </c>
      <c r="L9" s="100">
        <v>8.3769924516543242</v>
      </c>
      <c r="M9" s="49" t="s">
        <v>237</v>
      </c>
      <c r="N9" s="99">
        <v>3.8218982689871693E-2</v>
      </c>
      <c r="O9" s="99">
        <v>5.09586435864956E-3</v>
      </c>
      <c r="P9" s="99">
        <v>1.0191728717299118E-3</v>
      </c>
      <c r="Q9" s="99">
        <v>3.3123118331222147E-2</v>
      </c>
      <c r="R9" s="99">
        <v>3.3123118331222147E-2</v>
      </c>
      <c r="S9" s="99">
        <v>2.2931389613923014E-3</v>
      </c>
      <c r="T9" s="99">
        <v>0.27262874318775154</v>
      </c>
      <c r="U9" s="49">
        <v>81.992530027159006</v>
      </c>
      <c r="V9" s="100">
        <v>7.2798663589615105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2.4877889693827813</v>
      </c>
      <c r="E10" s="99">
        <v>6.8162725000869062E-2</v>
      </c>
      <c r="F10" s="99">
        <v>1.8775765806662497E-2</v>
      </c>
      <c r="G10" s="99">
        <v>0.56993975039344202</v>
      </c>
      <c r="H10" s="99">
        <v>0.56993975039344202</v>
      </c>
      <c r="I10" s="99">
        <v>1.863628745969122E-2</v>
      </c>
      <c r="J10" s="99">
        <v>5.6876789779432002</v>
      </c>
      <c r="K10" s="49">
        <v>1510.5116947163513</v>
      </c>
      <c r="L10" s="100">
        <v>134.11372069554514</v>
      </c>
      <c r="M10" s="49" t="s">
        <v>237</v>
      </c>
      <c r="N10" s="99">
        <v>2.1619658046640153</v>
      </c>
      <c r="O10" s="99">
        <v>5.9235522955613559E-2</v>
      </c>
      <c r="P10" s="99">
        <v>1.6316723054068043E-2</v>
      </c>
      <c r="Q10" s="99">
        <v>0.49529532698871653</v>
      </c>
      <c r="R10" s="99">
        <v>0.49529532698871653</v>
      </c>
      <c r="S10" s="99">
        <v>1.6195512042863278E-2</v>
      </c>
      <c r="T10" s="99">
        <v>4.9427695072023541</v>
      </c>
      <c r="U10" s="49">
        <v>1312.6815303518513</v>
      </c>
      <c r="V10" s="100">
        <v>116.54898451936046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1.1859241053129188</v>
      </c>
      <c r="E11" s="99">
        <v>0.15899680884974834</v>
      </c>
      <c r="F11" s="99">
        <v>3.9530803510430611E-2</v>
      </c>
      <c r="G11" s="99">
        <v>0.78321642370686972</v>
      </c>
      <c r="H11" s="99">
        <v>0.78321642370686972</v>
      </c>
      <c r="I11" s="99">
        <v>2.4681228772583896E-2</v>
      </c>
      <c r="J11" s="99">
        <v>12.219065101712607</v>
      </c>
      <c r="K11" s="49">
        <v>3180.255954345746</v>
      </c>
      <c r="L11" s="100">
        <v>282.36521457820425</v>
      </c>
      <c r="M11" s="49" t="s">
        <v>237</v>
      </c>
      <c r="N11" s="99">
        <v>1.0306048439668922</v>
      </c>
      <c r="O11" s="99">
        <v>0.13817316018936285</v>
      </c>
      <c r="P11" s="99">
        <v>3.4353494798896406E-2</v>
      </c>
      <c r="Q11" s="99">
        <v>0.6806393735741979</v>
      </c>
      <c r="R11" s="99">
        <v>0.6806393735741979</v>
      </c>
      <c r="S11" s="99">
        <v>2.1448753604150991E-2</v>
      </c>
      <c r="T11" s="99">
        <v>10.61874670238617</v>
      </c>
      <c r="U11" s="49">
        <v>2763.7411002270273</v>
      </c>
      <c r="V11" s="100">
        <v>245.38413260034312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0.89251642799595832</v>
      </c>
      <c r="E12" s="99">
        <v>9.5727720356870494E-2</v>
      </c>
      <c r="F12" s="99">
        <v>2.3800438079892225E-2</v>
      </c>
      <c r="G12" s="99">
        <v>0.5232307430401516</v>
      </c>
      <c r="H12" s="99">
        <v>0.5232307430401516</v>
      </c>
      <c r="I12" s="99">
        <v>1.4859906831454602E-2</v>
      </c>
      <c r="J12" s="99">
        <v>7.3567718468142758</v>
      </c>
      <c r="K12" s="49">
        <v>1914.7469365160387</v>
      </c>
      <c r="L12" s="100">
        <v>170.00453339408557</v>
      </c>
      <c r="M12" s="49" t="s">
        <v>237</v>
      </c>
      <c r="N12" s="99">
        <v>0.77562446862479106</v>
      </c>
      <c r="O12" s="99">
        <v>8.3190359197283556E-2</v>
      </c>
      <c r="P12" s="99">
        <v>2.0683319163327753E-2</v>
      </c>
      <c r="Q12" s="99">
        <v>0.45470375032750626</v>
      </c>
      <c r="R12" s="99">
        <v>0.45470375032750626</v>
      </c>
      <c r="S12" s="99">
        <v>1.2913720104671362E-2</v>
      </c>
      <c r="T12" s="99">
        <v>6.393262998297419</v>
      </c>
      <c r="U12" s="49">
        <v>1663.9744979494358</v>
      </c>
      <c r="V12" s="100">
        <v>147.73921436232681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1.4954947249844095E-2</v>
      </c>
      <c r="E13" s="99">
        <v>2.6115996535767017E-2</v>
      </c>
      <c r="F13" s="99">
        <v>2.0871925303310307E-3</v>
      </c>
      <c r="G13" s="99">
        <v>1.930653090556203E-2</v>
      </c>
      <c r="H13" s="99">
        <v>1.930653090556203E-2</v>
      </c>
      <c r="I13" s="99">
        <v>4.6883562212560783E-4</v>
      </c>
      <c r="J13" s="99">
        <v>6.4781238160149357E-2</v>
      </c>
      <c r="K13" s="49">
        <v>200.52109500588094</v>
      </c>
      <c r="L13" s="100">
        <v>17.803655690486782</v>
      </c>
      <c r="M13" s="49" t="s">
        <v>237</v>
      </c>
      <c r="N13" s="99">
        <v>1.2996313177133619E-2</v>
      </c>
      <c r="O13" s="99">
        <v>2.2695611307843505E-2</v>
      </c>
      <c r="P13" s="99">
        <v>1.8138350695579232E-3</v>
      </c>
      <c r="Q13" s="99">
        <v>1.6777974393410781E-2</v>
      </c>
      <c r="R13" s="99">
        <v>1.6777974393410781E-2</v>
      </c>
      <c r="S13" s="99">
        <v>4.0743270249944853E-4</v>
      </c>
      <c r="T13" s="99">
        <v>5.6296905971404035E-2</v>
      </c>
      <c r="U13" s="49">
        <v>174.25905326047612</v>
      </c>
      <c r="V13" s="100">
        <v>15.471929200809146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5.0443501852496006E-2</v>
      </c>
      <c r="E14" s="99">
        <v>8.8090067963661728E-2</v>
      </c>
      <c r="F14" s="99">
        <v>7.040165271821117E-3</v>
      </c>
      <c r="G14" s="99">
        <v>6.5121528764345349E-2</v>
      </c>
      <c r="H14" s="99">
        <v>6.5121528764345349E-2</v>
      </c>
      <c r="I14" s="99">
        <v>1.5813971241828183E-3</v>
      </c>
      <c r="J14" s="99">
        <v>0.21850912962414792</v>
      </c>
      <c r="K14" s="49">
        <v>676.36388536904622</v>
      </c>
      <c r="L14" s="100">
        <v>60.052283956644047</v>
      </c>
      <c r="M14" s="49" t="s">
        <v>237</v>
      </c>
      <c r="N14" s="99">
        <v>4.3836968253645442E-2</v>
      </c>
      <c r="O14" s="99">
        <v>7.6553002289103222E-2</v>
      </c>
      <c r="P14" s="99">
        <v>6.1181220610671896E-3</v>
      </c>
      <c r="Q14" s="99">
        <v>5.6592629064871523E-2</v>
      </c>
      <c r="R14" s="99">
        <v>5.6592629064871523E-2</v>
      </c>
      <c r="S14" s="99">
        <v>1.3742831679672178E-3</v>
      </c>
      <c r="T14" s="99">
        <v>0.18989121347037294</v>
      </c>
      <c r="U14" s="49">
        <v>587.78120237439589</v>
      </c>
      <c r="V14" s="100">
        <v>52.187298040174575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1.278742441843945</v>
      </c>
      <c r="E15" s="99">
        <v>4.5424466656019222E-2</v>
      </c>
      <c r="F15" s="99">
        <v>1.1266453232105239E-2</v>
      </c>
      <c r="G15" s="99">
        <v>0.27800401698816674</v>
      </c>
      <c r="H15" s="99">
        <v>0.27800401698816674</v>
      </c>
      <c r="I15" s="99">
        <v>6.8657363103314167E-3</v>
      </c>
      <c r="J15" s="99">
        <v>1.7060414530331327</v>
      </c>
      <c r="K15" s="49">
        <v>906.38696393576686</v>
      </c>
      <c r="L15" s="100">
        <v>80.475330676728944</v>
      </c>
      <c r="M15" s="49" t="s">
        <v>237</v>
      </c>
      <c r="N15" s="99">
        <v>1.169066718045517</v>
      </c>
      <c r="O15" s="99">
        <v>4.1528481744880677E-2</v>
      </c>
      <c r="P15" s="99">
        <v>1.0300147295555215E-2</v>
      </c>
      <c r="Q15" s="99">
        <v>0.25416005061595442</v>
      </c>
      <c r="R15" s="99">
        <v>0.25416005061595442</v>
      </c>
      <c r="S15" s="99">
        <v>6.2768729281487507E-3</v>
      </c>
      <c r="T15" s="99">
        <v>1.5597169665151784</v>
      </c>
      <c r="U15" s="49">
        <v>828.64758260439612</v>
      </c>
      <c r="V15" s="100">
        <v>73.573088402545324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0.10137282227819921</v>
      </c>
      <c r="E16" s="99">
        <v>1.5883271569996866</v>
      </c>
      <c r="F16" s="99">
        <v>4.1093071350313624</v>
      </c>
      <c r="G16" s="99">
        <v>6.4918003692085308E-2</v>
      </c>
      <c r="H16" s="99">
        <v>6.4918003692085308E-2</v>
      </c>
      <c r="I16" s="99">
        <v>3.482850898080377E-3</v>
      </c>
      <c r="J16" s="99">
        <v>6.3673741954653668E-2</v>
      </c>
      <c r="K16" s="49">
        <v>38163.572180317256</v>
      </c>
      <c r="L16" s="100">
        <v>284.3557427158463</v>
      </c>
      <c r="M16" s="49" t="s">
        <v>238</v>
      </c>
      <c r="N16" s="99">
        <v>9.3561957054158706E-2</v>
      </c>
      <c r="O16" s="99">
        <v>1.4659451508939341</v>
      </c>
      <c r="P16" s="99">
        <v>3.7926814016781676</v>
      </c>
      <c r="Q16" s="99">
        <v>5.9916014341713945E-2</v>
      </c>
      <c r="R16" s="99">
        <v>5.9916014341713945E-2</v>
      </c>
      <c r="S16" s="99">
        <v>3.2144941694329525E-3</v>
      </c>
      <c r="T16" s="99">
        <v>5.8767624066831094E-2</v>
      </c>
      <c r="U16" s="49">
        <v>35223.035337509988</v>
      </c>
      <c r="V16" s="100">
        <v>262.44588233985615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3.2573029335498604E-2</v>
      </c>
      <c r="E17" s="99">
        <v>0.82232051618369595</v>
      </c>
      <c r="F17" s="99">
        <v>0.58125268841713329</v>
      </c>
      <c r="G17" s="99">
        <v>2.0859397924832702E-2</v>
      </c>
      <c r="H17" s="99">
        <v>2.0859397924832702E-2</v>
      </c>
      <c r="I17" s="99">
        <v>1.1191066986672743E-3</v>
      </c>
      <c r="J17" s="99">
        <v>2.0459592797940077E-2</v>
      </c>
      <c r="K17" s="49">
        <v>12654.599054604654</v>
      </c>
      <c r="L17" s="100">
        <v>94.289074826156323</v>
      </c>
      <c r="M17" s="49" t="s">
        <v>238</v>
      </c>
      <c r="N17" s="99">
        <v>3.2034537711424595E-2</v>
      </c>
      <c r="O17" s="99">
        <v>0.80872605723091606</v>
      </c>
      <c r="P17" s="99">
        <v>0.57164352063113277</v>
      </c>
      <c r="Q17" s="99">
        <v>2.0514554006569697E-2</v>
      </c>
      <c r="R17" s="99">
        <v>2.0514554006569697E-2</v>
      </c>
      <c r="S17" s="99">
        <v>1.1006058224524641E-3</v>
      </c>
      <c r="T17" s="99">
        <v>2.0121358388110439E-2</v>
      </c>
      <c r="U17" s="49">
        <v>12445.395436275765</v>
      </c>
      <c r="V17" s="100">
        <v>92.730304331935258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6.7946095932269258E-4</v>
      </c>
      <c r="E18" s="99">
        <v>1.7153292100713136E-2</v>
      </c>
      <c r="F18" s="99">
        <v>2.7543020953461752E-2</v>
      </c>
      <c r="G18" s="99">
        <v>3.8118426890473638E-4</v>
      </c>
      <c r="H18" s="99">
        <v>3.8118426890473638E-4</v>
      </c>
      <c r="I18" s="99">
        <v>2.3344138588676887E-5</v>
      </c>
      <c r="J18" s="99">
        <v>4.2677929665847596E-4</v>
      </c>
      <c r="K18" s="49">
        <v>261.10169459302165</v>
      </c>
      <c r="L18" s="100">
        <v>1.9059213445236818</v>
      </c>
      <c r="M18" s="49" t="s">
        <v>238</v>
      </c>
      <c r="N18" s="99">
        <v>6.4099941856749062E-4</v>
      </c>
      <c r="O18" s="99">
        <v>1.6182313512222775E-2</v>
      </c>
      <c r="P18" s="99">
        <v>2.5983921775815204E-2</v>
      </c>
      <c r="Q18" s="99">
        <v>3.5960696693828378E-4</v>
      </c>
      <c r="R18" s="99">
        <v>3.5960696693828378E-4</v>
      </c>
      <c r="S18" s="99">
        <v>2.202272118359377E-5</v>
      </c>
      <c r="T18" s="99">
        <v>4.0262104431640046E-4</v>
      </c>
      <c r="U18" s="49">
        <v>246.32178217855088</v>
      </c>
      <c r="V18" s="100">
        <v>1.7980348346914186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2.9034691356847986E-3</v>
      </c>
      <c r="E19" s="99">
        <v>4.549206359336351E-2</v>
      </c>
      <c r="F19" s="99">
        <v>0.11769669786710447</v>
      </c>
      <c r="G19" s="99">
        <v>1.8593486482301155E-3</v>
      </c>
      <c r="H19" s="99">
        <v>1.8593486482301155E-3</v>
      </c>
      <c r="I19" s="99">
        <v>9.9754054977545757E-5</v>
      </c>
      <c r="J19" s="99">
        <v>1.8237111324723727E-3</v>
      </c>
      <c r="K19" s="49">
        <v>1018.0466815164095</v>
      </c>
      <c r="L19" s="100">
        <v>8.1443734521312745</v>
      </c>
      <c r="M19" s="49" t="s">
        <v>238</v>
      </c>
      <c r="N19" s="99">
        <v>2.3988671713778887E-3</v>
      </c>
      <c r="O19" s="99">
        <v>3.7585871525586657E-2</v>
      </c>
      <c r="P19" s="99">
        <v>9.7241861889600531E-2</v>
      </c>
      <c r="Q19" s="99">
        <v>1.5362072830621247E-3</v>
      </c>
      <c r="R19" s="99">
        <v>1.5362072830621247E-3</v>
      </c>
      <c r="S19" s="99">
        <v>8.2417520736282986E-5</v>
      </c>
      <c r="T19" s="99">
        <v>1.5067633101367676E-3</v>
      </c>
      <c r="U19" s="49">
        <v>841.11752152099905</v>
      </c>
      <c r="V19" s="100">
        <v>6.7289401721679925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6.6969683938961381E-4</v>
      </c>
      <c r="E20" s="99">
        <v>1.1445727800477036E-2</v>
      </c>
      <c r="F20" s="99">
        <v>7.3057837024321479E-5</v>
      </c>
      <c r="G20" s="99">
        <v>6.0311679724811497E-6</v>
      </c>
      <c r="H20" s="99">
        <v>6.0311679724811497E-6</v>
      </c>
      <c r="I20" s="99">
        <v>2.4352612341440507E-3</v>
      </c>
      <c r="J20" s="99">
        <v>4.8705224682881014E-3</v>
      </c>
      <c r="K20" s="49">
        <v>300.62303278688512</v>
      </c>
      <c r="L20" s="100">
        <v>296.18032786885294</v>
      </c>
      <c r="M20" s="49" t="s">
        <v>239</v>
      </c>
      <c r="N20" s="99">
        <v>6.6969683938961381E-4</v>
      </c>
      <c r="O20" s="99">
        <v>1.1445727800477036E-2</v>
      </c>
      <c r="P20" s="99">
        <v>7.3057837024321479E-5</v>
      </c>
      <c r="Q20" s="99">
        <v>6.0311679724811497E-6</v>
      </c>
      <c r="R20" s="99">
        <v>6.0311679724811497E-6</v>
      </c>
      <c r="S20" s="99">
        <v>2.4352612341440507E-3</v>
      </c>
      <c r="T20" s="99">
        <v>4.8705224682881014E-3</v>
      </c>
      <c r="U20" s="49">
        <v>300.62303278688512</v>
      </c>
      <c r="V20" s="100">
        <v>296.18032786885294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5.2612909836065565E-3</v>
      </c>
      <c r="E21" s="99">
        <v>9.5659836065573697E-2</v>
      </c>
      <c r="F21" s="99">
        <v>5.7395901639344235E-4</v>
      </c>
      <c r="G21" s="99">
        <v>7.2701475409836002E-3</v>
      </c>
      <c r="H21" s="99">
        <v>7.2701475409836002E-3</v>
      </c>
      <c r="I21" s="99">
        <v>1.9131967213114765E-2</v>
      </c>
      <c r="J21" s="99">
        <v>3.826393442622953E-2</v>
      </c>
      <c r="K21" s="49">
        <v>1941.894672131147</v>
      </c>
      <c r="L21" s="100">
        <v>1913.196721311476</v>
      </c>
      <c r="M21" s="49" t="s">
        <v>239</v>
      </c>
      <c r="N21" s="99">
        <v>5.2612909836065565E-3</v>
      </c>
      <c r="O21" s="99">
        <v>9.5659836065573697E-2</v>
      </c>
      <c r="P21" s="99">
        <v>5.7395901639344235E-4</v>
      </c>
      <c r="Q21" s="99">
        <v>7.2701475409836002E-3</v>
      </c>
      <c r="R21" s="99">
        <v>7.2701475409836002E-3</v>
      </c>
      <c r="S21" s="99">
        <v>1.9131967213114765E-2</v>
      </c>
      <c r="T21" s="99">
        <v>3.826393442622953E-2</v>
      </c>
      <c r="U21" s="49">
        <v>1941.894672131147</v>
      </c>
      <c r="V21" s="100">
        <v>1913.196721311476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0.15407112088620684</v>
      </c>
      <c r="E22" s="99">
        <v>7.2721569058289637E-2</v>
      </c>
      <c r="F22" s="99">
        <v>0.14328614242417234</v>
      </c>
      <c r="G22" s="99">
        <v>0.12310282558807926</v>
      </c>
      <c r="H22" s="99">
        <v>0.12310282558807926</v>
      </c>
      <c r="I22" s="99">
        <v>1.9504633548589355E-2</v>
      </c>
      <c r="J22" s="99">
        <v>2.0117836609716462</v>
      </c>
      <c r="K22" s="49">
        <v>468.37620749406864</v>
      </c>
      <c r="L22" s="100">
        <v>30.814224177241375</v>
      </c>
      <c r="M22" s="49" t="s">
        <v>237</v>
      </c>
      <c r="N22" s="99">
        <v>0.1348884559203288</v>
      </c>
      <c r="O22" s="99">
        <v>6.3667351194395191E-2</v>
      </c>
      <c r="P22" s="99">
        <v>0.12544626400590578</v>
      </c>
      <c r="Q22" s="99">
        <v>0.10777587628034269</v>
      </c>
      <c r="R22" s="99">
        <v>0.10777587628034269</v>
      </c>
      <c r="S22" s="99">
        <v>1.7076204077234022E-2</v>
      </c>
      <c r="T22" s="99">
        <v>1.7613060131796932</v>
      </c>
      <c r="U22" s="49">
        <v>410.06090599779941</v>
      </c>
      <c r="V22" s="100">
        <v>26.977691184065755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1.8949921195521448E-4</v>
      </c>
      <c r="F23" s="99">
        <v>3.7337768457277421E-4</v>
      </c>
      <c r="G23" s="99">
        <v>3.2078362362757704E-4</v>
      </c>
      <c r="H23" s="99">
        <v>3.2078362362757704E-4</v>
      </c>
      <c r="I23" s="99">
        <v>5.082553546074233E-5</v>
      </c>
      <c r="J23" s="99">
        <v>5.2423431358161292E-3</v>
      </c>
      <c r="K23" s="49">
        <v>18.456877950864644</v>
      </c>
      <c r="L23" s="100">
        <v>1.2205033990335847</v>
      </c>
      <c r="M23" s="49" t="s">
        <v>237</v>
      </c>
      <c r="N23" s="99">
        <v>3.7940475162931154E-4</v>
      </c>
      <c r="O23" s="99">
        <v>1.7907904276903502E-4</v>
      </c>
      <c r="P23" s="99">
        <v>3.5284641901525953E-4</v>
      </c>
      <c r="Q23" s="99">
        <v>3.0314439655181985E-4</v>
      </c>
      <c r="R23" s="99">
        <v>3.0314439655181985E-4</v>
      </c>
      <c r="S23" s="99">
        <v>4.8030744532512681E-5</v>
      </c>
      <c r="T23" s="99">
        <v>4.9540775443997331E-3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4.8776475754854215E-5</v>
      </c>
      <c r="F24" s="99">
        <v>1.0633485245822148E-5</v>
      </c>
      <c r="G24" s="99">
        <v>3.4500168382878608E-4</v>
      </c>
      <c r="H24" s="99">
        <v>3.4500168382878608E-4</v>
      </c>
      <c r="I24" s="99">
        <v>1.2632663031087653E-5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1.0057156829621555E-3</v>
      </c>
      <c r="O24" s="99">
        <v>4.0923651207836456E-5</v>
      </c>
      <c r="P24" s="99">
        <v>8.6857798127814725E-6</v>
      </c>
      <c r="Q24" s="99">
        <v>2.9694131175428141E-4</v>
      </c>
      <c r="R24" s="99">
        <v>2.9694131175428141E-4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5.2382327984415976E-4</v>
      </c>
      <c r="E25" s="101">
        <v>2.7346164289603576E-2</v>
      </c>
      <c r="F25" s="101">
        <v>1.9363248899601761E-2</v>
      </c>
      <c r="G25" s="101">
        <v>2.7260720241086733E-3</v>
      </c>
      <c r="H25" s="101">
        <v>2.7260720241086733E-3</v>
      </c>
      <c r="I25" s="101">
        <v>1.9058091583470184E-5</v>
      </c>
      <c r="J25" s="101">
        <v>6.5100227441401166E-3</v>
      </c>
      <c r="K25" s="94">
        <v>145.09904851683226</v>
      </c>
      <c r="L25" s="102">
        <v>1.0476465596883191</v>
      </c>
      <c r="M25" s="94" t="s">
        <v>238</v>
      </c>
      <c r="N25" s="101">
        <v>5.2382327984415976E-4</v>
      </c>
      <c r="O25" s="101">
        <v>2.7346164289603576E-2</v>
      </c>
      <c r="P25" s="101">
        <v>1.9363248899601761E-2</v>
      </c>
      <c r="Q25" s="101">
        <v>2.7260720241086733E-3</v>
      </c>
      <c r="R25" s="101">
        <v>2.7260720241086733E-3</v>
      </c>
      <c r="S25" s="101">
        <v>1.9058091583470184E-5</v>
      </c>
      <c r="T25" s="101">
        <v>6.5100227441401166E-3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12.378215166379039</v>
      </c>
      <c r="E26" s="103">
        <v>3.2527788325407312</v>
      </c>
      <c r="F26" s="103">
        <v>5.1164076781188621</v>
      </c>
      <c r="G26" s="103">
        <v>3.5258976637670045</v>
      </c>
      <c r="H26" s="103">
        <v>3.5258976637670045</v>
      </c>
      <c r="I26" s="103">
        <v>0.1706411014528969</v>
      </c>
      <c r="J26" s="103">
        <v>37.497198058985063</v>
      </c>
      <c r="K26" s="93">
        <v>64532.33959916998</v>
      </c>
      <c r="L26" s="93"/>
      <c r="M26" s="93"/>
      <c r="N26" s="103">
        <v>11.137181568300397</v>
      </c>
      <c r="O26" s="103">
        <v>3.0295174626021777</v>
      </c>
      <c r="P26" s="103">
        <v>4.7360357575755447</v>
      </c>
      <c r="Q26" s="103">
        <v>3.1316932654901199</v>
      </c>
      <c r="R26" s="103">
        <v>3.1316932654901199</v>
      </c>
      <c r="S26" s="103">
        <v>0.15432127003830373</v>
      </c>
      <c r="T26" s="103">
        <v>33.032490317874931</v>
      </c>
      <c r="U26" s="93">
        <v>59963.563267470345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3.7387000419327601</v>
      </c>
      <c r="E28" s="99">
        <v>4.2448122746834842E-2</v>
      </c>
      <c r="F28" s="99">
        <v>6.5304804225899751E-3</v>
      </c>
      <c r="G28" s="99">
        <v>0.56488655655403286</v>
      </c>
      <c r="H28" s="99">
        <v>0.56488655655403286</v>
      </c>
      <c r="I28" s="99">
        <v>2.9387161901654881E-2</v>
      </c>
      <c r="J28" s="99">
        <v>4.1239983868655674</v>
      </c>
      <c r="K28" s="49">
        <v>522.36556941459776</v>
      </c>
      <c r="L28" s="100">
        <v>46.646674038306038</v>
      </c>
      <c r="M28" s="49" t="s">
        <v>237</v>
      </c>
      <c r="N28" s="99">
        <v>3.4575589075935151</v>
      </c>
      <c r="O28" s="99">
        <v>3.9256127335122876E-2</v>
      </c>
      <c r="P28" s="99">
        <v>6.0394042054035197E-3</v>
      </c>
      <c r="Q28" s="99">
        <v>0.52240846376740435</v>
      </c>
      <c r="R28" s="99">
        <v>0.52240846376740435</v>
      </c>
      <c r="S28" s="99">
        <v>2.7177318924315838E-2</v>
      </c>
      <c r="T28" s="99">
        <v>3.8138837557123217</v>
      </c>
      <c r="U28" s="49">
        <v>483.08495126448105</v>
      </c>
      <c r="V28" s="100">
        <v>43.1389577986521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8.8158747535306309E-2</v>
      </c>
      <c r="E29" s="99">
        <v>4.6574432660161811E-3</v>
      </c>
      <c r="F29" s="99">
        <v>6.6534903800231178E-4</v>
      </c>
      <c r="G29" s="99">
        <v>5.089920140717686E-2</v>
      </c>
      <c r="H29" s="99">
        <v>5.089920140717686E-2</v>
      </c>
      <c r="I29" s="99">
        <v>2.8277334115098243E-3</v>
      </c>
      <c r="J29" s="99">
        <v>0.38390639492733392</v>
      </c>
      <c r="K29" s="49">
        <v>53.220499351515215</v>
      </c>
      <c r="L29" s="100">
        <v>4.7525323849122572</v>
      </c>
      <c r="M29" s="49" t="s">
        <v>237</v>
      </c>
      <c r="N29" s="99">
        <v>7.6925487546688182E-2</v>
      </c>
      <c r="O29" s="99">
        <v>4.0639880213344699E-3</v>
      </c>
      <c r="P29" s="99">
        <v>5.8056971733349563E-4</v>
      </c>
      <c r="Q29" s="99">
        <v>4.4413583376012422E-2</v>
      </c>
      <c r="R29" s="99">
        <v>4.4413583376012422E-2</v>
      </c>
      <c r="S29" s="99">
        <v>2.4674212986673565E-3</v>
      </c>
      <c r="T29" s="99">
        <v>0.33498872690142706</v>
      </c>
      <c r="U29" s="49">
        <v>46.439099630515024</v>
      </c>
      <c r="V29" s="100">
        <v>4.1469608066333548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4.2025101438669984E-2</v>
      </c>
      <c r="E30" s="99">
        <v>7.0041835731116612E-3</v>
      </c>
      <c r="F30" s="99">
        <v>1.4008367146223324E-3</v>
      </c>
      <c r="G30" s="99">
        <v>4.2025101438669984E-2</v>
      </c>
      <c r="H30" s="99">
        <v>4.2025101438669984E-2</v>
      </c>
      <c r="I30" s="99">
        <v>3.1518826079002483E-3</v>
      </c>
      <c r="J30" s="99">
        <v>0.49309452354706107</v>
      </c>
      <c r="K30" s="49">
        <v>112.05130721460144</v>
      </c>
      <c r="L30" s="100">
        <v>10.006059183922039</v>
      </c>
      <c r="M30" s="49" t="s">
        <v>237</v>
      </c>
      <c r="N30" s="99">
        <v>3.6670228511062095E-2</v>
      </c>
      <c r="O30" s="99">
        <v>6.1117047518436819E-3</v>
      </c>
      <c r="P30" s="99">
        <v>1.2223409503687361E-3</v>
      </c>
      <c r="Q30" s="99">
        <v>3.6670228511062095E-2</v>
      </c>
      <c r="R30" s="99">
        <v>3.6670228511062095E-2</v>
      </c>
      <c r="S30" s="99">
        <v>2.750267138329657E-3</v>
      </c>
      <c r="T30" s="99">
        <v>0.43026401452979529</v>
      </c>
      <c r="U30" s="49">
        <v>97.773637656035561</v>
      </c>
      <c r="V30" s="100">
        <v>8.7310789078072766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3.1627735075266603E-2</v>
      </c>
      <c r="E31" s="99">
        <v>4.2170313433688789E-3</v>
      </c>
      <c r="F31" s="99">
        <v>8.4340626867377582E-4</v>
      </c>
      <c r="G31" s="99">
        <v>2.7410703731897711E-2</v>
      </c>
      <c r="H31" s="99">
        <v>2.7410703731897711E-2</v>
      </c>
      <c r="I31" s="99">
        <v>1.8976641045159958E-3</v>
      </c>
      <c r="J31" s="99">
        <v>0.22561117687023505</v>
      </c>
      <c r="K31" s="49">
        <v>67.463091116486439</v>
      </c>
      <c r="L31" s="100">
        <v>6.0243802524235441</v>
      </c>
      <c r="M31" s="49" t="s">
        <v>237</v>
      </c>
      <c r="N31" s="99">
        <v>2.7597703105843245E-2</v>
      </c>
      <c r="O31" s="99">
        <v>3.6796937474457658E-3</v>
      </c>
      <c r="P31" s="99">
        <v>7.3593874948915325E-4</v>
      </c>
      <c r="Q31" s="99">
        <v>2.3918009358397475E-2</v>
      </c>
      <c r="R31" s="99">
        <v>2.3918009358397475E-2</v>
      </c>
      <c r="S31" s="99">
        <v>1.6558621863505946E-3</v>
      </c>
      <c r="T31" s="99">
        <v>0.19686361548834846</v>
      </c>
      <c r="U31" s="49">
        <v>58.86688865973278</v>
      </c>
      <c r="V31" s="100">
        <v>5.25674877468881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1.7891130767805534</v>
      </c>
      <c r="E32" s="99">
        <v>4.9019761784018026E-2</v>
      </c>
      <c r="F32" s="99">
        <v>1.3502740202117385E-2</v>
      </c>
      <c r="G32" s="99">
        <v>0.40987667079291501</v>
      </c>
      <c r="H32" s="99">
        <v>0.40987667079291501</v>
      </c>
      <c r="I32" s="99">
        <v>1.3402433247803672E-2</v>
      </c>
      <c r="J32" s="99">
        <v>4.0903392374525511</v>
      </c>
      <c r="K32" s="49">
        <v>1080.068558193316</v>
      </c>
      <c r="L32" s="100">
        <v>96.448940977346922</v>
      </c>
      <c r="M32" s="49" t="s">
        <v>237</v>
      </c>
      <c r="N32" s="99">
        <v>1.5611428196887809</v>
      </c>
      <c r="O32" s="99">
        <v>4.2773623492642285E-2</v>
      </c>
      <c r="P32" s="99">
        <v>1.1782209959915323E-2</v>
      </c>
      <c r="Q32" s="99">
        <v>0.35764984889481444</v>
      </c>
      <c r="R32" s="99">
        <v>0.35764984889481444</v>
      </c>
      <c r="S32" s="99">
        <v>1.169468420007152E-2</v>
      </c>
      <c r="T32" s="99">
        <v>3.5691448536785639</v>
      </c>
      <c r="U32" s="49">
        <v>942.44533578015194</v>
      </c>
      <c r="V32" s="100">
        <v>84.159337734157432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0.85286668242243502</v>
      </c>
      <c r="E33" s="99">
        <v>0.11434381025896982</v>
      </c>
      <c r="F33" s="99">
        <v>2.8428889414081154E-2</v>
      </c>
      <c r="G33" s="99">
        <v>0.56325627408457857</v>
      </c>
      <c r="H33" s="99">
        <v>0.56325627408457857</v>
      </c>
      <c r="I33" s="99">
        <v>1.7749700513785039E-2</v>
      </c>
      <c r="J33" s="99">
        <v>8.7874371293360536</v>
      </c>
      <c r="K33" s="49">
        <v>2273.9939553668482</v>
      </c>
      <c r="L33" s="100">
        <v>203.06517315057806</v>
      </c>
      <c r="M33" s="49" t="s">
        <v>237</v>
      </c>
      <c r="N33" s="99">
        <v>0.74419370955102926</v>
      </c>
      <c r="O33" s="99">
        <v>9.9774028080362717E-2</v>
      </c>
      <c r="P33" s="99">
        <v>2.4806456985034309E-2</v>
      </c>
      <c r="Q33" s="99">
        <v>0.49148569721155233</v>
      </c>
      <c r="R33" s="99">
        <v>0.49148569721155233</v>
      </c>
      <c r="S33" s="99">
        <v>1.5488019101947781E-2</v>
      </c>
      <c r="T33" s="99">
        <v>7.6677346758961908</v>
      </c>
      <c r="U33" s="49">
        <v>1984.2397786420515</v>
      </c>
      <c r="V33" s="100">
        <v>177.19044207274987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0.64186023502033895</v>
      </c>
      <c r="E34" s="99">
        <v>6.8843345801698139E-2</v>
      </c>
      <c r="F34" s="99">
        <v>1.7116272933875704E-2</v>
      </c>
      <c r="G34" s="99">
        <v>0.37628551941806831</v>
      </c>
      <c r="H34" s="99">
        <v>0.37628551941806831</v>
      </c>
      <c r="I34" s="99">
        <v>1.0686619306979278E-2</v>
      </c>
      <c r="J34" s="99">
        <v>5.2906805504857397</v>
      </c>
      <c r="K34" s="49">
        <v>1369.1108584341625</v>
      </c>
      <c r="L34" s="100">
        <v>122.26010226373666</v>
      </c>
      <c r="M34" s="49" t="s">
        <v>237</v>
      </c>
      <c r="N34" s="99">
        <v>0.5600738769116167</v>
      </c>
      <c r="O34" s="99">
        <v>6.007127015977605E-2</v>
      </c>
      <c r="P34" s="99">
        <v>1.4935303384309774E-2</v>
      </c>
      <c r="Q34" s="99">
        <v>0.32833890960623358</v>
      </c>
      <c r="R34" s="99">
        <v>0.32833890960623358</v>
      </c>
      <c r="S34" s="99">
        <v>9.3249215012498141E-3</v>
      </c>
      <c r="T34" s="99">
        <v>4.6165376911338614</v>
      </c>
      <c r="U34" s="49">
        <v>1194.6576288227529</v>
      </c>
      <c r="V34" s="100">
        <v>106.68161965866591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1.0754968374145342E-2</v>
      </c>
      <c r="E35" s="99">
        <v>1.8781525077220963E-2</v>
      </c>
      <c r="F35" s="99">
        <v>1.5010209851924851E-3</v>
      </c>
      <c r="G35" s="99">
        <v>1.3884444113030485E-2</v>
      </c>
      <c r="H35" s="99">
        <v>1.3884444113030485E-2</v>
      </c>
      <c r="I35" s="99">
        <v>3.3716683879886198E-4</v>
      </c>
      <c r="J35" s="99">
        <v>4.6587938827911755E-2</v>
      </c>
      <c r="K35" s="49">
        <v>143.37957840903448</v>
      </c>
      <c r="L35" s="100">
        <v>12.803639537903035</v>
      </c>
      <c r="M35" s="49" t="s">
        <v>237</v>
      </c>
      <c r="N35" s="99">
        <v>9.3845614741635084E-3</v>
      </c>
      <c r="O35" s="99">
        <v>1.6388367732390483E-2</v>
      </c>
      <c r="P35" s="99">
        <v>1.3097596589323069E-3</v>
      </c>
      <c r="Q35" s="99">
        <v>1.2115276845123835E-2</v>
      </c>
      <c r="R35" s="99">
        <v>1.2115276845123835E-2</v>
      </c>
      <c r="S35" s="99">
        <v>2.9420476338766938E-4</v>
      </c>
      <c r="T35" s="99">
        <v>4.0651665414111464E-2</v>
      </c>
      <c r="U35" s="49">
        <v>125.11003481459863</v>
      </c>
      <c r="V35" s="100">
        <v>11.17218927629156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3.6276842575315126E-2</v>
      </c>
      <c r="E36" s="99">
        <v>6.3350667788906592E-2</v>
      </c>
      <c r="F36" s="99">
        <v>5.062990432679851E-3</v>
      </c>
      <c r="G36" s="99">
        <v>4.6832661502288604E-2</v>
      </c>
      <c r="H36" s="99">
        <v>4.6832661502288604E-2</v>
      </c>
      <c r="I36" s="99">
        <v>1.1372742259407108E-3</v>
      </c>
      <c r="J36" s="99">
        <v>0.15714256555430078</v>
      </c>
      <c r="K36" s="49">
        <v>483.62377400974293</v>
      </c>
      <c r="L36" s="100">
        <v>43.187074080494369</v>
      </c>
      <c r="M36" s="49" t="s">
        <v>237</v>
      </c>
      <c r="N36" s="99">
        <v>3.1654417511353283E-2</v>
      </c>
      <c r="O36" s="99">
        <v>5.5278473688821807E-2</v>
      </c>
      <c r="P36" s="99">
        <v>4.4178600350706755E-3</v>
      </c>
      <c r="Q36" s="99">
        <v>4.0865205324403742E-2</v>
      </c>
      <c r="R36" s="99">
        <v>4.0865205324403742E-2</v>
      </c>
      <c r="S36" s="99">
        <v>9.9236181037775056E-4</v>
      </c>
      <c r="T36" s="99">
        <v>0.13711933083850605</v>
      </c>
      <c r="U36" s="49">
        <v>422.00003567393651</v>
      </c>
      <c r="V36" s="100">
        <v>37.684141644894417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1.1826473703811342</v>
      </c>
      <c r="E37" s="99">
        <v>4.2010904059961288E-2</v>
      </c>
      <c r="F37" s="99">
        <v>1.0419800620098091E-2</v>
      </c>
      <c r="G37" s="99">
        <v>0.25711254189103627</v>
      </c>
      <c r="H37" s="99">
        <v>0.25711254189103627</v>
      </c>
      <c r="I37" s="99">
        <v>6.3497892362398313E-3</v>
      </c>
      <c r="J37" s="99">
        <v>1.5778356705525471</v>
      </c>
      <c r="K37" s="49">
        <v>833.46778979324495</v>
      </c>
      <c r="L37" s="100">
        <v>74.427762066100641</v>
      </c>
      <c r="M37" s="49" t="s">
        <v>237</v>
      </c>
      <c r="N37" s="99">
        <v>1.0814544556656003</v>
      </c>
      <c r="O37" s="99">
        <v>3.841625197842656E-2</v>
      </c>
      <c r="P37" s="99">
        <v>9.5282330895647555E-3</v>
      </c>
      <c r="Q37" s="99">
        <v>0.23511277410269815</v>
      </c>
      <c r="R37" s="99">
        <v>0.23511277410269815</v>
      </c>
      <c r="S37" s="99">
        <v>5.8064711714160321E-3</v>
      </c>
      <c r="T37" s="99">
        <v>1.4428285716961107</v>
      </c>
      <c r="U37" s="49">
        <v>762.15233509138284</v>
      </c>
      <c r="V37" s="100">
        <v>68.059369958827148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7.6762396948481401E-2</v>
      </c>
      <c r="E38" s="99">
        <v>1.2027266970536274</v>
      </c>
      <c r="F38" s="99">
        <v>3.1116847533043535</v>
      </c>
      <c r="G38" s="99">
        <v>4.9157766909548796E-2</v>
      </c>
      <c r="H38" s="99">
        <v>4.9157766909548796E-2</v>
      </c>
      <c r="I38" s="99">
        <v>2.6373141946972934E-3</v>
      </c>
      <c r="J38" s="99">
        <v>4.82155763771158E-2</v>
      </c>
      <c r="K38" s="49">
        <v>28898.547074461283</v>
      </c>
      <c r="L38" s="100">
        <v>215.322291580593</v>
      </c>
      <c r="M38" s="49" t="s">
        <v>238</v>
      </c>
      <c r="N38" s="99">
        <v>7.0983500899497134E-2</v>
      </c>
      <c r="O38" s="99">
        <v>1.1121819403249409</v>
      </c>
      <c r="P38" s="99">
        <v>2.8774280932547232</v>
      </c>
      <c r="Q38" s="99">
        <v>4.5457027533716936E-2</v>
      </c>
      <c r="R38" s="99">
        <v>4.5457027533716936E-2</v>
      </c>
      <c r="S38" s="99">
        <v>2.4387695271839132E-3</v>
      </c>
      <c r="T38" s="99">
        <v>4.4585767839320695E-2</v>
      </c>
      <c r="U38" s="49">
        <v>26722.980571215263</v>
      </c>
      <c r="V38" s="100">
        <v>199.11220448666791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2.3148810173823454E-2</v>
      </c>
      <c r="E39" s="99">
        <v>0.58440193987212108</v>
      </c>
      <c r="F39" s="99">
        <v>0.41308126452116511</v>
      </c>
      <c r="G39" s="99">
        <v>1.4824235042086159E-2</v>
      </c>
      <c r="H39" s="99">
        <v>1.4824235042086159E-2</v>
      </c>
      <c r="I39" s="99">
        <v>7.9532021000792248E-4</v>
      </c>
      <c r="J39" s="99">
        <v>1.4540103870446177E-2</v>
      </c>
      <c r="K39" s="49">
        <v>8993.2965191431958</v>
      </c>
      <c r="L39" s="100">
        <v>67.008808794993115</v>
      </c>
      <c r="M39" s="49" t="s">
        <v>238</v>
      </c>
      <c r="N39" s="99">
        <v>2.2766118092669742E-2</v>
      </c>
      <c r="O39" s="99">
        <v>0.57474070921185894</v>
      </c>
      <c r="P39" s="99">
        <v>0.40625227730246238</v>
      </c>
      <c r="Q39" s="99">
        <v>1.4579163381073408E-2</v>
      </c>
      <c r="R39" s="99">
        <v>1.4579163381073408E-2</v>
      </c>
      <c r="S39" s="99">
        <v>7.8217211539458845E-4</v>
      </c>
      <c r="T39" s="99">
        <v>1.42997294162695E-2</v>
      </c>
      <c r="U39" s="49">
        <v>8844.6209139824932</v>
      </c>
      <c r="V39" s="100">
        <v>65.90103088758319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5.1079008600585327E-4</v>
      </c>
      <c r="E40" s="99">
        <v>1.2895121385842017E-2</v>
      </c>
      <c r="F40" s="99">
        <v>2.0705681244296746E-2</v>
      </c>
      <c r="G40" s="99">
        <v>2.8655825301871163E-4</v>
      </c>
      <c r="H40" s="99">
        <v>2.8655825301871163E-4</v>
      </c>
      <c r="I40" s="99">
        <v>1.7549138613245696E-5</v>
      </c>
      <c r="J40" s="99">
        <v>3.2083467144750202E-4</v>
      </c>
      <c r="K40" s="49">
        <v>196.28523936149188</v>
      </c>
      <c r="L40" s="100">
        <v>1.4327912650935581</v>
      </c>
      <c r="M40" s="49" t="s">
        <v>238</v>
      </c>
      <c r="N40" s="99">
        <v>4.8296421529623999E-4</v>
      </c>
      <c r="O40" s="99">
        <v>1.2192644986440843E-2</v>
      </c>
      <c r="P40" s="99">
        <v>1.9577715715906163E-2</v>
      </c>
      <c r="Q40" s="99">
        <v>2.7094766636535212E-4</v>
      </c>
      <c r="R40" s="99">
        <v>2.7094766636535212E-4</v>
      </c>
      <c r="S40" s="99">
        <v>1.6593129333708391E-5</v>
      </c>
      <c r="T40" s="99">
        <v>3.0335683792753602E-4</v>
      </c>
      <c r="U40" s="49">
        <v>185.59237776860701</v>
      </c>
      <c r="V40" s="100">
        <v>1.3547383318267607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1.629905387358429E-3</v>
      </c>
      <c r="E41" s="99">
        <v>2.5537643442311742E-2</v>
      </c>
      <c r="F41" s="99">
        <v>6.6070783935729988E-2</v>
      </c>
      <c r="G41" s="99">
        <v>1.0437728927375376E-3</v>
      </c>
      <c r="H41" s="99">
        <v>1.0437728927375376E-3</v>
      </c>
      <c r="I41" s="99">
        <v>5.5998415695368869E-5</v>
      </c>
      <c r="J41" s="99">
        <v>1.0237672456267341E-3</v>
      </c>
      <c r="K41" s="49">
        <v>571.49557761515769</v>
      </c>
      <c r="L41" s="100">
        <v>4.5719646209212614</v>
      </c>
      <c r="M41" s="49" t="s">
        <v>238</v>
      </c>
      <c r="N41" s="99">
        <v>1.3605427723099414E-3</v>
      </c>
      <c r="O41" s="99">
        <v>2.1317222752160213E-2</v>
      </c>
      <c r="P41" s="99">
        <v>5.5151745765008135E-2</v>
      </c>
      <c r="Q41" s="99">
        <v>8.7127613428447767E-4</v>
      </c>
      <c r="R41" s="99">
        <v>8.7127613428447767E-4</v>
      </c>
      <c r="S41" s="99">
        <v>4.6743964604362223E-5</v>
      </c>
      <c r="T41" s="99">
        <v>8.5457667504402503E-4</v>
      </c>
      <c r="U41" s="49">
        <v>477.04865789268649</v>
      </c>
      <c r="V41" s="100">
        <v>3.8163892631414922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6.2640334377998938E-4</v>
      </c>
      <c r="E42" s="99">
        <v>1.0705802602785279E-2</v>
      </c>
      <c r="F42" s="99">
        <v>6.8334910230544326E-5</v>
      </c>
      <c r="G42" s="99">
        <v>5.6412746225655285E-6</v>
      </c>
      <c r="H42" s="99">
        <v>5.6412746225655285E-6</v>
      </c>
      <c r="I42" s="99">
        <v>2.2778303410181423E-3</v>
      </c>
      <c r="J42" s="99">
        <v>4.5556606820362847E-3</v>
      </c>
      <c r="K42" s="49">
        <v>281.18883333333326</v>
      </c>
      <c r="L42" s="100">
        <v>277.0333333333337</v>
      </c>
      <c r="M42" s="49" t="s">
        <v>239</v>
      </c>
      <c r="N42" s="99">
        <v>6.2640334377998938E-4</v>
      </c>
      <c r="O42" s="99">
        <v>1.0705802602785279E-2</v>
      </c>
      <c r="P42" s="99">
        <v>6.8334910230544326E-5</v>
      </c>
      <c r="Q42" s="99">
        <v>5.6412746225655285E-6</v>
      </c>
      <c r="R42" s="99">
        <v>5.6412746225655285E-6</v>
      </c>
      <c r="S42" s="99">
        <v>2.2778303410181423E-3</v>
      </c>
      <c r="T42" s="99">
        <v>4.5556606820362847E-3</v>
      </c>
      <c r="U42" s="49">
        <v>281.18883333333326</v>
      </c>
      <c r="V42" s="100">
        <v>277.0333333333337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9.7086916666666682E-3</v>
      </c>
      <c r="E43" s="99">
        <v>0.17652166666666674</v>
      </c>
      <c r="F43" s="99">
        <v>1.0591299999999999E-3</v>
      </c>
      <c r="G43" s="99">
        <v>1.341564666666667E-2</v>
      </c>
      <c r="H43" s="99">
        <v>1.341564666666667E-2</v>
      </c>
      <c r="I43" s="99">
        <v>3.5304333333333333E-2</v>
      </c>
      <c r="J43" s="99">
        <v>7.0608666666666667E-2</v>
      </c>
      <c r="K43" s="49">
        <v>3583.389833333335</v>
      </c>
      <c r="L43" s="100">
        <v>3530.4333333333338</v>
      </c>
      <c r="M43" s="49" t="s">
        <v>239</v>
      </c>
      <c r="N43" s="99">
        <v>9.7086916666666682E-3</v>
      </c>
      <c r="O43" s="99">
        <v>0.17652166666666674</v>
      </c>
      <c r="P43" s="99">
        <v>1.0591299999999999E-3</v>
      </c>
      <c r="Q43" s="99">
        <v>1.341564666666667E-2</v>
      </c>
      <c r="R43" s="99">
        <v>1.341564666666667E-2</v>
      </c>
      <c r="S43" s="99">
        <v>3.5304333333333333E-2</v>
      </c>
      <c r="T43" s="99">
        <v>7.0608666666666667E-2</v>
      </c>
      <c r="U43" s="49">
        <v>3583.389833333335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0.11438160316864014</v>
      </c>
      <c r="E44" s="99">
        <v>5.3988116695598151E-2</v>
      </c>
      <c r="F44" s="99">
        <v>0.10637489094683533</v>
      </c>
      <c r="G44" s="99">
        <v>9.1390900931743471E-2</v>
      </c>
      <c r="H44" s="99">
        <v>9.1390900931743471E-2</v>
      </c>
      <c r="I44" s="99">
        <v>1.4480139053133998E-2</v>
      </c>
      <c r="J44" s="99">
        <v>1.4935377833745189</v>
      </c>
      <c r="K44" s="49">
        <v>347.72007363266607</v>
      </c>
      <c r="L44" s="100">
        <v>22.876320633728021</v>
      </c>
      <c r="M44" s="49" t="s">
        <v>237</v>
      </c>
      <c r="N44" s="99">
        <v>0.10049872600454278</v>
      </c>
      <c r="O44" s="99">
        <v>4.7435398674144189E-2</v>
      </c>
      <c r="P44" s="99">
        <v>9.346381518422478E-2</v>
      </c>
      <c r="Q44" s="99">
        <v>8.0298482077629657E-2</v>
      </c>
      <c r="R44" s="99">
        <v>8.0298482077629657E-2</v>
      </c>
      <c r="S44" s="99">
        <v>1.2722636218545092E-2</v>
      </c>
      <c r="T44" s="99">
        <v>1.3122621148043172</v>
      </c>
      <c r="U44" s="49">
        <v>305.51612705381012</v>
      </c>
      <c r="V44" s="100">
        <v>20.099745200908554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1.346721927659249E-4</v>
      </c>
      <c r="F45" s="99">
        <v>2.6534987133964015E-4</v>
      </c>
      <c r="G45" s="99">
        <v>2.279726313982501E-4</v>
      </c>
      <c r="H45" s="99">
        <v>2.279726313982501E-4</v>
      </c>
      <c r="I45" s="99">
        <v>3.6120394583055649E-5</v>
      </c>
      <c r="J45" s="99">
        <v>3.725597790341238E-3</v>
      </c>
      <c r="K45" s="49">
        <v>13.116826184181894</v>
      </c>
      <c r="L45" s="100">
        <v>0.86738022459409281</v>
      </c>
      <c r="M45" s="49" t="s">
        <v>237</v>
      </c>
      <c r="N45" s="99">
        <v>2.6963315214105569E-4</v>
      </c>
      <c r="O45" s="99">
        <v>1.2726684781057829E-4</v>
      </c>
      <c r="P45" s="99">
        <v>2.5075883149118175E-4</v>
      </c>
      <c r="Q45" s="99">
        <v>2.1543688856070348E-4</v>
      </c>
      <c r="R45" s="99">
        <v>2.1543688856070348E-4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8.7184102008962066E-4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7.1473614547591419E-4</v>
      </c>
      <c r="O46" s="99">
        <v>2.9083381335906245E-5</v>
      </c>
      <c r="P46" s="99">
        <v>6.1727592489711029E-6</v>
      </c>
      <c r="Q46" s="99">
        <v>2.1102851649953142E-4</v>
      </c>
      <c r="R46" s="99">
        <v>2.1102851649953142E-4</v>
      </c>
      <c r="S46" s="99">
        <v>8.1341904248124664E-6</v>
      </c>
      <c r="T46" s="99">
        <v>1.5343025389261337E-3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1.9434212261993555E-2</v>
      </c>
      <c r="F47" s="101">
        <v>1.3760960594379906E-2</v>
      </c>
      <c r="G47" s="101">
        <v>1.9373489384817268E-3</v>
      </c>
      <c r="H47" s="101">
        <v>1.9373489384817268E-3</v>
      </c>
      <c r="I47" s="101">
        <v>1.3544093175893139E-5</v>
      </c>
      <c r="J47" s="101">
        <v>4.6265049277175556E-3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1.9434212261993555E-2</v>
      </c>
      <c r="P47" s="101">
        <v>1.3760960594379906E-2</v>
      </c>
      <c r="Q47" s="101">
        <v>1.9373489384817268E-3</v>
      </c>
      <c r="R47" s="101">
        <v>1.9373489384817268E-3</v>
      </c>
      <c r="S47" s="101">
        <v>1.3544093175893139E-5</v>
      </c>
      <c r="T47" s="101">
        <v>4.6265049277175556E-3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8.6423288334410522</v>
      </c>
      <c r="E48" s="103">
        <v>2.5010573320546219</v>
      </c>
      <c r="F48" s="103">
        <v>3.8185504933034298</v>
      </c>
      <c r="G48" s="103">
        <v>2.5250047022549218</v>
      </c>
      <c r="H48" s="103">
        <v>2.5250047022549218</v>
      </c>
      <c r="I48" s="103">
        <v>0.14255455227654068</v>
      </c>
      <c r="J48" s="103">
        <v>26.819531974920174</v>
      </c>
      <c r="K48" s="93">
        <v>49934.819048332283</v>
      </c>
      <c r="L48" s="93"/>
      <c r="M48" s="93"/>
      <c r="N48" s="103">
        <v>7.7944397515200103</v>
      </c>
      <c r="O48" s="103">
        <v>2.3404994766983043</v>
      </c>
      <c r="P48" s="103">
        <v>3.5423770810530968</v>
      </c>
      <c r="Q48" s="103">
        <v>2.2502399960756034</v>
      </c>
      <c r="R48" s="103">
        <v>2.2502399960756034</v>
      </c>
      <c r="S48" s="103">
        <v>0.13129642321802312</v>
      </c>
      <c r="T48" s="103">
        <v>23.707168316561539</v>
      </c>
      <c r="U48" s="93">
        <v>46639.083044604362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4.9354070535514287</v>
      </c>
      <c r="E50" s="99">
        <v>5.6035189254295702E-2</v>
      </c>
      <c r="F50" s="99">
        <v>8.62079834681472E-3</v>
      </c>
      <c r="G50" s="99">
        <v>0.7456990569994737</v>
      </c>
      <c r="H50" s="99">
        <v>0.7456990569994737</v>
      </c>
      <c r="I50" s="99">
        <v>3.8793592560666251E-2</v>
      </c>
      <c r="J50" s="99">
        <v>5.4440341560134957</v>
      </c>
      <c r="K50" s="49">
        <v>692.16690531272297</v>
      </c>
      <c r="L50" s="100">
        <v>61.577639685251427</v>
      </c>
      <c r="M50" s="49" t="s">
        <v>237</v>
      </c>
      <c r="N50" s="99">
        <v>4.5533863698110233</v>
      </c>
      <c r="O50" s="99">
        <v>5.1697836513138244E-2</v>
      </c>
      <c r="P50" s="99">
        <v>7.9535133097135731E-3</v>
      </c>
      <c r="Q50" s="99">
        <v>0.68797890129022443</v>
      </c>
      <c r="R50" s="99">
        <v>0.68797890129022443</v>
      </c>
      <c r="S50" s="99">
        <v>3.5790809893711084E-2</v>
      </c>
      <c r="T50" s="99">
        <v>5.0226436550841225</v>
      </c>
      <c r="U50" s="49">
        <v>638.58731876261345</v>
      </c>
      <c r="V50" s="100">
        <v>56.81127862112141</v>
      </c>
      <c r="W50" t="s">
        <v>237</v>
      </c>
      <c r="Y50" s="14">
        <f>N50/$U50*2000</f>
        <v>14.260810498505016</v>
      </c>
      <c r="Z50" s="6">
        <f t="shared" ref="Z50:AE65" si="0">O50/$U50*2000</f>
        <v>0.16191313229743681</v>
      </c>
      <c r="AA50" s="249">
        <f t="shared" si="0"/>
        <v>2.4909712661144116E-2</v>
      </c>
      <c r="AB50" s="6">
        <f t="shared" si="0"/>
        <v>2.1546901451889671</v>
      </c>
      <c r="AC50" s="250">
        <f t="shared" si="0"/>
        <v>2.1546901451889671</v>
      </c>
      <c r="AD50" s="6">
        <f t="shared" si="0"/>
        <v>0.11209370697514855</v>
      </c>
      <c r="AE50" s="14">
        <f t="shared" si="0"/>
        <v>15.730483545512513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0.10684787115051073</v>
      </c>
      <c r="E51" s="99">
        <v>5.6447931928571707E-3</v>
      </c>
      <c r="F51" s="99">
        <v>8.0639902755102447E-4</v>
      </c>
      <c r="G51" s="99">
        <v>6.1689525607653395E-2</v>
      </c>
      <c r="H51" s="99">
        <v>6.1689525607653395E-2</v>
      </c>
      <c r="I51" s="99">
        <v>3.4271958670918537E-3</v>
      </c>
      <c r="J51" s="99">
        <v>0.46529223889694099</v>
      </c>
      <c r="K51" s="49">
        <v>64.734572003761855</v>
      </c>
      <c r="L51" s="100">
        <v>5.7600406323645714</v>
      </c>
      <c r="M51" s="49" t="s">
        <v>237</v>
      </c>
      <c r="N51" s="99">
        <v>9.2997109819551019E-2</v>
      </c>
      <c r="O51" s="99">
        <v>4.9130548583913745E-3</v>
      </c>
      <c r="P51" s="99">
        <v>7.0186497977019603E-4</v>
      </c>
      <c r="Q51" s="99">
        <v>5.369267095242003E-2</v>
      </c>
      <c r="R51" s="99">
        <v>5.369267095242003E-2</v>
      </c>
      <c r="S51" s="99">
        <v>2.9829261640233347E-3</v>
      </c>
      <c r="T51" s="99">
        <v>0.40497609332740325</v>
      </c>
      <c r="U51" s="49">
        <v>56.342675924527434</v>
      </c>
      <c r="V51" s="100">
        <v>5.0133626948778351</v>
      </c>
      <c r="W51" t="s">
        <v>237</v>
      </c>
      <c r="Y51" s="14">
        <f t="shared" ref="Y51:AE70" si="1">N51/$U51*2000</f>
        <v>3.3011250634997604</v>
      </c>
      <c r="Z51" s="6">
        <f t="shared" si="0"/>
        <v>0.1743990599584779</v>
      </c>
      <c r="AA51" s="249">
        <f t="shared" si="0"/>
        <v>2.491415142263969E-2</v>
      </c>
      <c r="AB51" s="6">
        <f t="shared" si="0"/>
        <v>1.9059325838319374</v>
      </c>
      <c r="AC51" s="250">
        <f t="shared" si="0"/>
        <v>1.9059325838319374</v>
      </c>
      <c r="AD51" s="6">
        <f t="shared" si="0"/>
        <v>0.10588514354621872</v>
      </c>
      <c r="AE51" s="14">
        <f t="shared" si="0"/>
        <v>14.375465370863104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5.0934169882663721E-2</v>
      </c>
      <c r="E52" s="99">
        <v>8.4890283137772846E-3</v>
      </c>
      <c r="F52" s="99">
        <v>1.6978056627554572E-3</v>
      </c>
      <c r="G52" s="99">
        <v>5.0934169882663721E-2</v>
      </c>
      <c r="H52" s="99">
        <v>5.0934169882663721E-2</v>
      </c>
      <c r="I52" s="99">
        <v>3.8200627411997781E-3</v>
      </c>
      <c r="J52" s="99">
        <v>0.59762759328992099</v>
      </c>
      <c r="K52" s="49">
        <v>136.29322353948842</v>
      </c>
      <c r="L52" s="100">
        <v>12.12728347779575</v>
      </c>
      <c r="M52" s="49" t="s">
        <v>237</v>
      </c>
      <c r="N52" s="99">
        <v>4.4331539216849465E-2</v>
      </c>
      <c r="O52" s="99">
        <v>7.3885898694749106E-3</v>
      </c>
      <c r="P52" s="99">
        <v>1.4777179738949824E-3</v>
      </c>
      <c r="Q52" s="99">
        <v>4.4331539216849465E-2</v>
      </c>
      <c r="R52" s="99">
        <v>4.4331539216849465E-2</v>
      </c>
      <c r="S52" s="99">
        <v>3.3248654412637094E-3</v>
      </c>
      <c r="T52" s="99">
        <v>0.52015672681103386</v>
      </c>
      <c r="U52" s="49">
        <v>118.62478868553133</v>
      </c>
      <c r="V52" s="100">
        <v>10.55521557194831</v>
      </c>
      <c r="W52" t="s">
        <v>237</v>
      </c>
      <c r="Y52" s="14">
        <f t="shared" si="1"/>
        <v>0.74742454267919112</v>
      </c>
      <c r="Z52" s="6">
        <f t="shared" si="0"/>
        <v>0.12457075711319851</v>
      </c>
      <c r="AA52" s="249">
        <f t="shared" si="0"/>
        <v>2.4914151422639703E-2</v>
      </c>
      <c r="AB52" s="6">
        <f t="shared" si="0"/>
        <v>0.74742454267919112</v>
      </c>
      <c r="AC52" s="250">
        <f t="shared" si="0"/>
        <v>0.74742454267919112</v>
      </c>
      <c r="AD52" s="6">
        <f t="shared" si="0"/>
        <v>5.6056840700939317E-2</v>
      </c>
      <c r="AE52" s="14">
        <f t="shared" si="0"/>
        <v>8.7697813007691785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3.8332624459656593E-2</v>
      </c>
      <c r="E53" s="99">
        <v>5.1110165946208807E-3</v>
      </c>
      <c r="F53" s="99">
        <v>1.0222033189241765E-3</v>
      </c>
      <c r="G53" s="99">
        <v>3.3221607865035724E-2</v>
      </c>
      <c r="H53" s="99">
        <v>3.3221607865035724E-2</v>
      </c>
      <c r="I53" s="99">
        <v>2.2999574675793963E-3</v>
      </c>
      <c r="J53" s="99">
        <v>0.27343938781221722</v>
      </c>
      <c r="K53" s="49">
        <v>82.058499688846013</v>
      </c>
      <c r="L53" s="100">
        <v>7.3015125891488246</v>
      </c>
      <c r="M53" s="49" t="s">
        <v>237</v>
      </c>
      <c r="N53" s="99">
        <v>3.336354059431583E-2</v>
      </c>
      <c r="O53" s="99">
        <v>4.4484720792421113E-3</v>
      </c>
      <c r="P53" s="99">
        <v>8.8969441584842211E-4</v>
      </c>
      <c r="Q53" s="99">
        <v>2.8915068515073722E-2</v>
      </c>
      <c r="R53" s="99">
        <v>2.8915068515073722E-2</v>
      </c>
      <c r="S53" s="99">
        <v>2.0018124356589503E-3</v>
      </c>
      <c r="T53" s="99">
        <v>0.23799325623945303</v>
      </c>
      <c r="U53" s="49">
        <v>71.420808259192725</v>
      </c>
      <c r="V53" s="100">
        <v>6.3550126061511332</v>
      </c>
      <c r="W53" t="s">
        <v>237</v>
      </c>
      <c r="Y53" s="14">
        <f t="shared" si="1"/>
        <v>0.93428067834898909</v>
      </c>
      <c r="Z53" s="6">
        <f t="shared" si="0"/>
        <v>0.12457075711319857</v>
      </c>
      <c r="AA53" s="249">
        <f t="shared" si="0"/>
        <v>2.4914151422639707E-2</v>
      </c>
      <c r="AB53" s="6">
        <f t="shared" si="0"/>
        <v>0.80970992123579055</v>
      </c>
      <c r="AC53" s="250">
        <f t="shared" si="0"/>
        <v>0.80970992123579055</v>
      </c>
      <c r="AD53" s="6">
        <f t="shared" si="0"/>
        <v>5.6056840700939359E-2</v>
      </c>
      <c r="AE53" s="14">
        <f t="shared" si="0"/>
        <v>6.6645355055561248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2.1683942756217629</v>
      </c>
      <c r="E54" s="99">
        <v>5.9411656101737154E-2</v>
      </c>
      <c r="F54" s="99">
        <v>1.6365239816013302E-2</v>
      </c>
      <c r="G54" s="99">
        <v>0.49676805686177261</v>
      </c>
      <c r="H54" s="99">
        <v>0.49676805686177261</v>
      </c>
      <c r="I54" s="99">
        <v>1.6243668391399773E-2</v>
      </c>
      <c r="J54" s="99">
        <v>4.9574665251474768</v>
      </c>
      <c r="K54" s="49">
        <v>1313.7376894486781</v>
      </c>
      <c r="L54" s="100">
        <v>116.89553568151169</v>
      </c>
      <c r="M54" s="49" t="s">
        <v>237</v>
      </c>
      <c r="N54" s="99">
        <v>1.8873038686753372</v>
      </c>
      <c r="O54" s="99">
        <v>5.1710083201112401E-2</v>
      </c>
      <c r="P54" s="99">
        <v>1.4243802782455371E-2</v>
      </c>
      <c r="Q54" s="99">
        <v>0.43237167986007563</v>
      </c>
      <c r="R54" s="99">
        <v>0.43237167986007563</v>
      </c>
      <c r="S54" s="99">
        <v>1.4137990743301328E-2</v>
      </c>
      <c r="T54" s="99">
        <v>4.314826808448621</v>
      </c>
      <c r="U54" s="49">
        <v>1143.4306985476455</v>
      </c>
      <c r="V54" s="100">
        <v>101.74228884612482</v>
      </c>
      <c r="W54" t="s">
        <v>237</v>
      </c>
      <c r="Y54" s="14">
        <f t="shared" si="1"/>
        <v>3.3011250634997626</v>
      </c>
      <c r="Z54" s="6">
        <f t="shared" si="0"/>
        <v>9.0447253632062075E-2</v>
      </c>
      <c r="AA54" s="249">
        <f t="shared" si="0"/>
        <v>2.491415142263971E-2</v>
      </c>
      <c r="AB54" s="6">
        <f t="shared" si="0"/>
        <v>0.75627089671330727</v>
      </c>
      <c r="AC54" s="250">
        <f t="shared" si="0"/>
        <v>0.75627089671330727</v>
      </c>
      <c r="AD54" s="6">
        <f t="shared" si="0"/>
        <v>2.4729073237685532E-2</v>
      </c>
      <c r="AE54" s="14">
        <f t="shared" si="0"/>
        <v>7.5471592881478458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1.033669283420126</v>
      </c>
      <c r="E55" s="99">
        <v>0.13858400949396385</v>
      </c>
      <c r="F55" s="99">
        <v>3.4455642780670856E-2</v>
      </c>
      <c r="G55" s="99">
        <v>0.68266321245096517</v>
      </c>
      <c r="H55" s="99">
        <v>0.68266321245096517</v>
      </c>
      <c r="I55" s="99">
        <v>2.1512530139990133E-2</v>
      </c>
      <c r="J55" s="99">
        <v>10.650320885769037</v>
      </c>
      <c r="K55" s="49">
        <v>2765.9647548125363</v>
      </c>
      <c r="L55" s="100">
        <v>246.11376706843225</v>
      </c>
      <c r="M55" s="49" t="s">
        <v>237</v>
      </c>
      <c r="N55" s="99">
        <v>0.8996740396624977</v>
      </c>
      <c r="O55" s="99">
        <v>0.12061927122524853</v>
      </c>
      <c r="P55" s="99">
        <v>2.9989134655416586E-2</v>
      </c>
      <c r="Q55" s="99">
        <v>0.59416912152270285</v>
      </c>
      <c r="R55" s="99">
        <v>0.59416912152270285</v>
      </c>
      <c r="S55" s="99">
        <v>1.8723846403143809E-2</v>
      </c>
      <c r="T55" s="99">
        <v>9.2697126331336079</v>
      </c>
      <c r="U55" s="49">
        <v>2407.3976389310387</v>
      </c>
      <c r="V55" s="100">
        <v>214.20987407344336</v>
      </c>
      <c r="W55" t="s">
        <v>237</v>
      </c>
      <c r="Y55" s="14">
        <f t="shared" si="1"/>
        <v>0.7474245426791909</v>
      </c>
      <c r="Z55" s="6">
        <f t="shared" si="0"/>
        <v>0.10020718577991738</v>
      </c>
      <c r="AA55" s="249">
        <f t="shared" si="0"/>
        <v>2.4914151422639693E-2</v>
      </c>
      <c r="AB55" s="6">
        <f t="shared" si="0"/>
        <v>0.49361942698135475</v>
      </c>
      <c r="AC55" s="250">
        <f t="shared" si="0"/>
        <v>0.49361942698135475</v>
      </c>
      <c r="AD55" s="6">
        <f t="shared" si="0"/>
        <v>1.5555258591561795E-2</v>
      </c>
      <c r="AE55" s="14">
        <f t="shared" si="0"/>
        <v>7.701023281928328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0.77793073977853255</v>
      </c>
      <c r="E56" s="99">
        <v>8.343772056022028E-2</v>
      </c>
      <c r="F56" s="99">
        <v>2.0744819727427533E-2</v>
      </c>
      <c r="G56" s="99">
        <v>0.45605578367005639</v>
      </c>
      <c r="H56" s="99">
        <v>0.45605578367005639</v>
      </c>
      <c r="I56" s="99">
        <v>1.2952118248837307E-2</v>
      </c>
      <c r="J56" s="99">
        <v>6.41227296849266</v>
      </c>
      <c r="K56" s="49">
        <v>1665.3133008214668</v>
      </c>
      <c r="L56" s="100">
        <v>148.17850773449752</v>
      </c>
      <c r="M56" s="49" t="s">
        <v>237</v>
      </c>
      <c r="N56" s="99">
        <v>0.67708705527019697</v>
      </c>
      <c r="O56" s="99">
        <v>7.2621632780137266E-2</v>
      </c>
      <c r="P56" s="99">
        <v>1.8055654807205244E-2</v>
      </c>
      <c r="Q56" s="99">
        <v>0.39693696599778167</v>
      </c>
      <c r="R56" s="99">
        <v>0.39693696599778167</v>
      </c>
      <c r="S56" s="99">
        <v>1.1273126457392941E-2</v>
      </c>
      <c r="T56" s="99">
        <v>5.5810457150226505</v>
      </c>
      <c r="U56" s="49">
        <v>1449.4296434915236</v>
      </c>
      <c r="V56" s="100">
        <v>128.97002821208184</v>
      </c>
      <c r="W56" t="s">
        <v>237</v>
      </c>
      <c r="Y56" s="14">
        <f t="shared" si="1"/>
        <v>0.93428067834898898</v>
      </c>
      <c r="Z56" s="6">
        <f t="shared" si="0"/>
        <v>0.10020718577991738</v>
      </c>
      <c r="AA56" s="249">
        <f t="shared" si="0"/>
        <v>2.4914151422639697E-2</v>
      </c>
      <c r="AB56" s="6">
        <f t="shared" si="0"/>
        <v>0.54771470665054467</v>
      </c>
      <c r="AC56" s="250">
        <f t="shared" si="0"/>
        <v>0.54771470665054467</v>
      </c>
      <c r="AD56" s="6">
        <f t="shared" si="0"/>
        <v>1.5555258591561802E-2</v>
      </c>
      <c r="AE56" s="14">
        <f t="shared" si="0"/>
        <v>7.7010232819283289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1.3034956906667519E-2</v>
      </c>
      <c r="E57" s="99">
        <v>2.2763095297574532E-2</v>
      </c>
      <c r="F57" s="99">
        <v>1.8192283954105524E-3</v>
      </c>
      <c r="G57" s="99">
        <v>1.6827862657547606E-2</v>
      </c>
      <c r="H57" s="99">
        <v>1.6827862657547606E-2</v>
      </c>
      <c r="I57" s="99">
        <v>4.0864417831909549E-4</v>
      </c>
      <c r="J57" s="99">
        <v>5.6464301322555019E-2</v>
      </c>
      <c r="K57" s="49">
        <v>174.39925884732256</v>
      </c>
      <c r="L57" s="100">
        <v>15.517934020734209</v>
      </c>
      <c r="M57" s="49" t="s">
        <v>237</v>
      </c>
      <c r="N57" s="99">
        <v>1.1345226684347284E-2</v>
      </c>
      <c r="O57" s="99">
        <v>1.9812299959064982E-2</v>
      </c>
      <c r="P57" s="99">
        <v>1.5834005961290702E-3</v>
      </c>
      <c r="Q57" s="99">
        <v>1.4646455514193895E-2</v>
      </c>
      <c r="R57" s="99">
        <v>1.4646455514193895E-2</v>
      </c>
      <c r="S57" s="99">
        <v>3.556713589054923E-4</v>
      </c>
      <c r="T57" s="99">
        <v>4.9144796002356009E-2</v>
      </c>
      <c r="U57" s="49">
        <v>151.79093054236077</v>
      </c>
      <c r="V57" s="100">
        <v>13.506333806743964</v>
      </c>
      <c r="W57" t="s">
        <v>237</v>
      </c>
      <c r="Y57" s="14">
        <f t="shared" si="1"/>
        <v>0.14948490853583818</v>
      </c>
      <c r="Z57" s="6">
        <f t="shared" si="0"/>
        <v>0.26104721656655105</v>
      </c>
      <c r="AA57" s="249">
        <f t="shared" si="0"/>
        <v>2.0862914410913182E-2</v>
      </c>
      <c r="AB57" s="6">
        <f t="shared" si="0"/>
        <v>0.19298195830094686</v>
      </c>
      <c r="AC57" s="250">
        <f t="shared" si="0"/>
        <v>0.19298195830094686</v>
      </c>
      <c r="AD57" s="6">
        <f t="shared" si="0"/>
        <v>4.6863321495513727E-3</v>
      </c>
      <c r="AE57" s="14">
        <f t="shared" si="0"/>
        <v>0.64753270602871782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4.3967314754356175E-2</v>
      </c>
      <c r="E58" s="99">
        <v>7.6780627883773656E-2</v>
      </c>
      <c r="F58" s="99">
        <v>6.1363139167851096E-3</v>
      </c>
      <c r="G58" s="99">
        <v>5.6760903730262262E-2</v>
      </c>
      <c r="H58" s="99">
        <v>5.6760903730262262E-2</v>
      </c>
      <c r="I58" s="99">
        <v>1.3783695135578548E-3</v>
      </c>
      <c r="J58" s="99">
        <v>0.19045584319221784</v>
      </c>
      <c r="K58" s="49">
        <v>588.25412017622193</v>
      </c>
      <c r="L58" s="100">
        <v>52.342473727547038</v>
      </c>
      <c r="M58" s="49" t="s">
        <v>237</v>
      </c>
      <c r="N58" s="99">
        <v>3.8267802200026166E-2</v>
      </c>
      <c r="O58" s="99">
        <v>6.682750350040316E-2</v>
      </c>
      <c r="P58" s="99">
        <v>5.3408594206116426E-3</v>
      </c>
      <c r="Q58" s="99">
        <v>4.9402949640657681E-2</v>
      </c>
      <c r="R58" s="99">
        <v>4.9402949640657681E-2</v>
      </c>
      <c r="S58" s="99">
        <v>1.1996905473548897E-3</v>
      </c>
      <c r="T58" s="99">
        <v>0.16576692426723383</v>
      </c>
      <c r="U58" s="49">
        <v>511.99552616847171</v>
      </c>
      <c r="V58" s="100">
        <v>45.557283688046489</v>
      </c>
      <c r="W58" t="s">
        <v>237</v>
      </c>
      <c r="Y58" s="14">
        <f t="shared" si="1"/>
        <v>0.14948490853583815</v>
      </c>
      <c r="Z58" s="6">
        <f t="shared" si="0"/>
        <v>0.26104721656655111</v>
      </c>
      <c r="AA58" s="249">
        <f t="shared" si="0"/>
        <v>2.0862914410913182E-2</v>
      </c>
      <c r="AB58" s="6">
        <f t="shared" si="0"/>
        <v>0.19298195830094686</v>
      </c>
      <c r="AC58" s="250">
        <f t="shared" si="0"/>
        <v>0.19298195830094686</v>
      </c>
      <c r="AD58" s="6">
        <f t="shared" si="0"/>
        <v>4.6863321495513709E-3</v>
      </c>
      <c r="AE58" s="14">
        <f t="shared" si="0"/>
        <v>0.64753270602871771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1.2348132663180889</v>
      </c>
      <c r="E59" s="99">
        <v>4.3863980897821321E-2</v>
      </c>
      <c r="F59" s="99">
        <v>1.0879412038044829E-2</v>
      </c>
      <c r="G59" s="99">
        <v>0.26845362837233566</v>
      </c>
      <c r="H59" s="99">
        <v>0.26845362837233566</v>
      </c>
      <c r="I59" s="99">
        <v>6.6298747907466904E-3</v>
      </c>
      <c r="J59" s="99">
        <v>1.6474330953277223</v>
      </c>
      <c r="K59" s="49">
        <v>873.05248432775704</v>
      </c>
      <c r="L59" s="100">
        <v>77.710727883298873</v>
      </c>
      <c r="M59" s="49" t="s">
        <v>237</v>
      </c>
      <c r="N59" s="99">
        <v>1.1290153981004121</v>
      </c>
      <c r="O59" s="99">
        <v>4.0105748137358781E-2</v>
      </c>
      <c r="P59" s="99">
        <v>9.9472722299595792E-3</v>
      </c>
      <c r="Q59" s="99">
        <v>0.24545272420989431</v>
      </c>
      <c r="R59" s="99">
        <v>0.24545272420989431</v>
      </c>
      <c r="S59" s="99">
        <v>6.0618321250709368E-3</v>
      </c>
      <c r="T59" s="99">
        <v>1.5062822717407476</v>
      </c>
      <c r="U59" s="49">
        <v>798.2497551698757</v>
      </c>
      <c r="V59" s="100">
        <v>71.052531399702758</v>
      </c>
      <c r="W59" t="s">
        <v>237</v>
      </c>
      <c r="Y59" s="14">
        <f t="shared" si="1"/>
        <v>2.8287272017017933</v>
      </c>
      <c r="Z59" s="6">
        <f t="shared" si="0"/>
        <v>0.10048421030539212</v>
      </c>
      <c r="AA59" s="249">
        <f t="shared" si="0"/>
        <v>2.4922706622923292E-2</v>
      </c>
      <c r="AB59" s="6">
        <f t="shared" si="0"/>
        <v>0.6149772614904454</v>
      </c>
      <c r="AC59" s="250">
        <f t="shared" si="0"/>
        <v>0.6149772614904454</v>
      </c>
      <c r="AD59" s="6">
        <f t="shared" si="0"/>
        <v>1.5187808291355923E-2</v>
      </c>
      <c r="AE59" s="14">
        <f t="shared" si="0"/>
        <v>3.7739623770262112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9.012234212747107E-2</v>
      </c>
      <c r="E60" s="99">
        <v>1.4120526610243456</v>
      </c>
      <c r="F60" s="99">
        <v>3.6532511890990151</v>
      </c>
      <c r="G60" s="99">
        <v>5.7713324020068617E-2</v>
      </c>
      <c r="H60" s="99">
        <v>5.7713324020068617E-2</v>
      </c>
      <c r="I60" s="99">
        <v>3.0963198336766817E-3</v>
      </c>
      <c r="J60" s="99">
        <v>5.6607151976350634E-2</v>
      </c>
      <c r="K60" s="49">
        <v>33928.132131925944</v>
      </c>
      <c r="L60" s="100">
        <v>252.79759362544479</v>
      </c>
      <c r="M60" s="49" t="s">
        <v>238</v>
      </c>
      <c r="N60" s="99">
        <v>8.3240377097741972E-2</v>
      </c>
      <c r="O60" s="99">
        <v>1.3042248260623939</v>
      </c>
      <c r="P60" s="99">
        <v>3.3742798892560217</v>
      </c>
      <c r="Q60" s="99">
        <v>5.3306191800915316E-2</v>
      </c>
      <c r="R60" s="99">
        <v>5.3306191800915316E-2</v>
      </c>
      <c r="S60" s="99">
        <v>2.8598771901191065E-3</v>
      </c>
      <c r="T60" s="99">
        <v>5.228448979139777E-2</v>
      </c>
      <c r="U60" s="49">
        <v>31337.296015775257</v>
      </c>
      <c r="V60" s="100">
        <v>233.49334389268446</v>
      </c>
      <c r="W60" t="s">
        <v>238</v>
      </c>
      <c r="Y60" s="14">
        <f t="shared" si="1"/>
        <v>5.312543689528197E-3</v>
      </c>
      <c r="Z60" s="6">
        <f t="shared" si="0"/>
        <v>8.3237866177467548E-2</v>
      </c>
      <c r="AA60" s="249">
        <f t="shared" si="0"/>
        <v>0.21535233209383495</v>
      </c>
      <c r="AB60" s="6">
        <f t="shared" si="0"/>
        <v>3.4020926230572592E-3</v>
      </c>
      <c r="AC60" s="250">
        <f t="shared" si="0"/>
        <v>3.4020926230572592E-3</v>
      </c>
      <c r="AD60" s="6">
        <f t="shared" si="0"/>
        <v>1.8252226922702193E-4</v>
      </c>
      <c r="AE60" s="14">
        <f t="shared" si="0"/>
        <v>3.3368858477819947E-3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2.8264814861589972E-2</v>
      </c>
      <c r="E61" s="99">
        <v>0.71355773844126191</v>
      </c>
      <c r="F61" s="99">
        <v>0.50437432320754783</v>
      </c>
      <c r="G61" s="99">
        <v>1.8100466321291423E-2</v>
      </c>
      <c r="H61" s="99">
        <v>1.8100466321291423E-2</v>
      </c>
      <c r="I61" s="99">
        <v>9.7109001813728494E-4</v>
      </c>
      <c r="J61" s="99">
        <v>1.7753540716800003E-2</v>
      </c>
      <c r="K61" s="49">
        <v>10980.860752679415</v>
      </c>
      <c r="L61" s="100">
        <v>81.818096069053126</v>
      </c>
      <c r="M61" s="49" t="s">
        <v>238</v>
      </c>
      <c r="N61" s="99">
        <v>2.779754588570809E-2</v>
      </c>
      <c r="O61" s="99">
        <v>0.70176132670791846</v>
      </c>
      <c r="P61" s="99">
        <v>0.49603609510945462</v>
      </c>
      <c r="Q61" s="99">
        <v>1.7801232577771393E-2</v>
      </c>
      <c r="R61" s="99">
        <v>1.7801232577771393E-2</v>
      </c>
      <c r="S61" s="99">
        <v>9.5503612779743532E-4</v>
      </c>
      <c r="T61" s="99">
        <v>1.7460042286697442E-2</v>
      </c>
      <c r="U61" s="49">
        <v>10799.327083227412</v>
      </c>
      <c r="V61" s="100">
        <v>80.465493614517158</v>
      </c>
      <c r="W61" t="s">
        <v>238</v>
      </c>
      <c r="Y61" s="14">
        <f t="shared" si="1"/>
        <v>5.1480144404332101E-3</v>
      </c>
      <c r="Z61" s="6">
        <f t="shared" si="0"/>
        <v>0.1299638989169675</v>
      </c>
      <c r="AA61" s="249">
        <f t="shared" si="0"/>
        <v>9.1864259927797773E-2</v>
      </c>
      <c r="AB61" s="6">
        <f t="shared" si="0"/>
        <v>3.2967299611507722E-3</v>
      </c>
      <c r="AC61" s="250">
        <f t="shared" si="0"/>
        <v>3.2967299611507722E-3</v>
      </c>
      <c r="AD61" s="6">
        <f t="shared" si="0"/>
        <v>1.7686956241573894E-4</v>
      </c>
      <c r="AE61" s="14">
        <f t="shared" si="0"/>
        <v>3.2335426368953826E-3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6.0235427437785175E-4</v>
      </c>
      <c r="E62" s="99">
        <v>1.5206699773914912E-2</v>
      </c>
      <c r="F62" s="99">
        <v>2.4417379943557752E-2</v>
      </c>
      <c r="G62" s="99">
        <v>3.3792666164255363E-4</v>
      </c>
      <c r="H62" s="99">
        <v>3.3792666164255363E-4</v>
      </c>
      <c r="I62" s="99">
        <v>2.0694995742765479E-5</v>
      </c>
      <c r="J62" s="99">
        <v>3.7834746799060223E-4</v>
      </c>
      <c r="K62" s="49">
        <v>231.47131505860804</v>
      </c>
      <c r="L62" s="100">
        <v>1.6896333082127684</v>
      </c>
      <c r="M62" s="49" t="s">
        <v>238</v>
      </c>
      <c r="N62" s="99">
        <v>5.6875475421491891E-4</v>
      </c>
      <c r="O62" s="99">
        <v>1.4358465043293894E-2</v>
      </c>
      <c r="P62" s="99">
        <v>2.3055370434142502E-2</v>
      </c>
      <c r="Q62" s="99">
        <v>3.1907700096208639E-4</v>
      </c>
      <c r="R62" s="99">
        <v>3.1907700096208639E-4</v>
      </c>
      <c r="S62" s="99">
        <v>1.9540622052217593E-5</v>
      </c>
      <c r="T62" s="99">
        <v>3.5724312139577677E-4</v>
      </c>
      <c r="U62" s="49">
        <v>218.55976873400519</v>
      </c>
      <c r="V62" s="100">
        <v>1.5953850048104323</v>
      </c>
      <c r="W62" t="s">
        <v>238</v>
      </c>
      <c r="Y62" s="14">
        <f t="shared" si="1"/>
        <v>5.2045695098361239E-3</v>
      </c>
      <c r="Z62" s="6">
        <f t="shared" si="0"/>
        <v>0.13139165662980401</v>
      </c>
      <c r="AA62" s="249">
        <f t="shared" si="0"/>
        <v>0.21097542853096343</v>
      </c>
      <c r="AB62" s="6">
        <f t="shared" si="0"/>
        <v>2.9198145917734217E-3</v>
      </c>
      <c r="AC62" s="250">
        <f t="shared" si="0"/>
        <v>2.9198145917734217E-3</v>
      </c>
      <c r="AD62" s="6">
        <f t="shared" si="0"/>
        <v>1.7881261647928633E-4</v>
      </c>
      <c r="AE62" s="14">
        <f t="shared" si="0"/>
        <v>3.2690656973612927E-3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2.3212685650213154E-3</v>
      </c>
      <c r="E63" s="99">
        <v>3.6370042952882708E-2</v>
      </c>
      <c r="F63" s="99">
        <v>9.4096280069904698E-2</v>
      </c>
      <c r="G63" s="99">
        <v>1.486514017147794E-3</v>
      </c>
      <c r="H63" s="99">
        <v>1.486514017147794E-3</v>
      </c>
      <c r="I63" s="99">
        <v>7.9751477019979157E-5</v>
      </c>
      <c r="J63" s="99">
        <v>1.4580224984857952E-3</v>
      </c>
      <c r="K63" s="49">
        <v>813.90903401869446</v>
      </c>
      <c r="L63" s="100">
        <v>6.5112722721495544</v>
      </c>
      <c r="M63" s="49" t="s">
        <v>238</v>
      </c>
      <c r="N63" s="99">
        <v>1.9242045889468274E-3</v>
      </c>
      <c r="O63" s="99">
        <v>3.0148774943448853E-2</v>
      </c>
      <c r="P63" s="99">
        <v>7.8000665946929712E-2</v>
      </c>
      <c r="Q63" s="99">
        <v>1.232238757906629E-3</v>
      </c>
      <c r="R63" s="99">
        <v>1.232238757906629E-3</v>
      </c>
      <c r="S63" s="99">
        <v>6.6109609361690637E-5</v>
      </c>
      <c r="T63" s="99">
        <v>1.2086208483800855E-3</v>
      </c>
      <c r="U63" s="49">
        <v>674.68604100519894</v>
      </c>
      <c r="V63" s="100">
        <v>5.3974883280415922</v>
      </c>
      <c r="W63" t="s">
        <v>238</v>
      </c>
      <c r="Y63" s="14">
        <f t="shared" si="1"/>
        <v>5.7039999999999999E-3</v>
      </c>
      <c r="Z63" s="6">
        <f t="shared" si="0"/>
        <v>8.9371272298833696E-2</v>
      </c>
      <c r="AA63" s="249">
        <f t="shared" si="0"/>
        <v>0.23122063065279472</v>
      </c>
      <c r="AB63" s="6">
        <f t="shared" si="0"/>
        <v>3.6527767969550561E-3</v>
      </c>
      <c r="AC63" s="250">
        <f t="shared" si="0"/>
        <v>3.6527767969550561E-3</v>
      </c>
      <c r="AD63" s="6">
        <f t="shared" si="0"/>
        <v>1.9597147515663872E-4</v>
      </c>
      <c r="AE63" s="14">
        <f t="shared" si="0"/>
        <v>3.5827652416800843E-3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6.4990552711092803E-4</v>
      </c>
      <c r="E64" s="99">
        <v>1.1107476281532223E-2</v>
      </c>
      <c r="F64" s="99">
        <v>7.0898784775737638E-5</v>
      </c>
      <c r="G64" s="99">
        <v>5.8529310125197222E-6</v>
      </c>
      <c r="H64" s="99">
        <v>5.8529310125197222E-6</v>
      </c>
      <c r="I64" s="99">
        <v>2.3632928258579197E-3</v>
      </c>
      <c r="J64" s="99">
        <v>4.7265856517158394E-3</v>
      </c>
      <c r="K64" s="49">
        <v>291.73882732240446</v>
      </c>
      <c r="L64" s="100">
        <v>287.42741608118689</v>
      </c>
      <c r="M64" s="49" t="s">
        <v>239</v>
      </c>
      <c r="N64" s="99">
        <v>6.4990552711092803E-4</v>
      </c>
      <c r="O64" s="99">
        <v>1.1107476281532223E-2</v>
      </c>
      <c r="P64" s="99">
        <v>7.0898784775737638E-5</v>
      </c>
      <c r="Q64" s="99">
        <v>5.8529310125197222E-6</v>
      </c>
      <c r="R64" s="99">
        <v>5.8529310125197222E-6</v>
      </c>
      <c r="S64" s="99">
        <v>2.3632928258579197E-3</v>
      </c>
      <c r="T64" s="99">
        <v>4.7265856517158394E-3</v>
      </c>
      <c r="U64" s="49">
        <v>291.73882732240446</v>
      </c>
      <c r="V64" s="100">
        <v>287.42741608118689</v>
      </c>
      <c r="W64" t="s">
        <v>239</v>
      </c>
      <c r="Y64" s="14">
        <f t="shared" si="1"/>
        <v>4.455392743405449E-3</v>
      </c>
      <c r="Z64" s="6">
        <f t="shared" si="0"/>
        <v>7.6146712341838563E-2</v>
      </c>
      <c r="AA64" s="249">
        <f t="shared" si="0"/>
        <v>4.8604284473514008E-4</v>
      </c>
      <c r="AB64" s="6">
        <f t="shared" si="0"/>
        <v>4.012445697570156E-5</v>
      </c>
      <c r="AC64" s="250">
        <f t="shared" si="0"/>
        <v>4.012445697570156E-5</v>
      </c>
      <c r="AD64" s="6">
        <f t="shared" si="0"/>
        <v>1.6201428157837993E-2</v>
      </c>
      <c r="AE64" s="14">
        <f t="shared" si="0"/>
        <v>3.2402856315675986E-2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0.13262524434035913</v>
      </c>
      <c r="F65" s="99">
        <v>7.9575146604215401E-4</v>
      </c>
      <c r="G65" s="99">
        <v>1.007951856986729E-2</v>
      </c>
      <c r="H65" s="99">
        <v>1.007951856986729E-2</v>
      </c>
      <c r="I65" s="99">
        <v>2.6525048868071825E-2</v>
      </c>
      <c r="J65" s="99">
        <v>5.305009773614365E-2</v>
      </c>
      <c r="K65" s="49">
        <v>2692.29246010929</v>
      </c>
      <c r="L65" s="100">
        <v>2652.5048868071826</v>
      </c>
      <c r="M65" s="49" t="s">
        <v>239</v>
      </c>
      <c r="N65" s="99">
        <v>7.2943884387197469E-3</v>
      </c>
      <c r="O65" s="99">
        <v>0.13262524434035913</v>
      </c>
      <c r="P65" s="99">
        <v>7.9575146604215401E-4</v>
      </c>
      <c r="Q65" s="99">
        <v>1.007951856986729E-2</v>
      </c>
      <c r="R65" s="99">
        <v>1.007951856986729E-2</v>
      </c>
      <c r="S65" s="99">
        <v>2.6525048868071825E-2</v>
      </c>
      <c r="T65" s="99">
        <v>5.305009773614365E-2</v>
      </c>
      <c r="U65" s="49">
        <v>2692.29246010929</v>
      </c>
      <c r="V65" s="100">
        <v>2652.5048868071826</v>
      </c>
      <c r="W65" t="s">
        <v>239</v>
      </c>
      <c r="Y65" s="14">
        <f t="shared" si="1"/>
        <v>5.4187192118226564E-3</v>
      </c>
      <c r="Z65" s="6">
        <f t="shared" si="0"/>
        <v>9.8522167487684748E-2</v>
      </c>
      <c r="AA65" s="249">
        <f t="shared" si="0"/>
        <v>5.9113300492610779E-4</v>
      </c>
      <c r="AB65" s="6">
        <f t="shared" si="0"/>
        <v>7.4876847290640371E-3</v>
      </c>
      <c r="AC65" s="250">
        <f t="shared" si="0"/>
        <v>7.4876847290640371E-3</v>
      </c>
      <c r="AD65" s="6">
        <f t="shared" si="0"/>
        <v>1.970443349753695E-2</v>
      </c>
      <c r="AE65" s="14">
        <f t="shared" si="0"/>
        <v>3.9408866995073899E-2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0.13592734135817633</v>
      </c>
      <c r="E66" s="99">
        <v>6.4157705121059241E-2</v>
      </c>
      <c r="F66" s="99">
        <v>0.12641242746310399</v>
      </c>
      <c r="G66" s="99">
        <v>0.1086059457451829</v>
      </c>
      <c r="H66" s="99">
        <v>0.1086059457451829</v>
      </c>
      <c r="I66" s="99">
        <v>1.7207721779238336E-2</v>
      </c>
      <c r="J66" s="99">
        <v>1.7748712597843879</v>
      </c>
      <c r="K66" s="49">
        <v>413.21911772885596</v>
      </c>
      <c r="L66" s="100">
        <v>27.185468271635262</v>
      </c>
      <c r="M66" s="49" t="s">
        <v>237</v>
      </c>
      <c r="N66" s="99">
        <v>0.11916743653025519</v>
      </c>
      <c r="O66" s="99">
        <v>5.6247030042280453E-2</v>
      </c>
      <c r="P66" s="99">
        <v>0.11082571597313731</v>
      </c>
      <c r="Q66" s="99">
        <v>9.5214781787673869E-2</v>
      </c>
      <c r="R66" s="99">
        <v>9.5214781787673869E-2</v>
      </c>
      <c r="S66" s="99">
        <v>1.5086001627547654E-2</v>
      </c>
      <c r="T66" s="99">
        <v>1.5560288024938074</v>
      </c>
      <c r="U66" s="49">
        <v>362.26900705197573</v>
      </c>
      <c r="V66" s="100">
        <v>23.833487306051037</v>
      </c>
      <c r="W66" t="s">
        <v>237</v>
      </c>
      <c r="Y66" s="14">
        <f t="shared" si="1"/>
        <v>0.65789473684210531</v>
      </c>
      <c r="Z66" s="6">
        <f t="shared" si="1"/>
        <v>0.31052631578947376</v>
      </c>
      <c r="AA66" s="249">
        <f t="shared" si="1"/>
        <v>0.61184210526315796</v>
      </c>
      <c r="AB66" s="6">
        <f t="shared" si="1"/>
        <v>0.52565789473684199</v>
      </c>
      <c r="AC66" s="250">
        <f t="shared" si="1"/>
        <v>0.52565789473684199</v>
      </c>
      <c r="AD66" s="6">
        <f t="shared" si="1"/>
        <v>8.3286184210526318E-2</v>
      </c>
      <c r="AE66" s="14">
        <f t="shared" si="1"/>
        <v>8.5904605263157929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3.2399354138048435E-4</v>
      </c>
      <c r="G67" s="99">
        <v>2.7835574146559892E-4</v>
      </c>
      <c r="H67" s="99">
        <v>2.7835574146559892E-4</v>
      </c>
      <c r="I67" s="99">
        <v>4.4103185345228458E-5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1.5539346793088337E-4</v>
      </c>
      <c r="P67" s="99">
        <v>3.0617780757568111E-4</v>
      </c>
      <c r="Q67" s="99">
        <v>2.6304953575588091E-4</v>
      </c>
      <c r="R67" s="99">
        <v>2.6304953575588091E-4</v>
      </c>
      <c r="S67" s="99">
        <v>4.1678042526928346E-5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4.2325140919862265E-5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1.0961826058757603E-5</v>
      </c>
      <c r="J68" s="99">
        <v>2.12931673904609E-3</v>
      </c>
      <c r="K68" s="49">
        <v>9.6654102131207296</v>
      </c>
      <c r="L68" s="100">
        <v>0.79814120981799463</v>
      </c>
      <c r="M68" s="49" t="s">
        <v>237</v>
      </c>
      <c r="N68" s="99">
        <v>8.7269646582558802E-4</v>
      </c>
      <c r="O68" s="99">
        <v>3.5510956409239793E-5</v>
      </c>
      <c r="P68" s="99">
        <v>7.5369704121824448E-6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2.3729271934124711E-2</v>
      </c>
      <c r="F69" s="101">
        <v>1.6802202817214625E-2</v>
      </c>
      <c r="G69" s="101">
        <v>2.3655128992506411E-3</v>
      </c>
      <c r="H69" s="101">
        <v>2.3655128992506411E-3</v>
      </c>
      <c r="I69" s="101">
        <v>1.6537406597149248E-5</v>
      </c>
      <c r="J69" s="101">
        <v>5.6489860280612321E-3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2.3729271934124711E-2</v>
      </c>
      <c r="P69" s="101">
        <v>1.6802202817214625E-2</v>
      </c>
      <c r="Q69" s="101">
        <v>2.3655128992506411E-3</v>
      </c>
      <c r="R69" s="101">
        <v>2.3655128992506411E-3</v>
      </c>
      <c r="S69" s="101">
        <v>1.6537406597149248E-5</v>
      </c>
      <c r="T69" s="101">
        <v>5.6489860280612321E-3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0.37693099395384788</v>
      </c>
      <c r="AA69" s="253">
        <f t="shared" si="1"/>
        <v>0.26689697964980835</v>
      </c>
      <c r="AB69" s="252">
        <f t="shared" si="1"/>
        <v>3.757532598557925E-2</v>
      </c>
      <c r="AC69" s="254">
        <f t="shared" si="1"/>
        <v>3.757532598557925E-2</v>
      </c>
      <c r="AD69" s="252">
        <f t="shared" si="1"/>
        <v>2.6269078644246729E-4</v>
      </c>
      <c r="AE69" s="251">
        <f t="shared" si="1"/>
        <v>8.9732121756607164E-2</v>
      </c>
    </row>
    <row r="70" spans="1:31" x14ac:dyDescent="0.25">
      <c r="A70" s="17" t="s">
        <v>236</v>
      </c>
      <c r="B70" s="17" t="s">
        <v>219</v>
      </c>
      <c r="C70" s="17"/>
      <c r="D70" s="103">
        <v>10.670381414178818</v>
      </c>
      <c r="E70" s="103">
        <v>2.9091347180327971</v>
      </c>
      <c r="F70" s="103">
        <v>4.5231015364889497</v>
      </c>
      <c r="G70" s="103">
        <v>3.0683465956471965</v>
      </c>
      <c r="H70" s="103">
        <v>3.0683465956471965</v>
      </c>
      <c r="I70" s="103">
        <v>0.15780153611513409</v>
      </c>
      <c r="J70" s="103">
        <v>32.615979277698258</v>
      </c>
      <c r="K70" s="93">
        <v>57859.187347358478</v>
      </c>
      <c r="L70" s="93"/>
      <c r="M70" s="93"/>
      <c r="N70" s="103">
        <v>9.6090710234865035</v>
      </c>
      <c r="O70" s="103">
        <v>2.7145378119032642</v>
      </c>
      <c r="P70" s="103">
        <v>4.1903632197367111</v>
      </c>
      <c r="Q70" s="103">
        <v>2.7287431994720563</v>
      </c>
      <c r="R70" s="103">
        <v>2.7287431994720563</v>
      </c>
      <c r="S70" s="103">
        <v>0.14379562577760402</v>
      </c>
      <c r="T70" s="103">
        <v>28.769485974417385</v>
      </c>
      <c r="U70" s="93">
        <v>53872.372308445898</v>
      </c>
      <c r="Y70" s="14">
        <f t="shared" si="1"/>
        <v>0.35673465309713237</v>
      </c>
      <c r="Z70" s="6">
        <f t="shared" si="1"/>
        <v>0.10077662057877074</v>
      </c>
      <c r="AA70" s="249">
        <f t="shared" si="1"/>
        <v>0.15556631498404469</v>
      </c>
      <c r="AB70" s="6">
        <f t="shared" si="1"/>
        <v>0.10130399247497979</v>
      </c>
      <c r="AC70" s="250">
        <f t="shared" si="1"/>
        <v>0.10130399247497979</v>
      </c>
      <c r="AD70" s="6">
        <f t="shared" si="1"/>
        <v>5.3383810519537977E-3</v>
      </c>
      <c r="AE70" s="14">
        <f t="shared" si="1"/>
        <v>1.0680608535186789</v>
      </c>
    </row>
    <row r="71" spans="1:31" x14ac:dyDescent="0.25">
      <c r="R71" s="99"/>
      <c r="T71" s="1" t="s">
        <v>33</v>
      </c>
      <c r="U71" s="49">
        <f>SUM(U50:U60,U62:U64,U66)</f>
        <v>40231.81944437162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7.7818701829365793</v>
      </c>
      <c r="O74" s="99">
        <f t="shared" si="2"/>
        <v>0.20467375275228125</v>
      </c>
      <c r="P74" s="99">
        <f t="shared" si="2"/>
        <v>0.14367216927503604</v>
      </c>
      <c r="Q74" s="99">
        <f>SUM(Q50,Q51,Q54, Q59,Q66)</f>
        <v>1.5147107581002883</v>
      </c>
      <c r="R74" s="99">
        <f t="shared" ref="R74:U74" si="3">SUM(R50,R51,R54, R59,R66)</f>
        <v>1.5147107581002883</v>
      </c>
      <c r="S74" s="99">
        <f t="shared" si="3"/>
        <v>7.4059560553654341E-2</v>
      </c>
      <c r="T74" s="99">
        <f t="shared" si="3"/>
        <v>12.804757631094702</v>
      </c>
      <c r="U74" s="49">
        <f t="shared" si="3"/>
        <v>2998.8794554566375</v>
      </c>
      <c r="Y74" s="14">
        <f t="shared" ref="Y74:AE81" si="4">N74/$U74*2000</f>
        <v>5.1898519420492271</v>
      </c>
      <c r="Z74" s="6">
        <f t="shared" si="4"/>
        <v>0.13650015333551693</v>
      </c>
      <c r="AA74" s="249">
        <f t="shared" si="4"/>
        <v>9.5817235343432075E-2</v>
      </c>
      <c r="AB74" s="6">
        <f t="shared" si="4"/>
        <v>1.010184490973242</v>
      </c>
      <c r="AC74" s="250">
        <f t="shared" si="4"/>
        <v>1.010184490973242</v>
      </c>
      <c r="AD74" s="6">
        <f t="shared" si="4"/>
        <v>4.9391488823532816E-2</v>
      </c>
      <c r="AE74" s="14">
        <f t="shared" si="4"/>
        <v>8.5396947901961795</v>
      </c>
    </row>
    <row r="75" spans="1:31" x14ac:dyDescent="0.25">
      <c r="M75" s="1" t="s">
        <v>588</v>
      </c>
      <c r="N75" s="99">
        <f t="shared" ref="N75:U75" si="5">SUM(N52:N53,N55:N56)</f>
        <v>1.65445617474386</v>
      </c>
      <c r="O75" s="99">
        <f t="shared" si="5"/>
        <v>0.20507796595410283</v>
      </c>
      <c r="P75" s="99">
        <f t="shared" si="5"/>
        <v>5.0412201852365238E-2</v>
      </c>
      <c r="Q75" s="99">
        <f t="shared" si="5"/>
        <v>1.0643526952524076</v>
      </c>
      <c r="R75" s="99">
        <f t="shared" si="5"/>
        <v>1.0643526952524076</v>
      </c>
      <c r="S75" s="99">
        <f t="shared" si="5"/>
        <v>3.5323650737459411E-2</v>
      </c>
      <c r="T75" s="99">
        <f t="shared" si="5"/>
        <v>15.608908331206745</v>
      </c>
      <c r="U75" s="49">
        <f t="shared" si="5"/>
        <v>4046.8728793672863</v>
      </c>
      <c r="Y75" s="14">
        <f t="shared" si="4"/>
        <v>0.81764672331517774</v>
      </c>
      <c r="Z75" s="6">
        <f t="shared" si="4"/>
        <v>0.10135132585937121</v>
      </c>
      <c r="AA75" s="249">
        <f t="shared" si="4"/>
        <v>2.4914151422639697E-2</v>
      </c>
      <c r="AB75" s="6">
        <f t="shared" si="4"/>
        <v>0.52601241846707836</v>
      </c>
      <c r="AC75" s="250">
        <f t="shared" si="4"/>
        <v>0.52601241846707836</v>
      </c>
      <c r="AD75" s="6">
        <f t="shared" si="4"/>
        <v>1.745725738881234E-2</v>
      </c>
      <c r="AE75" s="14">
        <f t="shared" si="4"/>
        <v>7.7140591249049271</v>
      </c>
    </row>
    <row r="76" spans="1:31" x14ac:dyDescent="0.25">
      <c r="M76" s="1" t="s">
        <v>589</v>
      </c>
      <c r="N76" s="99">
        <f t="shared" ref="N76:V76" si="6">SUM(N60,N62:N63)</f>
        <v>8.573333644090371E-2</v>
      </c>
      <c r="O76" s="99">
        <f t="shared" si="6"/>
        <v>1.3487320660491366</v>
      </c>
      <c r="P76" s="99">
        <f t="shared" si="6"/>
        <v>3.4753359256370939</v>
      </c>
      <c r="Q76" s="99">
        <f t="shared" si="6"/>
        <v>5.4857507559784031E-2</v>
      </c>
      <c r="R76" s="99">
        <f t="shared" si="6"/>
        <v>5.4857507559784031E-2</v>
      </c>
      <c r="S76" s="99">
        <f t="shared" si="6"/>
        <v>2.945527421533015E-3</v>
      </c>
      <c r="T76" s="99">
        <f t="shared" si="6"/>
        <v>5.3850353761173628E-2</v>
      </c>
      <c r="U76" s="49">
        <f t="shared" si="6"/>
        <v>32230.541825514461</v>
      </c>
      <c r="V76" s="100">
        <f t="shared" si="6"/>
        <v>240.48621722553648</v>
      </c>
      <c r="W76" t="s">
        <v>238</v>
      </c>
      <c r="Y76" s="14">
        <f t="shared" si="4"/>
        <v>5.320005906511641E-3</v>
      </c>
      <c r="Z76" s="6">
        <f t="shared" si="4"/>
        <v>8.3692795073115916E-2</v>
      </c>
      <c r="AA76" s="249">
        <f t="shared" si="4"/>
        <v>0.21565482482121573</v>
      </c>
      <c r="AB76" s="6">
        <f t="shared" si="4"/>
        <v>3.4040698326925135E-3</v>
      </c>
      <c r="AC76" s="250">
        <f t="shared" si="4"/>
        <v>3.4040698326925135E-3</v>
      </c>
      <c r="AD76" s="6">
        <f t="shared" si="4"/>
        <v>1.8277864750019593E-4</v>
      </c>
      <c r="AE76" s="14">
        <f t="shared" si="4"/>
        <v>3.3415729746463282E-3</v>
      </c>
    </row>
    <row r="77" spans="1:31" x14ac:dyDescent="0.25">
      <c r="M77" s="1" t="s">
        <v>590</v>
      </c>
      <c r="N77" s="99">
        <f t="shared" ref="N77:U77" si="7">SUM(N64,N66)</f>
        <v>0.11981734205736612</v>
      </c>
      <c r="O77" s="99">
        <f t="shared" si="7"/>
        <v>6.735450632381268E-2</v>
      </c>
      <c r="P77" s="99">
        <f t="shared" si="7"/>
        <v>0.11089661475791306</v>
      </c>
      <c r="Q77" s="99">
        <f t="shared" si="7"/>
        <v>9.5220634718686387E-2</v>
      </c>
      <c r="R77" s="99">
        <f t="shared" si="7"/>
        <v>9.5220634718686387E-2</v>
      </c>
      <c r="S77" s="99">
        <f t="shared" si="7"/>
        <v>1.7449294453405574E-2</v>
      </c>
      <c r="T77" s="99">
        <f t="shared" si="7"/>
        <v>1.5607553881455232</v>
      </c>
      <c r="U77" s="49">
        <f t="shared" si="7"/>
        <v>654.0078343743802</v>
      </c>
      <c r="Y77" s="14">
        <f t="shared" si="4"/>
        <v>0.36640950080355733</v>
      </c>
      <c r="Z77" s="6">
        <f t="shared" si="4"/>
        <v>0.20597461615499935</v>
      </c>
      <c r="AA77" s="249">
        <f t="shared" si="4"/>
        <v>0.33912931597828966</v>
      </c>
      <c r="AB77" s="6">
        <f t="shared" si="4"/>
        <v>0.29119111335959408</v>
      </c>
      <c r="AC77" s="250">
        <f t="shared" si="4"/>
        <v>0.29119111335959408</v>
      </c>
      <c r="AD77" s="6">
        <f t="shared" si="4"/>
        <v>5.3361117516573665E-2</v>
      </c>
      <c r="AE77" s="14">
        <f t="shared" si="4"/>
        <v>4.7728950820246121</v>
      </c>
    </row>
    <row r="78" spans="1:31" x14ac:dyDescent="0.25">
      <c r="M78" s="1" t="s">
        <v>591</v>
      </c>
      <c r="N78" s="99">
        <f t="shared" ref="N78:V78" si="8">N61</f>
        <v>2.779754588570809E-2</v>
      </c>
      <c r="O78" s="99">
        <f t="shared" si="8"/>
        <v>0.70176132670791846</v>
      </c>
      <c r="P78" s="99">
        <f t="shared" si="8"/>
        <v>0.49603609510945462</v>
      </c>
      <c r="Q78" s="99">
        <f t="shared" si="8"/>
        <v>1.7801232577771393E-2</v>
      </c>
      <c r="R78" s="99">
        <f t="shared" si="8"/>
        <v>1.7801232577771393E-2</v>
      </c>
      <c r="S78" s="99">
        <f t="shared" si="8"/>
        <v>9.5503612779743532E-4</v>
      </c>
      <c r="T78" s="99">
        <f t="shared" si="8"/>
        <v>1.7460042286697442E-2</v>
      </c>
      <c r="U78" s="49">
        <f t="shared" si="8"/>
        <v>10799.327083227412</v>
      </c>
      <c r="V78" s="100">
        <f t="shared" si="8"/>
        <v>80.465493614517158</v>
      </c>
      <c r="W78" t="s">
        <v>238</v>
      </c>
      <c r="Y78" s="14">
        <f t="shared" si="4"/>
        <v>5.1480144404332101E-3</v>
      </c>
      <c r="Z78" s="6">
        <f t="shared" si="4"/>
        <v>0.1299638989169675</v>
      </c>
      <c r="AA78" s="249">
        <f t="shared" si="4"/>
        <v>9.1864259927797773E-2</v>
      </c>
      <c r="AB78" s="6">
        <f t="shared" si="4"/>
        <v>3.2967299611507722E-3</v>
      </c>
      <c r="AC78" s="250">
        <f t="shared" si="4"/>
        <v>3.2967299611507722E-3</v>
      </c>
      <c r="AD78" s="6">
        <f t="shared" si="4"/>
        <v>1.7686956241573894E-4</v>
      </c>
      <c r="AE78" s="14">
        <f t="shared" si="4"/>
        <v>3.2335426368953826E-3</v>
      </c>
    </row>
    <row r="79" spans="1:31" x14ac:dyDescent="0.25">
      <c r="M79" s="1" t="s">
        <v>592</v>
      </c>
      <c r="N79" s="99">
        <f t="shared" ref="N79:V79" si="9">SUM(N50:N59,N68)</f>
        <v>9.3676446465003824</v>
      </c>
      <c r="O79" s="99">
        <f t="shared" si="9"/>
        <v>0.44018000307998101</v>
      </c>
      <c r="P79" s="99">
        <f t="shared" si="9"/>
        <v>9.0190452141416841E-2</v>
      </c>
      <c r="Q79" s="99">
        <f t="shared" si="9"/>
        <v>2.5481557436109403</v>
      </c>
      <c r="R79" s="99">
        <f t="shared" si="9"/>
        <v>2.5481557436109403</v>
      </c>
      <c r="S79" s="99">
        <f t="shared" si="9"/>
        <v>9.586250345767211E-2</v>
      </c>
      <c r="T79" s="99">
        <f t="shared" si="9"/>
        <v>27.07442227127439</v>
      </c>
      <c r="U79" s="49">
        <f t="shared" si="9"/>
        <v>7355.1648088299817</v>
      </c>
      <c r="V79" s="100">
        <f t="shared" si="9"/>
        <v>654.42515746089578</v>
      </c>
      <c r="W79" t="s">
        <v>743</v>
      </c>
      <c r="Y79" s="14">
        <f t="shared" si="4"/>
        <v>2.5472290261271615</v>
      </c>
      <c r="Z79" s="6">
        <f t="shared" si="4"/>
        <v>0.11969276407009631</v>
      </c>
      <c r="AA79" s="249">
        <f t="shared" si="4"/>
        <v>2.4524386464635544E-2</v>
      </c>
      <c r="AB79" s="6">
        <f t="shared" si="4"/>
        <v>0.6928888229810547</v>
      </c>
      <c r="AC79" s="250">
        <f t="shared" si="4"/>
        <v>0.6928888229810547</v>
      </c>
      <c r="AD79" s="6">
        <f t="shared" si="4"/>
        <v>2.6066718000006685E-2</v>
      </c>
      <c r="AE79" s="14">
        <f t="shared" si="4"/>
        <v>7.3620164809281103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0.15650990974241474</v>
      </c>
      <c r="P80" s="99">
        <f t="shared" si="10"/>
        <v>1.7904132090832459E-2</v>
      </c>
      <c r="Q80" s="99">
        <f t="shared" si="10"/>
        <v>1.2708081004873811E-2</v>
      </c>
      <c r="R80" s="99">
        <f t="shared" si="10"/>
        <v>1.2708081004873811E-2</v>
      </c>
      <c r="S80" s="99">
        <f t="shared" si="10"/>
        <v>2.6583264317195904E-2</v>
      </c>
      <c r="T80" s="99">
        <f t="shared" si="10"/>
        <v>6.2997918949602147E-2</v>
      </c>
      <c r="U80" s="49">
        <f t="shared" si="10"/>
        <v>2833.3307564996639</v>
      </c>
      <c r="Y80" s="14">
        <f t="shared" si="4"/>
        <v>5.7022305522323596E-3</v>
      </c>
      <c r="Z80" s="6">
        <f t="shared" si="4"/>
        <v>0.11047768382380407</v>
      </c>
      <c r="AA80" s="249">
        <f t="shared" si="4"/>
        <v>1.2638222381739485E-2</v>
      </c>
      <c r="AB80" s="6">
        <f t="shared" si="4"/>
        <v>8.9704182794200487E-3</v>
      </c>
      <c r="AC80" s="250">
        <f t="shared" si="4"/>
        <v>8.9704182794200487E-3</v>
      </c>
      <c r="AD80" s="6">
        <f t="shared" si="4"/>
        <v>1.8764674231000998E-2</v>
      </c>
      <c r="AE80" s="14">
        <f t="shared" si="4"/>
        <v>4.4469159701940798E-2</v>
      </c>
    </row>
    <row r="81" spans="13:31" x14ac:dyDescent="0.25">
      <c r="M81" s="1" t="s">
        <v>594</v>
      </c>
      <c r="N81" s="99">
        <f>SUM(N76:N80)</f>
        <v>9.6090710234865053</v>
      </c>
      <c r="O81" s="99">
        <f t="shared" ref="O81:U81" si="11">SUM(O76:O80)</f>
        <v>2.7145378119032637</v>
      </c>
      <c r="P81" s="99">
        <f t="shared" si="11"/>
        <v>4.1903632197367102</v>
      </c>
      <c r="Q81" s="99">
        <f t="shared" si="11"/>
        <v>2.7287431994720559</v>
      </c>
      <c r="R81" s="99">
        <f t="shared" si="11"/>
        <v>2.7287431994720559</v>
      </c>
      <c r="S81" s="99">
        <f t="shared" si="11"/>
        <v>0.14379562577760402</v>
      </c>
      <c r="T81" s="99">
        <f t="shared" si="11"/>
        <v>28.769485974417385</v>
      </c>
      <c r="U81" s="49">
        <f t="shared" si="11"/>
        <v>53872.372308445905</v>
      </c>
      <c r="Y81" s="14">
        <f t="shared" si="4"/>
        <v>0.35673465309713237</v>
      </c>
      <c r="Z81" s="6">
        <f t="shared" si="4"/>
        <v>0.10077662057877071</v>
      </c>
      <c r="AA81" s="249">
        <f t="shared" si="4"/>
        <v>0.15556631498404463</v>
      </c>
      <c r="AB81" s="6">
        <f t="shared" si="4"/>
        <v>0.10130399247497975</v>
      </c>
      <c r="AC81" s="250">
        <f t="shared" si="4"/>
        <v>0.10130399247497975</v>
      </c>
      <c r="AD81" s="6">
        <f t="shared" si="4"/>
        <v>5.3383810519537968E-3</v>
      </c>
      <c r="AE81" s="14">
        <f t="shared" si="4"/>
        <v>1.0680608535186786</v>
      </c>
    </row>
    <row r="83" spans="13:31" x14ac:dyDescent="0.25">
      <c r="V83" s="42">
        <f>V79/Lookup!B37</f>
        <v>388.90090733008321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73537.837151493237</v>
      </c>
      <c r="W84" t="s">
        <v>746</v>
      </c>
    </row>
  </sheetData>
  <sheetProtection algorithmName="SHA-512" hashValue="cuOXhqWcpqwwsF7gWnZBSvwQo9ky9Dw5liJukjZ95nvmi9deTrVzuCXv6MC1ir6g6hdiBibPHQpkmbhEJ4qlqA==" saltValue="Ymx0Iuu/zp23toqm+bRsxA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53AEF-AA67-4D52-A99F-95AE54B9317E}">
  <sheetPr codeName="Sheet25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1543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5.9855537852125522</v>
      </c>
      <c r="E6" s="99">
        <v>6.7958252583199291E-2</v>
      </c>
      <c r="F6" s="99">
        <v>1.0455115782030656E-2</v>
      </c>
      <c r="G6" s="99">
        <v>0.90436751514565195</v>
      </c>
      <c r="H6" s="99">
        <v>0.90436751514565195</v>
      </c>
      <c r="I6" s="99">
        <v>4.7048021019137971E-2</v>
      </c>
      <c r="J6" s="99">
        <v>6.6024056163523639</v>
      </c>
      <c r="K6" s="49">
        <v>841.11480836466797</v>
      </c>
      <c r="L6" s="100">
        <v>74.680015306395177</v>
      </c>
      <c r="M6" s="49" t="s">
        <v>237</v>
      </c>
      <c r="N6" s="99">
        <v>5.515250921123247</v>
      </c>
      <c r="O6" s="99">
        <v>6.2618569410132968E-2</v>
      </c>
      <c r="P6" s="99">
        <v>9.6336260630973738E-3</v>
      </c>
      <c r="Q6" s="99">
        <v>0.83330865445792324</v>
      </c>
      <c r="R6" s="99">
        <v>0.83330865445792324</v>
      </c>
      <c r="S6" s="99">
        <v>4.3351317283938207E-2</v>
      </c>
      <c r="T6" s="99">
        <v>6.0836348588459943</v>
      </c>
      <c r="U6" s="49">
        <v>775.02590204172816</v>
      </c>
      <c r="V6" s="100">
        <v>68.812183130932837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0.12346050550650504</v>
      </c>
      <c r="E7" s="99">
        <v>6.5224418003436589E-3</v>
      </c>
      <c r="F7" s="99">
        <v>9.3177740004909417E-4</v>
      </c>
      <c r="G7" s="99">
        <v>7.1280971103755725E-2</v>
      </c>
      <c r="H7" s="99">
        <v>7.1280971103755725E-2</v>
      </c>
      <c r="I7" s="99">
        <v>3.9600539502086512E-3</v>
      </c>
      <c r="J7" s="99">
        <v>0.53763555982832745</v>
      </c>
      <c r="K7" s="49">
        <v>74.961558113764013</v>
      </c>
      <c r="L7" s="100">
        <v>6.6556078333839563</v>
      </c>
      <c r="M7" s="49" t="s">
        <v>237</v>
      </c>
      <c r="N7" s="99">
        <v>0.10729100997574541</v>
      </c>
      <c r="O7" s="99">
        <v>5.668204300605416E-3</v>
      </c>
      <c r="P7" s="99">
        <v>8.0974347151505956E-4</v>
      </c>
      <c r="Q7" s="99">
        <v>6.1945375570902059E-2</v>
      </c>
      <c r="R7" s="99">
        <v>6.1945375570902059E-2</v>
      </c>
      <c r="S7" s="99">
        <v>3.441409753939004E-3</v>
      </c>
      <c r="T7" s="99">
        <v>0.46722198306418944</v>
      </c>
      <c r="U7" s="49">
        <v>65.143919882601722</v>
      </c>
      <c r="V7" s="100">
        <v>5.7839297151478357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5.8853379983676055E-2</v>
      </c>
      <c r="E8" s="99">
        <v>9.8088966639460103E-3</v>
      </c>
      <c r="F8" s="99">
        <v>1.9617793327892014E-3</v>
      </c>
      <c r="G8" s="99">
        <v>5.8853379983676055E-2</v>
      </c>
      <c r="H8" s="99">
        <v>5.8853379983676055E-2</v>
      </c>
      <c r="I8" s="99">
        <v>4.4140034987757053E-3</v>
      </c>
      <c r="J8" s="99">
        <v>0.69054632514179903</v>
      </c>
      <c r="K8" s="49">
        <v>157.82528686949331</v>
      </c>
      <c r="L8" s="100">
        <v>14.012825267059069</v>
      </c>
      <c r="M8" s="49" t="s">
        <v>237</v>
      </c>
      <c r="N8" s="99">
        <v>5.1145413288480504E-2</v>
      </c>
      <c r="O8" s="99">
        <v>8.5242355480800811E-3</v>
      </c>
      <c r="P8" s="99">
        <v>1.7048471096160164E-3</v>
      </c>
      <c r="Q8" s="99">
        <v>5.1145413288480504E-2</v>
      </c>
      <c r="R8" s="99">
        <v>5.1145413288480504E-2</v>
      </c>
      <c r="S8" s="99">
        <v>3.8359059966360382E-3</v>
      </c>
      <c r="T8" s="99">
        <v>0.60010618258483805</v>
      </c>
      <c r="U8" s="49">
        <v>137.15507123893548</v>
      </c>
      <c r="V8" s="100">
        <v>12.177579942252839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4.4292554846635357E-2</v>
      </c>
      <c r="E9" s="99">
        <v>5.9056739795513812E-3</v>
      </c>
      <c r="F9" s="99">
        <v>1.181134795910276E-3</v>
      </c>
      <c r="G9" s="99">
        <v>3.8386880867083965E-2</v>
      </c>
      <c r="H9" s="99">
        <v>3.8386880867083965E-2</v>
      </c>
      <c r="I9" s="99">
        <v>2.6575532907981217E-3</v>
      </c>
      <c r="J9" s="99">
        <v>0.31595355790599888</v>
      </c>
      <c r="K9" s="49">
        <v>95.022378348253426</v>
      </c>
      <c r="L9" s="100">
        <v>8.4367468018956</v>
      </c>
      <c r="M9" s="49" t="s">
        <v>237</v>
      </c>
      <c r="N9" s="99">
        <v>3.8491604456059959E-2</v>
      </c>
      <c r="O9" s="99">
        <v>5.1322139274746605E-3</v>
      </c>
      <c r="P9" s="99">
        <v>1.0264427854949324E-3</v>
      </c>
      <c r="Q9" s="99">
        <v>3.3359390528585289E-2</v>
      </c>
      <c r="R9" s="99">
        <v>3.3359390528585289E-2</v>
      </c>
      <c r="S9" s="99">
        <v>2.3094962673635981E-3</v>
      </c>
      <c r="T9" s="99">
        <v>0.2745734451198944</v>
      </c>
      <c r="U9" s="49">
        <v>82.577395106683284</v>
      </c>
      <c r="V9" s="100">
        <v>7.3317947433588397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2.5055347432104167</v>
      </c>
      <c r="E10" s="99">
        <v>6.8648939995881619E-2</v>
      </c>
      <c r="F10" s="99">
        <v>1.8909696175172956E-2</v>
      </c>
      <c r="G10" s="99">
        <v>0.57400521656856163</v>
      </c>
      <c r="H10" s="99">
        <v>0.57400521656856163</v>
      </c>
      <c r="I10" s="99">
        <v>1.876922290812218E-2</v>
      </c>
      <c r="J10" s="99">
        <v>5.7282500496815816</v>
      </c>
      <c r="K10" s="49">
        <v>1521.2864023898426</v>
      </c>
      <c r="L10" s="100">
        <v>135.07037408694453</v>
      </c>
      <c r="M10" s="49" t="s">
        <v>237</v>
      </c>
      <c r="N10" s="99">
        <v>2.1773874327300686</v>
      </c>
      <c r="O10" s="99">
        <v>5.965805887239304E-2</v>
      </c>
      <c r="P10" s="99">
        <v>1.643311269984957E-2</v>
      </c>
      <c r="Q10" s="99">
        <v>0.49882834323679753</v>
      </c>
      <c r="R10" s="99">
        <v>0.49882834323679753</v>
      </c>
      <c r="S10" s="99">
        <v>1.6311037072225674E-2</v>
      </c>
      <c r="T10" s="99">
        <v>4.9780270273684293</v>
      </c>
      <c r="U10" s="49">
        <v>1322.0450856340819</v>
      </c>
      <c r="V10" s="100">
        <v>117.3803459992027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1.194383480769851</v>
      </c>
      <c r="E11" s="99">
        <v>0.1601309570608257</v>
      </c>
      <c r="F11" s="99">
        <v>3.9812782692328387E-2</v>
      </c>
      <c r="G11" s="99">
        <v>0.78880322455060892</v>
      </c>
      <c r="H11" s="99">
        <v>0.78880322455060892</v>
      </c>
      <c r="I11" s="99">
        <v>2.4857283698856474E-2</v>
      </c>
      <c r="J11" s="99">
        <v>12.306225535474779</v>
      </c>
      <c r="K11" s="49">
        <v>3202.9411995873529</v>
      </c>
      <c r="L11" s="100">
        <v>284.37936822884132</v>
      </c>
      <c r="M11" s="49" t="s">
        <v>237</v>
      </c>
      <c r="N11" s="99">
        <v>1.0379563037135926</v>
      </c>
      <c r="O11" s="99">
        <v>0.13915877017475417</v>
      </c>
      <c r="P11" s="99">
        <v>3.4598543457119747E-2</v>
      </c>
      <c r="Q11" s="99">
        <v>0.68549447685276443</v>
      </c>
      <c r="R11" s="99">
        <v>0.68549447685276443</v>
      </c>
      <c r="S11" s="99">
        <v>2.1601750797654265E-2</v>
      </c>
      <c r="T11" s="99">
        <v>10.694491823709802</v>
      </c>
      <c r="U11" s="49">
        <v>2783.45528221206</v>
      </c>
      <c r="V11" s="100">
        <v>247.13449461722141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0.89888288225055524</v>
      </c>
      <c r="E12" s="99">
        <v>9.6410560620009703E-2</v>
      </c>
      <c r="F12" s="99">
        <v>2.3970210193348135E-2</v>
      </c>
      <c r="G12" s="99">
        <v>0.52696302682303209</v>
      </c>
      <c r="H12" s="99">
        <v>0.52696302682303209</v>
      </c>
      <c r="I12" s="99">
        <v>1.4965904787461366E-2</v>
      </c>
      <c r="J12" s="99">
        <v>7.4092488096522757</v>
      </c>
      <c r="K12" s="49">
        <v>1928.4051151199096</v>
      </c>
      <c r="L12" s="100">
        <v>171.21720136408331</v>
      </c>
      <c r="M12" s="49" t="s">
        <v>237</v>
      </c>
      <c r="N12" s="99">
        <v>0.78115711490821371</v>
      </c>
      <c r="O12" s="99">
        <v>8.3783768572887066E-2</v>
      </c>
      <c r="P12" s="99">
        <v>2.0830856397552361E-2</v>
      </c>
      <c r="Q12" s="99">
        <v>0.4579472207388619</v>
      </c>
      <c r="R12" s="99">
        <v>0.4579472207388619</v>
      </c>
      <c r="S12" s="99">
        <v>1.3005835617309777E-2</v>
      </c>
      <c r="T12" s="99">
        <v>6.438867107241002</v>
      </c>
      <c r="U12" s="49">
        <v>1675.8438789375225</v>
      </c>
      <c r="V12" s="100">
        <v>148.7930604545044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1.5061623143485428E-2</v>
      </c>
      <c r="E13" s="99">
        <v>2.6302285876828781E-2</v>
      </c>
      <c r="F13" s="99">
        <v>2.1020807893569449E-3</v>
      </c>
      <c r="G13" s="99">
        <v>1.9444247301551743E-2</v>
      </c>
      <c r="H13" s="99">
        <v>1.9444247301551743E-2</v>
      </c>
      <c r="I13" s="99">
        <v>4.7217989730930399E-4</v>
      </c>
      <c r="J13" s="99">
        <v>6.5243332499666212E-2</v>
      </c>
      <c r="K13" s="49">
        <v>201.95144221114535</v>
      </c>
      <c r="L13" s="100">
        <v>17.930651850963709</v>
      </c>
      <c r="M13" s="49" t="s">
        <v>237</v>
      </c>
      <c r="N13" s="99">
        <v>1.3089017838611302E-2</v>
      </c>
      <c r="O13" s="99">
        <v>2.2857502525348516E-2</v>
      </c>
      <c r="P13" s="99">
        <v>1.8267734285992827E-3</v>
      </c>
      <c r="Q13" s="99">
        <v>1.6897654214543364E-2</v>
      </c>
      <c r="R13" s="99">
        <v>1.6897654214543364E-2</v>
      </c>
      <c r="S13" s="99">
        <v>4.1033898139911399E-4</v>
      </c>
      <c r="T13" s="99">
        <v>5.6698480290150233E-2</v>
      </c>
      <c r="U13" s="49">
        <v>175.50206936217779</v>
      </c>
      <c r="V13" s="100">
        <v>15.582292804657294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5.0803322957085263E-2</v>
      </c>
      <c r="E14" s="99">
        <v>8.8718427700674327E-2</v>
      </c>
      <c r="F14" s="99">
        <v>7.0903838322217251E-3</v>
      </c>
      <c r="G14" s="99">
        <v>6.558605044805095E-2</v>
      </c>
      <c r="H14" s="99">
        <v>6.558605044805095E-2</v>
      </c>
      <c r="I14" s="99">
        <v>1.5926774683128052E-3</v>
      </c>
      <c r="J14" s="99">
        <v>0.2200677881925818</v>
      </c>
      <c r="K14" s="49">
        <v>681.18849094558641</v>
      </c>
      <c r="L14" s="100">
        <v>60.480645952795172</v>
      </c>
      <c r="M14" s="49" t="s">
        <v>237</v>
      </c>
      <c r="N14" s="99">
        <v>4.414966395794042E-2</v>
      </c>
      <c r="O14" s="99">
        <v>7.7099066397099486E-2</v>
      </c>
      <c r="P14" s="99">
        <v>6.1617635482197385E-3</v>
      </c>
      <c r="Q14" s="99">
        <v>5.699631282103259E-2</v>
      </c>
      <c r="R14" s="99">
        <v>5.699631282103259E-2</v>
      </c>
      <c r="S14" s="99">
        <v>1.384086137018859E-3</v>
      </c>
      <c r="T14" s="99">
        <v>0.19124573612787013</v>
      </c>
      <c r="U14" s="49">
        <v>591.97393431663102</v>
      </c>
      <c r="V14" s="100">
        <v>52.559557905900292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1.28786390449051</v>
      </c>
      <c r="E15" s="99">
        <v>4.5748486225781489E-2</v>
      </c>
      <c r="F15" s="99">
        <v>1.1346818541766607E-2</v>
      </c>
      <c r="G15" s="99">
        <v>0.27998706155881209</v>
      </c>
      <c r="H15" s="99">
        <v>0.27998706155881209</v>
      </c>
      <c r="I15" s="99">
        <v>6.9147106426493046E-3</v>
      </c>
      <c r="J15" s="99">
        <v>1.7182109039546904</v>
      </c>
      <c r="K15" s="49">
        <v>912.85235881462279</v>
      </c>
      <c r="L15" s="100">
        <v>81.049373344523133</v>
      </c>
      <c r="M15" s="49" t="s">
        <v>237</v>
      </c>
      <c r="N15" s="99">
        <v>1.1774058472173135</v>
      </c>
      <c r="O15" s="99">
        <v>4.1824710666834852E-2</v>
      </c>
      <c r="P15" s="99">
        <v>1.0373619799271476E-2</v>
      </c>
      <c r="Q15" s="99">
        <v>0.25597301257927163</v>
      </c>
      <c r="R15" s="99">
        <v>0.25597301257927163</v>
      </c>
      <c r="S15" s="99">
        <v>6.3216468091726622E-3</v>
      </c>
      <c r="T15" s="99">
        <v>1.5708426628115855</v>
      </c>
      <c r="U15" s="49">
        <v>834.55845075466505</v>
      </c>
      <c r="V15" s="100">
        <v>74.097896335477103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0.10208958917447067</v>
      </c>
      <c r="E16" s="99">
        <v>1.5995575864284157</v>
      </c>
      <c r="F16" s="99">
        <v>4.1383624109407133</v>
      </c>
      <c r="G16" s="99">
        <v>6.5377013069281301E-2</v>
      </c>
      <c r="H16" s="99">
        <v>6.5377013069281301E-2</v>
      </c>
      <c r="I16" s="99">
        <v>3.5074767511669427E-3</v>
      </c>
      <c r="J16" s="99">
        <v>6.4123953652120064E-2</v>
      </c>
      <c r="K16" s="49">
        <v>38433.411616248639</v>
      </c>
      <c r="L16" s="100">
        <v>286.36630904479864</v>
      </c>
      <c r="M16" s="49" t="s">
        <v>238</v>
      </c>
      <c r="N16" s="99">
        <v>9.4223496429897469E-2</v>
      </c>
      <c r="O16" s="99">
        <v>1.4763102658458183</v>
      </c>
      <c r="P16" s="99">
        <v>3.8194979429930287</v>
      </c>
      <c r="Q16" s="99">
        <v>6.033965664219966E-2</v>
      </c>
      <c r="R16" s="99">
        <v>6.033965664219966E-2</v>
      </c>
      <c r="S16" s="99">
        <v>3.237222578854013E-3</v>
      </c>
      <c r="T16" s="99">
        <v>5.9183146556557521E-2</v>
      </c>
      <c r="U16" s="49">
        <v>35472.083407285958</v>
      </c>
      <c r="V16" s="100">
        <v>264.30153276268578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3.2997829132616882E-2</v>
      </c>
      <c r="E17" s="99">
        <v>0.83304477473647121</v>
      </c>
      <c r="F17" s="99">
        <v>0.58883307099594828</v>
      </c>
      <c r="G17" s="99">
        <v>2.1131434888764112E-2</v>
      </c>
      <c r="H17" s="99">
        <v>2.1131434888764112E-2</v>
      </c>
      <c r="I17" s="99">
        <v>1.1337014817821946E-3</v>
      </c>
      <c r="J17" s="99">
        <v>2.0726415720062803E-2</v>
      </c>
      <c r="K17" s="49">
        <v>12819.633477889029</v>
      </c>
      <c r="L17" s="100">
        <v>95.51874184435313</v>
      </c>
      <c r="M17" s="49" t="s">
        <v>238</v>
      </c>
      <c r="N17" s="99">
        <v>3.2456597557862732E-2</v>
      </c>
      <c r="O17" s="99">
        <v>0.81938114451827371</v>
      </c>
      <c r="P17" s="99">
        <v>0.57917500988527237</v>
      </c>
      <c r="Q17" s="99">
        <v>2.0784836337214081E-2</v>
      </c>
      <c r="R17" s="99">
        <v>2.0784836337214081E-2</v>
      </c>
      <c r="S17" s="99">
        <v>1.1151064694915353E-3</v>
      </c>
      <c r="T17" s="99">
        <v>2.0386460307417479E-2</v>
      </c>
      <c r="U17" s="49">
        <v>12609.365390642328</v>
      </c>
      <c r="V17" s="100">
        <v>93.952040021054927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6.8426515745002544E-4</v>
      </c>
      <c r="E18" s="99">
        <v>1.7274576204909482E-2</v>
      </c>
      <c r="F18" s="99">
        <v>2.7737766696937016E-2</v>
      </c>
      <c r="G18" s="99">
        <v>3.8387947122021064E-4</v>
      </c>
      <c r="H18" s="99">
        <v>3.8387947122021064E-4</v>
      </c>
      <c r="I18" s="99">
        <v>2.3509195705429714E-5</v>
      </c>
      <c r="J18" s="99">
        <v>4.2979688327571887E-4</v>
      </c>
      <c r="K18" s="49">
        <v>262.94784079906384</v>
      </c>
      <c r="L18" s="100">
        <v>1.9193973561010531</v>
      </c>
      <c r="M18" s="49" t="s">
        <v>238</v>
      </c>
      <c r="N18" s="99">
        <v>6.4553167044164271E-4</v>
      </c>
      <c r="O18" s="99">
        <v>1.6296732213113001E-2</v>
      </c>
      <c r="P18" s="99">
        <v>2.6167643749275726E-2</v>
      </c>
      <c r="Q18" s="99">
        <v>3.6214960473584449E-4</v>
      </c>
      <c r="R18" s="99">
        <v>3.6214960473584449E-4</v>
      </c>
      <c r="S18" s="99">
        <v>2.217843508358659E-5</v>
      </c>
      <c r="T18" s="99">
        <v>4.0546781754242651E-4</v>
      </c>
      <c r="U18" s="49">
        <v>248.06342550393515</v>
      </c>
      <c r="V18" s="100">
        <v>1.8107480236792224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2.9239984108301005E-3</v>
      </c>
      <c r="E19" s="99">
        <v>4.5813719876517146E-2</v>
      </c>
      <c r="F19" s="99">
        <v>0.11852888439339154</v>
      </c>
      <c r="G19" s="99">
        <v>1.8724953628004287E-3</v>
      </c>
      <c r="H19" s="99">
        <v>1.8724953628004287E-3</v>
      </c>
      <c r="I19" s="99">
        <v>1.0045937621424304E-4</v>
      </c>
      <c r="J19" s="99">
        <v>1.8366058683467541E-3</v>
      </c>
      <c r="K19" s="49">
        <v>1025.2448845827842</v>
      </c>
      <c r="L19" s="100">
        <v>8.2019590766622752</v>
      </c>
      <c r="M19" s="49" t="s">
        <v>238</v>
      </c>
      <c r="N19" s="99">
        <v>2.415828606783894E-3</v>
      </c>
      <c r="O19" s="99">
        <v>3.7851626270020228E-2</v>
      </c>
      <c r="P19" s="99">
        <v>9.7929420408421175E-2</v>
      </c>
      <c r="Q19" s="99">
        <v>1.5470691935975569E-3</v>
      </c>
      <c r="R19" s="99">
        <v>1.5470691935975569E-3</v>
      </c>
      <c r="S19" s="99">
        <v>8.3000262236508968E-5</v>
      </c>
      <c r="T19" s="99">
        <v>1.517417034053604E-3</v>
      </c>
      <c r="U19" s="49">
        <v>847.06472888635858</v>
      </c>
      <c r="V19" s="100">
        <v>6.7765178310908665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6.696968393896137E-4</v>
      </c>
      <c r="E20" s="99">
        <v>1.1445727800477036E-2</v>
      </c>
      <c r="F20" s="99">
        <v>7.3057837024321479E-5</v>
      </c>
      <c r="G20" s="99">
        <v>6.0311679724811488E-6</v>
      </c>
      <c r="H20" s="99">
        <v>6.0311679724811488E-6</v>
      </c>
      <c r="I20" s="99">
        <v>2.4352612341440507E-3</v>
      </c>
      <c r="J20" s="99">
        <v>4.8705224682881014E-3</v>
      </c>
      <c r="K20" s="49">
        <v>300.62303278688512</v>
      </c>
      <c r="L20" s="100">
        <v>296.18032786885283</v>
      </c>
      <c r="M20" s="49" t="s">
        <v>239</v>
      </c>
      <c r="N20" s="99">
        <v>6.696968393896137E-4</v>
      </c>
      <c r="O20" s="99">
        <v>1.1445727800477036E-2</v>
      </c>
      <c r="P20" s="99">
        <v>7.3057837024321479E-5</v>
      </c>
      <c r="Q20" s="99">
        <v>6.0311679724811488E-6</v>
      </c>
      <c r="R20" s="99">
        <v>6.0311679724811488E-6</v>
      </c>
      <c r="S20" s="99">
        <v>2.4352612341440507E-3</v>
      </c>
      <c r="T20" s="99">
        <v>4.8705224682881014E-3</v>
      </c>
      <c r="U20" s="49">
        <v>300.62303278688512</v>
      </c>
      <c r="V20" s="100">
        <v>296.18032786885283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5.2612909836065617E-3</v>
      </c>
      <c r="E21" s="99">
        <v>9.5659836065573808E-2</v>
      </c>
      <c r="F21" s="99">
        <v>5.7395901639344256E-4</v>
      </c>
      <c r="G21" s="99">
        <v>7.2701475409836002E-3</v>
      </c>
      <c r="H21" s="99">
        <v>7.2701475409836002E-3</v>
      </c>
      <c r="I21" s="99">
        <v>1.9131967213114765E-2</v>
      </c>
      <c r="J21" s="99">
        <v>3.826393442622953E-2</v>
      </c>
      <c r="K21" s="49">
        <v>1941.894672131147</v>
      </c>
      <c r="L21" s="100">
        <v>1913.196721311476</v>
      </c>
      <c r="M21" s="49" t="s">
        <v>239</v>
      </c>
      <c r="N21" s="99">
        <v>5.2612909836065617E-3</v>
      </c>
      <c r="O21" s="99">
        <v>9.5659836065573808E-2</v>
      </c>
      <c r="P21" s="99">
        <v>5.7395901639344256E-4</v>
      </c>
      <c r="Q21" s="99">
        <v>7.2701475409836002E-3</v>
      </c>
      <c r="R21" s="99">
        <v>7.2701475409836002E-3</v>
      </c>
      <c r="S21" s="99">
        <v>1.9131967213114765E-2</v>
      </c>
      <c r="T21" s="99">
        <v>3.826393442622953E-2</v>
      </c>
      <c r="U21" s="49">
        <v>1941.894672131147</v>
      </c>
      <c r="V21" s="100">
        <v>1913.196721311476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0.15516049648649952</v>
      </c>
      <c r="E22" s="99">
        <v>7.3235754341627754E-2</v>
      </c>
      <c r="F22" s="99">
        <v>0.14429926173244451</v>
      </c>
      <c r="G22" s="99">
        <v>0.12397323669271311</v>
      </c>
      <c r="H22" s="99">
        <v>0.12397323669271311</v>
      </c>
      <c r="I22" s="99">
        <v>1.9642543052708409E-2</v>
      </c>
      <c r="J22" s="99">
        <v>2.026008182872467</v>
      </c>
      <c r="K22" s="49">
        <v>471.68790931895848</v>
      </c>
      <c r="L22" s="100">
        <v>31.032099297299894</v>
      </c>
      <c r="M22" s="49" t="s">
        <v>237</v>
      </c>
      <c r="N22" s="99">
        <v>0.13584219852825913</v>
      </c>
      <c r="O22" s="99">
        <v>6.4117517705338301E-2</v>
      </c>
      <c r="P22" s="99">
        <v>0.12633324463128096</v>
      </c>
      <c r="Q22" s="99">
        <v>0.10853791662407904</v>
      </c>
      <c r="R22" s="99">
        <v>0.10853791662407904</v>
      </c>
      <c r="S22" s="99">
        <v>1.7196943122684966E-2</v>
      </c>
      <c r="T22" s="99">
        <v>1.773759507282743</v>
      </c>
      <c r="U22" s="49">
        <v>412.96028352590764</v>
      </c>
      <c r="V22" s="100">
        <v>27.168439705651821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3.7337768457277432E-4</v>
      </c>
      <c r="G23" s="99">
        <v>3.2078362362757709E-4</v>
      </c>
      <c r="H23" s="99">
        <v>3.2078362362757709E-4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3.7940475162931149E-4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4.8030744532512695E-5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1.2267802496122727E-3</v>
      </c>
      <c r="E24" s="99">
        <v>4.8776475754854209E-5</v>
      </c>
      <c r="F24" s="99">
        <v>1.0633485245822149E-5</v>
      </c>
      <c r="G24" s="99">
        <v>3.4500168382878608E-4</v>
      </c>
      <c r="H24" s="99">
        <v>3.4500168382878608E-4</v>
      </c>
      <c r="I24" s="99">
        <v>1.2632663031087653E-5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2.969413117542813E-4</v>
      </c>
      <c r="R24" s="99">
        <v>2.969413117542813E-4</v>
      </c>
      <c r="S24" s="99">
        <v>1.1445738305269714E-5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5.2382327984415986E-4</v>
      </c>
      <c r="E25" s="101">
        <v>2.734616428960358E-2</v>
      </c>
      <c r="F25" s="101">
        <v>1.9363248899601764E-2</v>
      </c>
      <c r="G25" s="101">
        <v>2.7260720241086742E-3</v>
      </c>
      <c r="H25" s="101">
        <v>2.7260720241086742E-3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5.2382327984415986E-4</v>
      </c>
      <c r="O25" s="101">
        <v>2.734616428960358E-2</v>
      </c>
      <c r="P25" s="101">
        <v>1.9363248899601764E-2</v>
      </c>
      <c r="Q25" s="101">
        <v>2.7260720241086742E-3</v>
      </c>
      <c r="R25" s="101">
        <v>2.7260720241086742E-3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12.466629433466851</v>
      </c>
      <c r="E26" s="103">
        <v>3.2797713379383473</v>
      </c>
      <c r="F26" s="103">
        <v>5.1559174512172481</v>
      </c>
      <c r="G26" s="103">
        <v>3.551083669876085</v>
      </c>
      <c r="H26" s="103">
        <v>3.551083669876085</v>
      </c>
      <c r="I26" s="103">
        <v>0.17170904575654325</v>
      </c>
      <c r="J26" s="103">
        <v>37.764253130536254</v>
      </c>
      <c r="K26" s="93">
        <v>65047.687044279191</v>
      </c>
      <c r="L26" s="93"/>
      <c r="M26" s="93"/>
      <c r="N26" s="103">
        <v>11.216747913539949</v>
      </c>
      <c r="O26" s="103">
        <v>3.0549541177978043</v>
      </c>
      <c r="P26" s="103">
        <v>4.7728743883794627</v>
      </c>
      <c r="Q26" s="103">
        <v>3.1540698191323582</v>
      </c>
      <c r="R26" s="103">
        <v>3.1540698191323582</v>
      </c>
      <c r="S26" s="103">
        <v>0.1552730386066879</v>
      </c>
      <c r="T26" s="103">
        <v>33.267718802886066</v>
      </c>
      <c r="U26" s="93">
        <v>60446.970149301596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3.7653687530533699</v>
      </c>
      <c r="E28" s="99">
        <v>4.2750911606719504E-2</v>
      </c>
      <c r="F28" s="99">
        <v>6.5770633241106916E-3</v>
      </c>
      <c r="G28" s="99">
        <v>0.56891597753557488</v>
      </c>
      <c r="H28" s="99">
        <v>0.56891597753557488</v>
      </c>
      <c r="I28" s="99">
        <v>2.9596784958498115E-2</v>
      </c>
      <c r="J28" s="99">
        <v>4.1534154891759005</v>
      </c>
      <c r="K28" s="49">
        <v>526.0916817835564</v>
      </c>
      <c r="L28" s="100">
        <v>46.979411797610666</v>
      </c>
      <c r="M28" s="49" t="s">
        <v>237</v>
      </c>
      <c r="N28" s="99">
        <v>3.482222196612399</v>
      </c>
      <c r="O28" s="99">
        <v>3.9536147210446466E-2</v>
      </c>
      <c r="P28" s="99">
        <v>6.0824841862225313E-3</v>
      </c>
      <c r="Q28" s="99">
        <v>0.52613488210824899</v>
      </c>
      <c r="R28" s="99">
        <v>0.52613488210824899</v>
      </c>
      <c r="S28" s="99">
        <v>2.7371178838001393E-2</v>
      </c>
      <c r="T28" s="99">
        <v>3.841088763599529</v>
      </c>
      <c r="U28" s="49">
        <v>486.53086906144011</v>
      </c>
      <c r="V28" s="100">
        <v>43.446674489125542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8.878759717405893E-2</v>
      </c>
      <c r="E29" s="99">
        <v>4.6906655110823597E-3</v>
      </c>
      <c r="F29" s="99">
        <v>6.7009507301176558E-4</v>
      </c>
      <c r="G29" s="99">
        <v>5.1262273085400087E-2</v>
      </c>
      <c r="H29" s="99">
        <v>5.1262273085400087E-2</v>
      </c>
      <c r="I29" s="99">
        <v>2.8479040603000033E-3</v>
      </c>
      <c r="J29" s="99">
        <v>0.38664485712778873</v>
      </c>
      <c r="K29" s="49">
        <v>53.60012919798092</v>
      </c>
      <c r="L29" s="100">
        <v>4.7864329150010674</v>
      </c>
      <c r="M29" s="49" t="s">
        <v>237</v>
      </c>
      <c r="N29" s="99">
        <v>7.7474208648190129E-2</v>
      </c>
      <c r="O29" s="99">
        <v>4.0929770606591013E-3</v>
      </c>
      <c r="P29" s="99">
        <v>5.8471100866558585E-4</v>
      </c>
      <c r="Q29" s="99">
        <v>4.4730392162917326E-2</v>
      </c>
      <c r="R29" s="99">
        <v>4.4730392162917326E-2</v>
      </c>
      <c r="S29" s="99">
        <v>2.4850217868287402E-3</v>
      </c>
      <c r="T29" s="99">
        <v>0.33737825200004307</v>
      </c>
      <c r="U29" s="49">
        <v>46.770356730270812</v>
      </c>
      <c r="V29" s="100">
        <v>4.1765417033461674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4.2324872823780314E-2</v>
      </c>
      <c r="E30" s="99">
        <v>7.0541454706300501E-3</v>
      </c>
      <c r="F30" s="99">
        <v>1.4108290941260105E-3</v>
      </c>
      <c r="G30" s="99">
        <v>4.2324872823780314E-2</v>
      </c>
      <c r="H30" s="99">
        <v>4.2324872823780314E-2</v>
      </c>
      <c r="I30" s="99">
        <v>3.1743654617835231E-3</v>
      </c>
      <c r="J30" s="99">
        <v>0.49661184113235551</v>
      </c>
      <c r="K30" s="49">
        <v>112.85058608406862</v>
      </c>
      <c r="L30" s="100">
        <v>10.077433912795392</v>
      </c>
      <c r="M30" s="49" t="s">
        <v>237</v>
      </c>
      <c r="N30" s="99">
        <v>3.6931802780171614E-2</v>
      </c>
      <c r="O30" s="99">
        <v>6.1553004633619337E-3</v>
      </c>
      <c r="P30" s="99">
        <v>1.2310600926723873E-3</v>
      </c>
      <c r="Q30" s="99">
        <v>3.6931802780171614E-2</v>
      </c>
      <c r="R30" s="99">
        <v>3.6931802780171614E-2</v>
      </c>
      <c r="S30" s="99">
        <v>2.7698852085128712E-3</v>
      </c>
      <c r="T30" s="99">
        <v>0.43333315262068023</v>
      </c>
      <c r="U30" s="49">
        <v>98.471071755753272</v>
      </c>
      <c r="V30" s="100">
        <v>8.7933590101294712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3.1853340478391008E-2</v>
      </c>
      <c r="E31" s="99">
        <v>4.2471120637854682E-3</v>
      </c>
      <c r="F31" s="99">
        <v>8.4942241275709344E-4</v>
      </c>
      <c r="G31" s="99">
        <v>2.7606228414605534E-2</v>
      </c>
      <c r="H31" s="99">
        <v>2.7606228414605534E-2</v>
      </c>
      <c r="I31" s="99">
        <v>1.9112004287034604E-3</v>
      </c>
      <c r="J31" s="99">
        <v>0.22722049541252254</v>
      </c>
      <c r="K31" s="49">
        <v>67.944315517510859</v>
      </c>
      <c r="L31" s="100">
        <v>6.0673530651206367</v>
      </c>
      <c r="M31" s="49" t="s">
        <v>237</v>
      </c>
      <c r="N31" s="99">
        <v>2.7794561683281205E-2</v>
      </c>
      <c r="O31" s="99">
        <v>3.7059415577708277E-3</v>
      </c>
      <c r="P31" s="99">
        <v>7.4118831155416533E-4</v>
      </c>
      <c r="Q31" s="99">
        <v>2.4088620125510374E-2</v>
      </c>
      <c r="R31" s="99">
        <v>2.4088620125510374E-2</v>
      </c>
      <c r="S31" s="99">
        <v>1.6676737009968723E-3</v>
      </c>
      <c r="T31" s="99">
        <v>0.1982678733407392</v>
      </c>
      <c r="U31" s="49">
        <v>59.286795052497048</v>
      </c>
      <c r="V31" s="100">
        <v>5.2942459563116815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1.8018750901198477</v>
      </c>
      <c r="E32" s="99">
        <v>4.9369427136027176E-2</v>
      </c>
      <c r="F32" s="99">
        <v>1.3599057283923381E-2</v>
      </c>
      <c r="G32" s="99">
        <v>0.41280038288691961</v>
      </c>
      <c r="H32" s="99">
        <v>0.41280038288691961</v>
      </c>
      <c r="I32" s="99">
        <v>1.3498034824980255E-2</v>
      </c>
      <c r="J32" s="99">
        <v>4.1195162439749922</v>
      </c>
      <c r="K32" s="49">
        <v>1087.772850071736</v>
      </c>
      <c r="L32" s="100">
        <v>97.136925815917749</v>
      </c>
      <c r="M32" s="49" t="s">
        <v>237</v>
      </c>
      <c r="N32" s="99">
        <v>1.5722786868108649</v>
      </c>
      <c r="O32" s="99">
        <v>4.3078734198425825E-2</v>
      </c>
      <c r="P32" s="99">
        <v>1.1866254240082001E-2</v>
      </c>
      <c r="Q32" s="99">
        <v>0.36020101919345526</v>
      </c>
      <c r="R32" s="99">
        <v>0.36020101919345526</v>
      </c>
      <c r="S32" s="99">
        <v>1.1778104145796092E-2</v>
      </c>
      <c r="T32" s="99">
        <v>3.5946041020758099</v>
      </c>
      <c r="U32" s="49">
        <v>949.167940462258</v>
      </c>
      <c r="V32" s="100">
        <v>84.759658979767181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0.85895030906346337</v>
      </c>
      <c r="E33" s="99">
        <v>0.11515944189831628</v>
      </c>
      <c r="F33" s="99">
        <v>2.8631676968782122E-2</v>
      </c>
      <c r="G33" s="99">
        <v>0.56727406601545194</v>
      </c>
      <c r="H33" s="99">
        <v>0.56727406601545194</v>
      </c>
      <c r="I33" s="99">
        <v>1.7876311803851193E-2</v>
      </c>
      <c r="J33" s="99">
        <v>8.8501192433501092</v>
      </c>
      <c r="K33" s="49">
        <v>2290.2146971234788</v>
      </c>
      <c r="L33" s="100">
        <v>204.51366764884489</v>
      </c>
      <c r="M33" s="49" t="s">
        <v>237</v>
      </c>
      <c r="N33" s="99">
        <v>0.74950215549084653</v>
      </c>
      <c r="O33" s="99">
        <v>0.10048573126659621</v>
      </c>
      <c r="P33" s="99">
        <v>2.4983405183028218E-2</v>
      </c>
      <c r="Q33" s="99">
        <v>0.49499153879601671</v>
      </c>
      <c r="R33" s="99">
        <v>0.49499153879601671</v>
      </c>
      <c r="S33" s="99">
        <v>1.5598497477486786E-2</v>
      </c>
      <c r="T33" s="99">
        <v>7.7224297834810329</v>
      </c>
      <c r="U33" s="49">
        <v>1998.3936601669441</v>
      </c>
      <c r="V33" s="100">
        <v>178.4543682128444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0.6464387208564788</v>
      </c>
      <c r="E34" s="99">
        <v>6.9334415767507068E-2</v>
      </c>
      <c r="F34" s="99">
        <v>1.7238365889506096E-2</v>
      </c>
      <c r="G34" s="99">
        <v>0.37896962076443946</v>
      </c>
      <c r="H34" s="99">
        <v>0.37896962076443946</v>
      </c>
      <c r="I34" s="99">
        <v>1.0762848573825316E-2</v>
      </c>
      <c r="J34" s="99">
        <v>5.3284197725816105</v>
      </c>
      <c r="K34" s="49">
        <v>1378.8769326220227</v>
      </c>
      <c r="L34" s="100">
        <v>123.13220200757227</v>
      </c>
      <c r="M34" s="49" t="s">
        <v>237</v>
      </c>
      <c r="N34" s="99">
        <v>0.56406896832361308</v>
      </c>
      <c r="O34" s="99">
        <v>6.0499767587376865E-2</v>
      </c>
      <c r="P34" s="99">
        <v>1.5041839155296345E-2</v>
      </c>
      <c r="Q34" s="99">
        <v>0.33068100055542315</v>
      </c>
      <c r="R34" s="99">
        <v>0.33068100055542315</v>
      </c>
      <c r="S34" s="99">
        <v>9.3914375723306749E-3</v>
      </c>
      <c r="T34" s="99">
        <v>4.6494681505666593</v>
      </c>
      <c r="U34" s="49">
        <v>1203.1793018197225</v>
      </c>
      <c r="V34" s="100">
        <v>107.44259573715465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1.0831685185193153E-2</v>
      </c>
      <c r="E35" s="99">
        <v>1.8915496527476702E-2</v>
      </c>
      <c r="F35" s="99">
        <v>1.5117279942039325E-3</v>
      </c>
      <c r="G35" s="99">
        <v>1.3983483946386375E-2</v>
      </c>
      <c r="H35" s="99">
        <v>1.3983483946386375E-2</v>
      </c>
      <c r="I35" s="99">
        <v>3.3957190069805828E-4</v>
      </c>
      <c r="J35" s="99">
        <v>4.6920257620104551E-2</v>
      </c>
      <c r="K35" s="49">
        <v>144.40232656061096</v>
      </c>
      <c r="L35" s="100">
        <v>12.894969829260731</v>
      </c>
      <c r="M35" s="49" t="s">
        <v>237</v>
      </c>
      <c r="N35" s="99">
        <v>9.4515029661636791E-3</v>
      </c>
      <c r="O35" s="99">
        <v>1.6505268430465077E-2</v>
      </c>
      <c r="P35" s="99">
        <v>1.3191023720651417E-3</v>
      </c>
      <c r="Q35" s="99">
        <v>1.2201696941602561E-2</v>
      </c>
      <c r="R35" s="99">
        <v>1.2201696941602561E-2</v>
      </c>
      <c r="S35" s="99">
        <v>2.9630337032513247E-4</v>
      </c>
      <c r="T35" s="99">
        <v>4.0941639872971829E-2</v>
      </c>
      <c r="U35" s="49">
        <v>126.0024635570327</v>
      </c>
      <c r="V35" s="100">
        <v>11.251882186942977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3.6535610763230211E-2</v>
      </c>
      <c r="E36" s="99">
        <v>6.3802557654263847E-2</v>
      </c>
      <c r="F36" s="99">
        <v>5.0991055068342738E-3</v>
      </c>
      <c r="G36" s="99">
        <v>4.7166725938217045E-2</v>
      </c>
      <c r="H36" s="99">
        <v>4.7166725938217045E-2</v>
      </c>
      <c r="I36" s="99">
        <v>1.1453865744726489E-3</v>
      </c>
      <c r="J36" s="99">
        <v>0.1582634871683688</v>
      </c>
      <c r="K36" s="49">
        <v>487.07353531058749</v>
      </c>
      <c r="L36" s="100">
        <v>43.495133991661156</v>
      </c>
      <c r="M36" s="49" t="s">
        <v>237</v>
      </c>
      <c r="N36" s="99">
        <v>3.1880213244317473E-2</v>
      </c>
      <c r="O36" s="99">
        <v>5.5672783376537048E-2</v>
      </c>
      <c r="P36" s="99">
        <v>4.4493732968261378E-3</v>
      </c>
      <c r="Q36" s="99">
        <v>4.1156702995641781E-2</v>
      </c>
      <c r="R36" s="99">
        <v>4.1156702995641781E-2</v>
      </c>
      <c r="S36" s="99">
        <v>9.9944047679957106E-4</v>
      </c>
      <c r="T36" s="99">
        <v>0.13809742370024131</v>
      </c>
      <c r="U36" s="49">
        <v>425.01022555759926</v>
      </c>
      <c r="V36" s="100">
        <v>37.952948309265466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1.1910833723937317</v>
      </c>
      <c r="E37" s="99">
        <v>4.2310574173028616E-2</v>
      </c>
      <c r="F37" s="99">
        <v>1.0494126629019662E-2</v>
      </c>
      <c r="G37" s="99">
        <v>0.25894656441979563</v>
      </c>
      <c r="H37" s="99">
        <v>0.25894656441979563</v>
      </c>
      <c r="I37" s="99">
        <v>6.3950832402836786E-3</v>
      </c>
      <c r="J37" s="99">
        <v>1.589090610296793</v>
      </c>
      <c r="K37" s="49">
        <v>839.41304120818313</v>
      </c>
      <c r="L37" s="100">
        <v>74.958666515142298</v>
      </c>
      <c r="M37" s="49" t="s">
        <v>237</v>
      </c>
      <c r="N37" s="99">
        <v>1.0891686333596562</v>
      </c>
      <c r="O37" s="99">
        <v>3.8690280896194362E-2</v>
      </c>
      <c r="P37" s="99">
        <v>9.5961994128604018E-3</v>
      </c>
      <c r="Q37" s="99">
        <v>0.23678986897069634</v>
      </c>
      <c r="R37" s="99">
        <v>0.23678986897069634</v>
      </c>
      <c r="S37" s="99">
        <v>5.8478896057819509E-3</v>
      </c>
      <c r="T37" s="99">
        <v>1.4531204854478317</v>
      </c>
      <c r="U37" s="49">
        <v>767.58888261498214</v>
      </c>
      <c r="V37" s="100">
        <v>68.544847706740953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7.7305153318232359E-2</v>
      </c>
      <c r="E38" s="99">
        <v>1.2112306990369615</v>
      </c>
      <c r="F38" s="99">
        <v>3.1336862382455588</v>
      </c>
      <c r="G38" s="99">
        <v>4.9505341922491633E-2</v>
      </c>
      <c r="H38" s="99">
        <v>4.9505341922491633E-2</v>
      </c>
      <c r="I38" s="99">
        <v>2.6559615941416756E-3</v>
      </c>
      <c r="J38" s="99">
        <v>4.8556489535643878E-2</v>
      </c>
      <c r="K38" s="49">
        <v>29102.877203857031</v>
      </c>
      <c r="L38" s="100">
        <v>216.844749840764</v>
      </c>
      <c r="M38" s="49" t="s">
        <v>238</v>
      </c>
      <c r="N38" s="99">
        <v>7.148539699435566E-2</v>
      </c>
      <c r="O38" s="99">
        <v>1.1200457363556777</v>
      </c>
      <c r="P38" s="99">
        <v>2.8977732425491429</v>
      </c>
      <c r="Q38" s="99">
        <v>4.5778436090831529E-2</v>
      </c>
      <c r="R38" s="99">
        <v>4.5778436090831529E-2</v>
      </c>
      <c r="S38" s="99">
        <v>2.456013096273111E-3</v>
      </c>
      <c r="T38" s="99">
        <v>4.4901016065757249E-2</v>
      </c>
      <c r="U38" s="49">
        <v>26911.928135391663</v>
      </c>
      <c r="V38" s="100">
        <v>200.5200476700019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2.345070441166312E-2</v>
      </c>
      <c r="E39" s="99">
        <v>0.59202339328181774</v>
      </c>
      <c r="F39" s="99">
        <v>0.41846844652240145</v>
      </c>
      <c r="G39" s="99">
        <v>1.5017564682183482E-2</v>
      </c>
      <c r="H39" s="99">
        <v>1.5017564682183482E-2</v>
      </c>
      <c r="I39" s="99">
        <v>8.0569234519914422E-4</v>
      </c>
      <c r="J39" s="99">
        <v>1.472972802577497E-2</v>
      </c>
      <c r="K39" s="49">
        <v>9110.5822188368656</v>
      </c>
      <c r="L39" s="100">
        <v>67.882701366913864</v>
      </c>
      <c r="M39" s="49" t="s">
        <v>238</v>
      </c>
      <c r="N39" s="99">
        <v>2.3066065118368749E-2</v>
      </c>
      <c r="O39" s="99">
        <v>0.5823130043907957</v>
      </c>
      <c r="P39" s="99">
        <v>0.41160471208138733</v>
      </c>
      <c r="Q39" s="99">
        <v>1.4771246048638097E-2</v>
      </c>
      <c r="R39" s="99">
        <v>1.4771246048638097E-2</v>
      </c>
      <c r="S39" s="99">
        <v>7.9247735050943418E-4</v>
      </c>
      <c r="T39" s="99">
        <v>1.4488130499372535E-2</v>
      </c>
      <c r="U39" s="49">
        <v>8961.1501231250222</v>
      </c>
      <c r="V39" s="100">
        <v>66.769286868895776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5.1440167949180684E-4</v>
      </c>
      <c r="E40" s="99">
        <v>1.2986297658979693E-2</v>
      </c>
      <c r="F40" s="99">
        <v>2.0852082878848585E-2</v>
      </c>
      <c r="G40" s="99">
        <v>2.8858439242177112E-4</v>
      </c>
      <c r="H40" s="99">
        <v>2.8858439242177112E-4</v>
      </c>
      <c r="I40" s="99">
        <v>1.7673221590648996E-5</v>
      </c>
      <c r="J40" s="99">
        <v>3.23103165768777E-4</v>
      </c>
      <c r="K40" s="49">
        <v>197.67309419910265</v>
      </c>
      <c r="L40" s="100">
        <v>1.4429219621088554</v>
      </c>
      <c r="M40" s="49" t="s">
        <v>238</v>
      </c>
      <c r="N40" s="99">
        <v>4.8637906312062125E-4</v>
      </c>
      <c r="O40" s="99">
        <v>1.2278854328430828E-2</v>
      </c>
      <c r="P40" s="99">
        <v>1.9716141954955385E-2</v>
      </c>
      <c r="Q40" s="99">
        <v>2.7286342952068522E-4</v>
      </c>
      <c r="R40" s="99">
        <v>2.7286342952068522E-4</v>
      </c>
      <c r="S40" s="99">
        <v>1.6710452749833813E-5</v>
      </c>
      <c r="T40" s="99">
        <v>3.055017534413543E-4</v>
      </c>
      <c r="U40" s="49">
        <v>186.90462763593132</v>
      </c>
      <c r="V40" s="100">
        <v>1.3643171476034257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1.6414297999125852E-3</v>
      </c>
      <c r="E41" s="99">
        <v>2.5718209959222953E-2</v>
      </c>
      <c r="F41" s="99">
        <v>6.65379441634079E-2</v>
      </c>
      <c r="G41" s="99">
        <v>1.0511529956085677E-3</v>
      </c>
      <c r="H41" s="99">
        <v>1.0511529956085677E-3</v>
      </c>
      <c r="I41" s="99">
        <v>5.639435821439966E-5</v>
      </c>
      <c r="J41" s="99">
        <v>1.0310058965260704E-3</v>
      </c>
      <c r="K41" s="49">
        <v>575.53639548127103</v>
      </c>
      <c r="L41" s="100">
        <v>4.6042911638501689</v>
      </c>
      <c r="M41" s="49" t="s">
        <v>238</v>
      </c>
      <c r="N41" s="99">
        <v>1.3701626289760308E-3</v>
      </c>
      <c r="O41" s="99">
        <v>2.1467948353419121E-2</v>
      </c>
      <c r="P41" s="99">
        <v>5.5541701817799619E-2</v>
      </c>
      <c r="Q41" s="99">
        <v>8.7743658120241627E-4</v>
      </c>
      <c r="R41" s="99">
        <v>8.7743658120241627E-4</v>
      </c>
      <c r="S41" s="99">
        <v>4.7074472581509648E-5</v>
      </c>
      <c r="T41" s="99">
        <v>8.6061904672937045E-4</v>
      </c>
      <c r="U41" s="49">
        <v>480.42167916410625</v>
      </c>
      <c r="V41" s="100">
        <v>3.8433734333128498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6.2640334377998938E-4</v>
      </c>
      <c r="E42" s="99">
        <v>1.0705802602785277E-2</v>
      </c>
      <c r="F42" s="99">
        <v>6.8334910230544326E-5</v>
      </c>
      <c r="G42" s="99">
        <v>5.6412746225655285E-6</v>
      </c>
      <c r="H42" s="99">
        <v>5.6412746225655285E-6</v>
      </c>
      <c r="I42" s="99">
        <v>2.2778303410181415E-3</v>
      </c>
      <c r="J42" s="99">
        <v>4.5556606820362829E-3</v>
      </c>
      <c r="K42" s="49">
        <v>281.18883333333326</v>
      </c>
      <c r="L42" s="100">
        <v>277.0333333333337</v>
      </c>
      <c r="M42" s="49" t="s">
        <v>239</v>
      </c>
      <c r="N42" s="99">
        <v>6.2640334377998938E-4</v>
      </c>
      <c r="O42" s="99">
        <v>1.0705802602785277E-2</v>
      </c>
      <c r="P42" s="99">
        <v>6.8334910230544326E-5</v>
      </c>
      <c r="Q42" s="99">
        <v>5.6412746225655285E-6</v>
      </c>
      <c r="R42" s="99">
        <v>5.6412746225655285E-6</v>
      </c>
      <c r="S42" s="99">
        <v>2.2778303410181415E-3</v>
      </c>
      <c r="T42" s="99">
        <v>4.5556606820362829E-3</v>
      </c>
      <c r="U42" s="49">
        <v>281.18883333333326</v>
      </c>
      <c r="V42" s="100">
        <v>277.0333333333337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9.7086916666666665E-3</v>
      </c>
      <c r="E43" s="99">
        <v>0.17652166666666677</v>
      </c>
      <c r="F43" s="99">
        <v>1.0591300000000001E-3</v>
      </c>
      <c r="G43" s="99">
        <v>1.3415646666666668E-2</v>
      </c>
      <c r="H43" s="99">
        <v>1.3415646666666668E-2</v>
      </c>
      <c r="I43" s="99">
        <v>3.5304333333333326E-2</v>
      </c>
      <c r="J43" s="99">
        <v>7.0608666666666653E-2</v>
      </c>
      <c r="K43" s="49">
        <v>3583.389833333335</v>
      </c>
      <c r="L43" s="100">
        <v>3530.4333333333325</v>
      </c>
      <c r="M43" s="49" t="s">
        <v>239</v>
      </c>
      <c r="N43" s="99">
        <v>9.7086916666666665E-3</v>
      </c>
      <c r="O43" s="99">
        <v>0.17652166666666677</v>
      </c>
      <c r="P43" s="99">
        <v>1.0591300000000001E-3</v>
      </c>
      <c r="Q43" s="99">
        <v>1.3415646666666668E-2</v>
      </c>
      <c r="R43" s="99">
        <v>1.3415646666666668E-2</v>
      </c>
      <c r="S43" s="99">
        <v>3.5304333333333326E-2</v>
      </c>
      <c r="T43" s="99">
        <v>7.0608666666666653E-2</v>
      </c>
      <c r="U43" s="49">
        <v>3583.389833333335</v>
      </c>
      <c r="V43" s="100">
        <v>3530.4333333333325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0.11519034997918816</v>
      </c>
      <c r="E44" s="99">
        <v>5.4369845190176791E-2</v>
      </c>
      <c r="F44" s="99">
        <v>0.10712702548064496</v>
      </c>
      <c r="G44" s="99">
        <v>9.2037089633371316E-2</v>
      </c>
      <c r="H44" s="99">
        <v>9.2037089633371316E-2</v>
      </c>
      <c r="I44" s="99">
        <v>1.4582522355615322E-2</v>
      </c>
      <c r="J44" s="99">
        <v>1.5040979948532494</v>
      </c>
      <c r="K44" s="49">
        <v>350.17866393673199</v>
      </c>
      <c r="L44" s="100">
        <v>23.038069995837628</v>
      </c>
      <c r="M44" s="49" t="s">
        <v>237</v>
      </c>
      <c r="N44" s="99">
        <v>0.10120931251381278</v>
      </c>
      <c r="O44" s="99">
        <v>4.7770795506519623E-2</v>
      </c>
      <c r="P44" s="99">
        <v>9.4124660637845886E-2</v>
      </c>
      <c r="Q44" s="99">
        <v>8.0866240698536401E-2</v>
      </c>
      <c r="R44" s="99">
        <v>8.0866240698536401E-2</v>
      </c>
      <c r="S44" s="99">
        <v>1.2812592917686128E-2</v>
      </c>
      <c r="T44" s="99">
        <v>1.3215405981491102</v>
      </c>
      <c r="U44" s="49">
        <v>307.67631004199086</v>
      </c>
      <c r="V44" s="100">
        <v>20.241862502762554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2.8532244230068839E-4</v>
      </c>
      <c r="E45" s="99">
        <v>1.346721927659249E-4</v>
      </c>
      <c r="F45" s="99">
        <v>2.6534987133964015E-4</v>
      </c>
      <c r="G45" s="99">
        <v>2.2797263139825001E-4</v>
      </c>
      <c r="H45" s="99">
        <v>2.2797263139825001E-4</v>
      </c>
      <c r="I45" s="99">
        <v>3.6120394583055642E-5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2.6963315214105564E-4</v>
      </c>
      <c r="O45" s="99">
        <v>1.2726684781057826E-4</v>
      </c>
      <c r="P45" s="99">
        <v>2.5075883149118169E-4</v>
      </c>
      <c r="Q45" s="99">
        <v>2.1543688856070343E-4</v>
      </c>
      <c r="R45" s="99">
        <v>2.1543688856070343E-4</v>
      </c>
      <c r="S45" s="99">
        <v>3.4134208895296937E-5</v>
      </c>
      <c r="T45" s="99">
        <v>3.5207348840818335E-3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8.7184102008962055E-4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8.9777071541156657E-6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2.9083381335906241E-5</v>
      </c>
      <c r="P46" s="99">
        <v>6.1727592489711021E-6</v>
      </c>
      <c r="Q46" s="99">
        <v>2.1102851649953144E-4</v>
      </c>
      <c r="R46" s="99">
        <v>2.1102851649953144E-4</v>
      </c>
      <c r="S46" s="99">
        <v>8.1341904248124664E-6</v>
      </c>
      <c r="T46" s="99">
        <v>1.5343025389261337E-3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3.7226766797913605E-4</v>
      </c>
      <c r="E47" s="101">
        <v>1.9434212261993551E-2</v>
      </c>
      <c r="F47" s="101">
        <v>1.3760960594379906E-2</v>
      </c>
      <c r="G47" s="101">
        <v>1.9373489384817266E-3</v>
      </c>
      <c r="H47" s="101">
        <v>1.9373489384817266E-3</v>
      </c>
      <c r="I47" s="101">
        <v>1.3544093175893139E-5</v>
      </c>
      <c r="J47" s="101">
        <v>4.6265049277175556E-3</v>
      </c>
      <c r="K47" s="94">
        <v>103.11814403022066</v>
      </c>
      <c r="L47" s="102">
        <v>0.74453533595827182</v>
      </c>
      <c r="M47" s="94" t="s">
        <v>238</v>
      </c>
      <c r="N47" s="101">
        <v>3.7226766797913605E-4</v>
      </c>
      <c r="O47" s="101">
        <v>1.9434212261993551E-2</v>
      </c>
      <c r="P47" s="101">
        <v>1.3760960594379906E-2</v>
      </c>
      <c r="Q47" s="101">
        <v>1.9373489384817266E-3</v>
      </c>
      <c r="R47" s="101">
        <v>1.9373489384817266E-3</v>
      </c>
      <c r="S47" s="101">
        <v>1.3544093175893139E-5</v>
      </c>
      <c r="T47" s="101">
        <v>4.6265049277175556E-3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8.7040159172408487</v>
      </c>
      <c r="E48" s="103">
        <v>2.5207942108410109</v>
      </c>
      <c r="F48" s="103">
        <v>3.8479145397862529</v>
      </c>
      <c r="G48" s="103">
        <v>2.5429817227487397</v>
      </c>
      <c r="H48" s="103">
        <v>2.5429817227487397</v>
      </c>
      <c r="I48" s="103">
        <v>0.14330654157142197</v>
      </c>
      <c r="J48" s="103">
        <v>27.01022095427923</v>
      </c>
      <c r="K48" s="93">
        <v>50313.817254605689</v>
      </c>
      <c r="L48" s="93"/>
      <c r="M48" s="93"/>
      <c r="N48" s="103">
        <v>7.8500819782141793</v>
      </c>
      <c r="O48" s="103">
        <v>2.3591173027432695</v>
      </c>
      <c r="P48" s="103">
        <v>3.5698014333957548</v>
      </c>
      <c r="Q48" s="103">
        <v>2.2662588497632439</v>
      </c>
      <c r="R48" s="103">
        <v>2.2662588497632439</v>
      </c>
      <c r="S48" s="103">
        <v>0.13196827663950758</v>
      </c>
      <c r="T48" s="103">
        <v>23.875671361919377</v>
      </c>
      <c r="U48" s="93">
        <v>46995.037112793085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4.9706120562254972</v>
      </c>
      <c r="E50" s="99">
        <v>5.6434896708237106E-2</v>
      </c>
      <c r="F50" s="99">
        <v>8.6822918012672435E-3</v>
      </c>
      <c r="G50" s="99">
        <v>0.75101824080961666</v>
      </c>
      <c r="H50" s="99">
        <v>0.75101824080961666</v>
      </c>
      <c r="I50" s="99">
        <v>3.9070313105702609E-2</v>
      </c>
      <c r="J50" s="99">
        <v>5.4828672725002674</v>
      </c>
      <c r="K50" s="49">
        <v>697.10423621330267</v>
      </c>
      <c r="L50" s="100">
        <v>62.01688227380798</v>
      </c>
      <c r="M50" s="49" t="s">
        <v>237</v>
      </c>
      <c r="N50" s="99">
        <v>4.5858663613468602</v>
      </c>
      <c r="O50" s="99">
        <v>5.2066604975990576E-2</v>
      </c>
      <c r="P50" s="99">
        <v>8.010246919383162E-3</v>
      </c>
      <c r="Q50" s="99">
        <v>0.69288635852664349</v>
      </c>
      <c r="R50" s="99">
        <v>0.69288635852664349</v>
      </c>
      <c r="S50" s="99">
        <v>3.6046111137224238E-2</v>
      </c>
      <c r="T50" s="99">
        <v>5.0584709295904666</v>
      </c>
      <c r="U50" s="49">
        <v>643.1424583935966</v>
      </c>
      <c r="V50" s="100">
        <v>57.216522037535206</v>
      </c>
      <c r="W50" t="s">
        <v>237</v>
      </c>
      <c r="Y50" s="14">
        <f>N50/$U50*2000</f>
        <v>14.260810498505005</v>
      </c>
      <c r="Z50" s="6">
        <f t="shared" ref="Z50:AE65" si="0">O50/$U50*2000</f>
        <v>0.16191313229743681</v>
      </c>
      <c r="AA50" s="249">
        <f t="shared" si="0"/>
        <v>2.4909712661144112E-2</v>
      </c>
      <c r="AB50" s="6">
        <f t="shared" si="0"/>
        <v>2.1546901451889657</v>
      </c>
      <c r="AC50" s="250">
        <f t="shared" si="0"/>
        <v>2.1546901451889657</v>
      </c>
      <c r="AD50" s="6">
        <f t="shared" si="0"/>
        <v>0.11209370697514853</v>
      </c>
      <c r="AE50" s="14">
        <f t="shared" si="0"/>
        <v>15.730483545512506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0.10761003312595825</v>
      </c>
      <c r="E51" s="99">
        <v>5.6850583538242084E-3</v>
      </c>
      <c r="F51" s="99">
        <v>8.1215119340345828E-4</v>
      </c>
      <c r="G51" s="99">
        <v>6.212956629536457E-2</v>
      </c>
      <c r="H51" s="99">
        <v>6.212956629536457E-2</v>
      </c>
      <c r="I51" s="99">
        <v>3.4516425719646978E-3</v>
      </c>
      <c r="J51" s="99">
        <v>0.46861123859379544</v>
      </c>
      <c r="K51" s="49">
        <v>65.196333466548893</v>
      </c>
      <c r="L51" s="100">
        <v>5.8011278706946348</v>
      </c>
      <c r="M51" s="49" t="s">
        <v>237</v>
      </c>
      <c r="N51" s="99">
        <v>9.366047222600582E-2</v>
      </c>
      <c r="O51" s="99">
        <v>4.9481004194871017E-3</v>
      </c>
      <c r="P51" s="99">
        <v>7.0687148849815737E-4</v>
      </c>
      <c r="Q51" s="99">
        <v>5.4075668870109034E-2</v>
      </c>
      <c r="R51" s="99">
        <v>5.4075668870109034E-2</v>
      </c>
      <c r="S51" s="99">
        <v>3.004203826117169E-3</v>
      </c>
      <c r="T51" s="99">
        <v>0.40786484886343671</v>
      </c>
      <c r="U51" s="49">
        <v>56.744576727250433</v>
      </c>
      <c r="V51" s="100">
        <v>5.0491237668956446</v>
      </c>
      <c r="W51" t="s">
        <v>237</v>
      </c>
      <c r="Y51" s="14">
        <f t="shared" ref="Y51:AE70" si="1">N51/$U51*2000</f>
        <v>3.3011250634997609</v>
      </c>
      <c r="Z51" s="6">
        <f t="shared" si="0"/>
        <v>0.17439905995847801</v>
      </c>
      <c r="AA51" s="249">
        <f t="shared" si="0"/>
        <v>2.491415142263971E-2</v>
      </c>
      <c r="AB51" s="6">
        <f t="shared" si="0"/>
        <v>1.9059325838319379</v>
      </c>
      <c r="AC51" s="250">
        <f t="shared" si="0"/>
        <v>1.9059325838319379</v>
      </c>
      <c r="AD51" s="6">
        <f t="shared" si="0"/>
        <v>0.10588514354621878</v>
      </c>
      <c r="AE51" s="14">
        <f t="shared" si="0"/>
        <v>14.375465370863111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5.1297490996295138E-2</v>
      </c>
      <c r="E52" s="99">
        <v>8.5495818327158603E-3</v>
      </c>
      <c r="F52" s="99">
        <v>1.7099163665431714E-3</v>
      </c>
      <c r="G52" s="99">
        <v>5.1297490996295138E-2</v>
      </c>
      <c r="H52" s="99">
        <v>5.1297490996295138E-2</v>
      </c>
      <c r="I52" s="99">
        <v>3.8473118247221369E-3</v>
      </c>
      <c r="J52" s="99">
        <v>0.60189056102319627</v>
      </c>
      <c r="K52" s="49">
        <v>137.26542365329919</v>
      </c>
      <c r="L52" s="100">
        <v>12.213789219395677</v>
      </c>
      <c r="M52" s="49" t="s">
        <v>237</v>
      </c>
      <c r="N52" s="99">
        <v>4.4647762770396462E-2</v>
      </c>
      <c r="O52" s="99">
        <v>7.441293795066071E-3</v>
      </c>
      <c r="P52" s="99">
        <v>1.4882587590132144E-3</v>
      </c>
      <c r="Q52" s="99">
        <v>4.4647762770396462E-2</v>
      </c>
      <c r="R52" s="99">
        <v>4.4647762770396462E-2</v>
      </c>
      <c r="S52" s="99">
        <v>3.3485822077797336E-3</v>
      </c>
      <c r="T52" s="99">
        <v>0.52386708317265174</v>
      </c>
      <c r="U52" s="49">
        <v>119.47095718948076</v>
      </c>
      <c r="V52" s="100">
        <v>10.630507516139298</v>
      </c>
      <c r="W52" t="s">
        <v>237</v>
      </c>
      <c r="Y52" s="14">
        <f t="shared" si="1"/>
        <v>0.74742454267919156</v>
      </c>
      <c r="Z52" s="6">
        <f t="shared" si="0"/>
        <v>0.12457075711319848</v>
      </c>
      <c r="AA52" s="249">
        <f t="shared" si="0"/>
        <v>2.4914151422639703E-2</v>
      </c>
      <c r="AB52" s="6">
        <f t="shared" si="0"/>
        <v>0.74742454267919156</v>
      </c>
      <c r="AC52" s="250">
        <f t="shared" si="0"/>
        <v>0.74742454267919156</v>
      </c>
      <c r="AD52" s="6">
        <f t="shared" si="0"/>
        <v>5.6056840700939345E-2</v>
      </c>
      <c r="AE52" s="14">
        <f t="shared" si="0"/>
        <v>8.7697813007691803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3.8606056849723645E-2</v>
      </c>
      <c r="E53" s="99">
        <v>5.1474742466298224E-3</v>
      </c>
      <c r="F53" s="99">
        <v>1.0294948493259641E-3</v>
      </c>
      <c r="G53" s="99">
        <v>3.3458582603093819E-2</v>
      </c>
      <c r="H53" s="99">
        <v>3.3458582603093819E-2</v>
      </c>
      <c r="I53" s="99">
        <v>2.3163634109834197E-3</v>
      </c>
      <c r="J53" s="99">
        <v>0.27538987219469541</v>
      </c>
      <c r="K53" s="49">
        <v>82.643835339913963</v>
      </c>
      <c r="L53" s="100">
        <v>7.3535953793699038</v>
      </c>
      <c r="M53" s="49" t="s">
        <v>237</v>
      </c>
      <c r="N53" s="99">
        <v>3.3601527759932526E-2</v>
      </c>
      <c r="O53" s="99">
        <v>4.4802037013243375E-3</v>
      </c>
      <c r="P53" s="99">
        <v>8.960407402648676E-4</v>
      </c>
      <c r="Q53" s="99">
        <v>2.9121324058608178E-2</v>
      </c>
      <c r="R53" s="99">
        <v>2.9121324058608178E-2</v>
      </c>
      <c r="S53" s="99">
        <v>2.0160916655959527E-3</v>
      </c>
      <c r="T53" s="99">
        <v>0.239690898020852</v>
      </c>
      <c r="U53" s="49">
        <v>71.930263653340987</v>
      </c>
      <c r="V53" s="100">
        <v>6.4003438692801398</v>
      </c>
      <c r="W53" t="s">
        <v>237</v>
      </c>
      <c r="Y53" s="14">
        <f t="shared" si="1"/>
        <v>0.93428067834898909</v>
      </c>
      <c r="Z53" s="6">
        <f t="shared" si="0"/>
        <v>0.12457075711319857</v>
      </c>
      <c r="AA53" s="249">
        <f t="shared" si="0"/>
        <v>2.4914151422639714E-2</v>
      </c>
      <c r="AB53" s="6">
        <f t="shared" si="0"/>
        <v>0.80970992123579022</v>
      </c>
      <c r="AC53" s="250">
        <f t="shared" si="0"/>
        <v>0.80970992123579022</v>
      </c>
      <c r="AD53" s="6">
        <f t="shared" si="0"/>
        <v>5.605684070093938E-2</v>
      </c>
      <c r="AE53" s="14">
        <f t="shared" si="0"/>
        <v>6.6645355055561213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2.1838617589404419</v>
      </c>
      <c r="E54" s="99">
        <v>5.9835448402805295E-2</v>
      </c>
      <c r="F54" s="99">
        <v>1.648197553917315E-2</v>
      </c>
      <c r="G54" s="99">
        <v>0.50031157831409678</v>
      </c>
      <c r="H54" s="99">
        <v>0.50031157831409678</v>
      </c>
      <c r="I54" s="99">
        <v>1.63595369272573E-2</v>
      </c>
      <c r="J54" s="99">
        <v>4.9928288813585686</v>
      </c>
      <c r="K54" s="49">
        <v>1323.1087784729937</v>
      </c>
      <c r="L54" s="100">
        <v>117.72936916304656</v>
      </c>
      <c r="M54" s="49" t="s">
        <v>237</v>
      </c>
      <c r="N54" s="99">
        <v>1.9007662917384327</v>
      </c>
      <c r="O54" s="99">
        <v>5.2078939021436607E-2</v>
      </c>
      <c r="P54" s="99">
        <v>1.4345405975384397E-2</v>
      </c>
      <c r="Q54" s="99">
        <v>0.43545585224555539</v>
      </c>
      <c r="R54" s="99">
        <v>0.43545585224555539</v>
      </c>
      <c r="S54" s="99">
        <v>1.423883916300072E-2</v>
      </c>
      <c r="T54" s="99">
        <v>4.3456051186632338</v>
      </c>
      <c r="U54" s="49">
        <v>1151.5869621269619</v>
      </c>
      <c r="V54" s="100">
        <v>102.468031933175</v>
      </c>
      <c r="W54" t="s">
        <v>237</v>
      </c>
      <c r="Y54" s="14">
        <f t="shared" si="1"/>
        <v>3.3011250634997622</v>
      </c>
      <c r="Z54" s="6">
        <f t="shared" si="0"/>
        <v>9.0447253632062102E-2</v>
      </c>
      <c r="AA54" s="249">
        <f t="shared" si="0"/>
        <v>2.491415142263971E-2</v>
      </c>
      <c r="AB54" s="6">
        <f t="shared" si="0"/>
        <v>0.75627089671330716</v>
      </c>
      <c r="AC54" s="250">
        <f t="shared" si="0"/>
        <v>0.75627089671330716</v>
      </c>
      <c r="AD54" s="6">
        <f t="shared" si="0"/>
        <v>2.4729073237685535E-2</v>
      </c>
      <c r="AE54" s="14">
        <f t="shared" si="0"/>
        <v>7.5471592881478502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1.0410426022755022</v>
      </c>
      <c r="E55" s="99">
        <v>0.13957255012939282</v>
      </c>
      <c r="F55" s="99">
        <v>3.4701420075850101E-2</v>
      </c>
      <c r="G55" s="99">
        <v>0.68753275207739428</v>
      </c>
      <c r="H55" s="99">
        <v>0.68753275207739428</v>
      </c>
      <c r="I55" s="99">
        <v>2.166598226113977E-2</v>
      </c>
      <c r="J55" s="99">
        <v>10.726291230503501</v>
      </c>
      <c r="K55" s="49">
        <v>2785.6947984610101</v>
      </c>
      <c r="L55" s="100">
        <v>247.86933367798588</v>
      </c>
      <c r="M55" s="49" t="s">
        <v>237</v>
      </c>
      <c r="N55" s="99">
        <v>0.90609155024033738</v>
      </c>
      <c r="O55" s="99">
        <v>0.12147966667388191</v>
      </c>
      <c r="P55" s="99">
        <v>3.0203051674677905E-2</v>
      </c>
      <c r="Q55" s="99">
        <v>0.59840741945539389</v>
      </c>
      <c r="R55" s="99">
        <v>0.59840741945539389</v>
      </c>
      <c r="S55" s="99">
        <v>1.8857406422720564E-2</v>
      </c>
      <c r="T55" s="99">
        <v>9.3358348910337927</v>
      </c>
      <c r="U55" s="49">
        <v>2424.5699692771504</v>
      </c>
      <c r="V55" s="100">
        <v>215.73786540379191</v>
      </c>
      <c r="W55" t="s">
        <v>237</v>
      </c>
      <c r="Y55" s="14">
        <f t="shared" si="1"/>
        <v>0.74742454267919123</v>
      </c>
      <c r="Z55" s="6">
        <f t="shared" si="0"/>
        <v>0.10020718577991732</v>
      </c>
      <c r="AA55" s="249">
        <f t="shared" si="0"/>
        <v>2.49141514226397E-2</v>
      </c>
      <c r="AB55" s="6">
        <f t="shared" si="0"/>
        <v>0.49361942698135475</v>
      </c>
      <c r="AC55" s="250">
        <f t="shared" si="0"/>
        <v>0.49361942698135475</v>
      </c>
      <c r="AD55" s="6">
        <f t="shared" si="0"/>
        <v>1.5555258591561802E-2</v>
      </c>
      <c r="AE55" s="14">
        <f t="shared" si="0"/>
        <v>7.7010232819283271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0.78347983704183455</v>
      </c>
      <c r="E56" s="99">
        <v>8.4032894401722777E-2</v>
      </c>
      <c r="F56" s="99">
        <v>2.0892795654448921E-2</v>
      </c>
      <c r="G56" s="99">
        <v>0.45930889833910415</v>
      </c>
      <c r="H56" s="99">
        <v>0.45930889833910415</v>
      </c>
      <c r="I56" s="99">
        <v>1.3044507661227745E-2</v>
      </c>
      <c r="J56" s="99">
        <v>6.458012678419971</v>
      </c>
      <c r="K56" s="49">
        <v>1677.1922316923046</v>
      </c>
      <c r="L56" s="100">
        <v>149.23548737253537</v>
      </c>
      <c r="M56" s="49" t="s">
        <v>237</v>
      </c>
      <c r="N56" s="99">
        <v>0.68191681932668224</v>
      </c>
      <c r="O56" s="99">
        <v>7.3139653836653828E-2</v>
      </c>
      <c r="P56" s="99">
        <v>1.818444851537818E-2</v>
      </c>
      <c r="Q56" s="99">
        <v>0.39976837722643277</v>
      </c>
      <c r="R56" s="99">
        <v>0.39976837722643277</v>
      </c>
      <c r="S56" s="99">
        <v>1.135353936817647E-2</v>
      </c>
      <c r="T56" s="99">
        <v>5.6208561556184451</v>
      </c>
      <c r="U56" s="49">
        <v>1459.7686436836714</v>
      </c>
      <c r="V56" s="100">
        <v>129.88999086943028</v>
      </c>
      <c r="W56" t="s">
        <v>237</v>
      </c>
      <c r="Y56" s="14">
        <f t="shared" si="1"/>
        <v>0.93428067834898931</v>
      </c>
      <c r="Z56" s="6">
        <f t="shared" si="0"/>
        <v>0.10020718577991737</v>
      </c>
      <c r="AA56" s="249">
        <f t="shared" si="0"/>
        <v>2.4914151422639697E-2</v>
      </c>
      <c r="AB56" s="6">
        <f t="shared" si="0"/>
        <v>0.54771470665054467</v>
      </c>
      <c r="AC56" s="250">
        <f t="shared" si="0"/>
        <v>0.54771470665054467</v>
      </c>
      <c r="AD56" s="6">
        <f t="shared" si="0"/>
        <v>1.5555258591561795E-2</v>
      </c>
      <c r="AE56" s="14">
        <f t="shared" si="0"/>
        <v>7.7010232819283271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1.3127937219694677E-2</v>
      </c>
      <c r="E57" s="99">
        <v>2.2925467888553541E-2</v>
      </c>
      <c r="F57" s="99">
        <v>1.832205225858425E-3</v>
      </c>
      <c r="G57" s="99">
        <v>1.6947898339190432E-2</v>
      </c>
      <c r="H57" s="99">
        <v>1.6947898339190432E-2</v>
      </c>
      <c r="I57" s="99">
        <v>4.1155909885844875E-4</v>
      </c>
      <c r="J57" s="99">
        <v>5.6867069697580867E-2</v>
      </c>
      <c r="K57" s="49">
        <v>175.64327505661532</v>
      </c>
      <c r="L57" s="100">
        <v>15.628625783899487</v>
      </c>
      <c r="M57" s="49" t="s">
        <v>237</v>
      </c>
      <c r="N57" s="99">
        <v>1.1426153896920959E-2</v>
      </c>
      <c r="O57" s="99">
        <v>1.9953624081973226E-2</v>
      </c>
      <c r="P57" s="99">
        <v>1.5946952313265327E-3</v>
      </c>
      <c r="Q57" s="99">
        <v>1.4750930889770423E-2</v>
      </c>
      <c r="R57" s="99">
        <v>1.4750930889770423E-2</v>
      </c>
      <c r="S57" s="99">
        <v>3.5820841633672231E-4</v>
      </c>
      <c r="T57" s="99">
        <v>4.9495353242297258E-2</v>
      </c>
      <c r="U57" s="49">
        <v>152.87367813696858</v>
      </c>
      <c r="V57" s="100">
        <v>13.602676522273606</v>
      </c>
      <c r="W57" t="s">
        <v>237</v>
      </c>
      <c r="Y57" s="14">
        <f t="shared" si="1"/>
        <v>0.14948490853583821</v>
      </c>
      <c r="Z57" s="6">
        <f t="shared" si="0"/>
        <v>0.261047216566551</v>
      </c>
      <c r="AA57" s="249">
        <f t="shared" si="0"/>
        <v>2.0862914410913185E-2</v>
      </c>
      <c r="AB57" s="6">
        <f t="shared" si="0"/>
        <v>0.19298195830094689</v>
      </c>
      <c r="AC57" s="250">
        <f t="shared" si="0"/>
        <v>0.19298195830094689</v>
      </c>
      <c r="AD57" s="6">
        <f t="shared" si="0"/>
        <v>4.6863321495513727E-3</v>
      </c>
      <c r="AE57" s="14">
        <f t="shared" si="0"/>
        <v>0.64753270602871793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4.428094023989438E-2</v>
      </c>
      <c r="E58" s="99">
        <v>7.7328315679458082E-2</v>
      </c>
      <c r="F58" s="99">
        <v>6.180085169187461E-3</v>
      </c>
      <c r="G58" s="99">
        <v>5.7165787814984013E-2</v>
      </c>
      <c r="H58" s="99">
        <v>5.7165787814984013E-2</v>
      </c>
      <c r="I58" s="99">
        <v>1.3882016311287338E-3</v>
      </c>
      <c r="J58" s="99">
        <v>0.19181439343865589</v>
      </c>
      <c r="K58" s="49">
        <v>592.45022551244404</v>
      </c>
      <c r="L58" s="100">
        <v>52.715840484848179</v>
      </c>
      <c r="M58" s="49" t="s">
        <v>237</v>
      </c>
      <c r="N58" s="99">
        <v>3.8540772203141352E-2</v>
      </c>
      <c r="O58" s="99">
        <v>6.7304194159128083E-2</v>
      </c>
      <c r="P58" s="99">
        <v>5.3789565761540913E-3</v>
      </c>
      <c r="Q58" s="99">
        <v>4.9755348329425367E-2</v>
      </c>
      <c r="R58" s="99">
        <v>4.9755348329425367E-2</v>
      </c>
      <c r="S58" s="99">
        <v>1.2082481209186131E-3</v>
      </c>
      <c r="T58" s="99">
        <v>0.1669493647323827</v>
      </c>
      <c r="U58" s="49">
        <v>515.64766745535928</v>
      </c>
      <c r="V58" s="100">
        <v>45.88225066172437</v>
      </c>
      <c r="W58" t="s">
        <v>237</v>
      </c>
      <c r="Y58" s="14">
        <f t="shared" si="1"/>
        <v>0.14948490853583821</v>
      </c>
      <c r="Z58" s="6">
        <f t="shared" si="0"/>
        <v>0.26104721656655122</v>
      </c>
      <c r="AA58" s="249">
        <f t="shared" si="0"/>
        <v>2.0862914410913182E-2</v>
      </c>
      <c r="AB58" s="6">
        <f t="shared" si="0"/>
        <v>0.192981958300947</v>
      </c>
      <c r="AC58" s="250">
        <f t="shared" si="0"/>
        <v>0.192981958300947</v>
      </c>
      <c r="AD58" s="6">
        <f t="shared" si="0"/>
        <v>4.6863321495513744E-3</v>
      </c>
      <c r="AE58" s="14">
        <f t="shared" si="0"/>
        <v>0.64753270602871815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1.2436213755319827</v>
      </c>
      <c r="E59" s="99">
        <v>4.4176869287380183E-2</v>
      </c>
      <c r="F59" s="99">
        <v>1.0957016524510858E-2</v>
      </c>
      <c r="G59" s="99">
        <v>0.27036854858097603</v>
      </c>
      <c r="H59" s="99">
        <v>0.27036854858097603</v>
      </c>
      <c r="I59" s="99">
        <v>6.6771666872821626E-3</v>
      </c>
      <c r="J59" s="99">
        <v>1.6591844839967937</v>
      </c>
      <c r="K59" s="49">
        <v>879.28009933739293</v>
      </c>
      <c r="L59" s="100">
        <v>78.265050222520458</v>
      </c>
      <c r="M59" s="49" t="s">
        <v>237</v>
      </c>
      <c r="N59" s="99">
        <v>1.1370688351680986</v>
      </c>
      <c r="O59" s="99">
        <v>4.0391828485970616E-2</v>
      </c>
      <c r="P59" s="99">
        <v>1.0018227622626413E-2</v>
      </c>
      <c r="Q59" s="99">
        <v>0.24720357550106578</v>
      </c>
      <c r="R59" s="99">
        <v>0.24720357550106578</v>
      </c>
      <c r="S59" s="99">
        <v>6.1050720876226205E-3</v>
      </c>
      <c r="T59" s="99">
        <v>1.5170268103024409</v>
      </c>
      <c r="U59" s="49">
        <v>803.94379103366714</v>
      </c>
      <c r="V59" s="100">
        <v>71.559359819483447</v>
      </c>
      <c r="W59" t="s">
        <v>237</v>
      </c>
      <c r="Y59" s="14">
        <f t="shared" si="1"/>
        <v>2.8287272017017941</v>
      </c>
      <c r="Z59" s="6">
        <f t="shared" si="0"/>
        <v>0.10048421030539213</v>
      </c>
      <c r="AA59" s="249">
        <f t="shared" si="0"/>
        <v>2.4922706622923282E-2</v>
      </c>
      <c r="AB59" s="6">
        <f t="shared" si="0"/>
        <v>0.6149772614904454</v>
      </c>
      <c r="AC59" s="250">
        <f t="shared" si="0"/>
        <v>0.6149772614904454</v>
      </c>
      <c r="AD59" s="6">
        <f t="shared" si="0"/>
        <v>1.5187808291355921E-2</v>
      </c>
      <c r="AE59" s="14">
        <f t="shared" si="0"/>
        <v>3.7739623770262112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9.0759561354475993E-2</v>
      </c>
      <c r="E60" s="99">
        <v>1.4220367236208942</v>
      </c>
      <c r="F60" s="99">
        <v>3.6790818748514993</v>
      </c>
      <c r="G60" s="99">
        <v>5.8121391973606024E-2</v>
      </c>
      <c r="H60" s="99">
        <v>5.8121391973606024E-2</v>
      </c>
      <c r="I60" s="99">
        <v>3.1182126793839636E-3</v>
      </c>
      <c r="J60" s="99">
        <v>5.7007398627445235E-2</v>
      </c>
      <c r="K60" s="49">
        <v>34168.024456298182</v>
      </c>
      <c r="L60" s="100">
        <v>254.58502483723996</v>
      </c>
      <c r="M60" s="49" t="s">
        <v>238</v>
      </c>
      <c r="N60" s="99">
        <v>8.3828936687935493E-2</v>
      </c>
      <c r="O60" s="99">
        <v>1.3134464809360398</v>
      </c>
      <c r="P60" s="99">
        <v>3.3981380799329663</v>
      </c>
      <c r="Q60" s="99">
        <v>5.3683098675859957E-2</v>
      </c>
      <c r="R60" s="99">
        <v>5.3683098675859957E-2</v>
      </c>
      <c r="S60" s="99">
        <v>2.8800982439598859E-3</v>
      </c>
      <c r="T60" s="99">
        <v>5.2654172617905982E-2</v>
      </c>
      <c r="U60" s="49">
        <v>31558.869568705712</v>
      </c>
      <c r="V60" s="100">
        <v>235.14428243460176</v>
      </c>
      <c r="W60" t="s">
        <v>238</v>
      </c>
      <c r="Y60" s="14">
        <f t="shared" si="1"/>
        <v>5.312543689528197E-3</v>
      </c>
      <c r="Z60" s="6">
        <f t="shared" si="0"/>
        <v>8.3237866177467562E-2</v>
      </c>
      <c r="AA60" s="249">
        <f t="shared" si="0"/>
        <v>0.21535233209383492</v>
      </c>
      <c r="AB60" s="6">
        <f t="shared" si="0"/>
        <v>3.4020926230572588E-3</v>
      </c>
      <c r="AC60" s="250">
        <f t="shared" si="0"/>
        <v>3.4020926230572588E-3</v>
      </c>
      <c r="AD60" s="6">
        <f t="shared" si="0"/>
        <v>1.8252226922702187E-4</v>
      </c>
      <c r="AE60" s="14">
        <f t="shared" si="0"/>
        <v>3.3368858477819952E-3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2.8633429260180879E-2</v>
      </c>
      <c r="E61" s="99">
        <v>0.72286357178577254</v>
      </c>
      <c r="F61" s="99">
        <v>0.51095209980804113</v>
      </c>
      <c r="G61" s="99">
        <v>1.8336522794327254E-2</v>
      </c>
      <c r="H61" s="99">
        <v>1.8336522794327254E-2</v>
      </c>
      <c r="I61" s="99">
        <v>9.8375444791565735E-4</v>
      </c>
      <c r="J61" s="99">
        <v>1.7985072774102651E-2</v>
      </c>
      <c r="K61" s="49">
        <v>11124.067188036614</v>
      </c>
      <c r="L61" s="100">
        <v>82.885123340380915</v>
      </c>
      <c r="M61" s="49" t="s">
        <v>238</v>
      </c>
      <c r="N61" s="99">
        <v>2.8163782728379771E-2</v>
      </c>
      <c r="O61" s="99">
        <v>0.71100713760285517</v>
      </c>
      <c r="P61" s="99">
        <v>0.50257144517492502</v>
      </c>
      <c r="Q61" s="99">
        <v>1.8035766491007917E-2</v>
      </c>
      <c r="R61" s="99">
        <v>1.8035766491007917E-2</v>
      </c>
      <c r="S61" s="99">
        <v>9.6761887224257499E-4</v>
      </c>
      <c r="T61" s="99">
        <v>1.7690080966596931E-2</v>
      </c>
      <c r="U61" s="49">
        <v>10941.609839777277</v>
      </c>
      <c r="V61" s="100">
        <v>81.525638580067891</v>
      </c>
      <c r="W61" t="s">
        <v>238</v>
      </c>
      <c r="Y61" s="14">
        <f t="shared" si="1"/>
        <v>5.1480144404332118E-3</v>
      </c>
      <c r="Z61" s="6">
        <f t="shared" si="0"/>
        <v>0.12996389891696744</v>
      </c>
      <c r="AA61" s="249">
        <f t="shared" si="0"/>
        <v>9.1864259927797814E-2</v>
      </c>
      <c r="AB61" s="6">
        <f t="shared" si="0"/>
        <v>3.2967299611507709E-3</v>
      </c>
      <c r="AC61" s="250">
        <f t="shared" si="0"/>
        <v>3.2967299611507709E-3</v>
      </c>
      <c r="AD61" s="6">
        <f t="shared" si="0"/>
        <v>1.7686956241573892E-4</v>
      </c>
      <c r="AE61" s="14">
        <f t="shared" si="0"/>
        <v>3.2335426368953809E-3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6.066132818119827E-4</v>
      </c>
      <c r="E62" s="99">
        <v>1.5314220298198717E-2</v>
      </c>
      <c r="F62" s="99">
        <v>2.4590025522953734E-2</v>
      </c>
      <c r="G62" s="99">
        <v>3.4031600662663832E-4</v>
      </c>
      <c r="H62" s="99">
        <v>3.4031600662663832E-4</v>
      </c>
      <c r="I62" s="99">
        <v>2.0841321824387099E-5</v>
      </c>
      <c r="J62" s="99">
        <v>3.8102261241540253E-4</v>
      </c>
      <c r="K62" s="49">
        <v>233.10795663908152</v>
      </c>
      <c r="L62" s="100">
        <v>1.7015800331331914</v>
      </c>
      <c r="M62" s="49" t="s">
        <v>238</v>
      </c>
      <c r="N62" s="99">
        <v>5.7277619280917574E-4</v>
      </c>
      <c r="O62" s="99">
        <v>1.4459988037258297E-2</v>
      </c>
      <c r="P62" s="99">
        <v>2.3218385786157855E-2</v>
      </c>
      <c r="Q62" s="99">
        <v>3.2133306749462884E-4</v>
      </c>
      <c r="R62" s="99">
        <v>3.2133306749462884E-4</v>
      </c>
      <c r="S62" s="99">
        <v>1.9678786016728179E-5</v>
      </c>
      <c r="T62" s="99">
        <v>3.597690453819364E-4</v>
      </c>
      <c r="U62" s="49">
        <v>220.10511790713346</v>
      </c>
      <c r="V62" s="100">
        <v>1.6066653374731446</v>
      </c>
      <c r="W62" t="s">
        <v>238</v>
      </c>
      <c r="Y62" s="14">
        <f t="shared" si="1"/>
        <v>5.2045695098361221E-3</v>
      </c>
      <c r="Z62" s="6">
        <f t="shared" si="0"/>
        <v>0.13139165662980395</v>
      </c>
      <c r="AA62" s="249">
        <f t="shared" si="0"/>
        <v>0.21097542853096343</v>
      </c>
      <c r="AB62" s="6">
        <f t="shared" si="0"/>
        <v>2.9198145917734217E-3</v>
      </c>
      <c r="AC62" s="250">
        <f t="shared" si="0"/>
        <v>2.9198145917734217E-3</v>
      </c>
      <c r="AD62" s="6">
        <f t="shared" si="0"/>
        <v>1.7881261647928636E-4</v>
      </c>
      <c r="AE62" s="14">
        <f t="shared" si="0"/>
        <v>3.2690656973612927E-3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2.3376813315535219E-3</v>
      </c>
      <c r="E63" s="99">
        <v>3.662720105718266E-2</v>
      </c>
      <c r="F63" s="99">
        <v>9.4761597431113301E-2</v>
      </c>
      <c r="G63" s="99">
        <v>1.4970245663698636E-3</v>
      </c>
      <c r="H63" s="99">
        <v>1.4970245663698636E-3</v>
      </c>
      <c r="I63" s="99">
        <v>8.0315367985743215E-5</v>
      </c>
      <c r="J63" s="99">
        <v>1.468331595514442E-3</v>
      </c>
      <c r="K63" s="49">
        <v>819.6638609935211</v>
      </c>
      <c r="L63" s="100">
        <v>6.5573108879481685</v>
      </c>
      <c r="M63" s="49" t="s">
        <v>238</v>
      </c>
      <c r="N63" s="99">
        <v>1.9378098740717279E-3</v>
      </c>
      <c r="O63" s="99">
        <v>3.0361944936716866E-2</v>
      </c>
      <c r="P63" s="99">
        <v>7.8552177624137048E-2</v>
      </c>
      <c r="Q63" s="99">
        <v>1.2409514279312073E-3</v>
      </c>
      <c r="R63" s="99">
        <v>1.2409514279312073E-3</v>
      </c>
      <c r="S63" s="99">
        <v>6.6577044108509281E-5</v>
      </c>
      <c r="T63" s="99">
        <v>1.2171665255625258E-3</v>
      </c>
      <c r="U63" s="49">
        <v>679.45647758475752</v>
      </c>
      <c r="V63" s="100">
        <v>5.4356518206780597</v>
      </c>
      <c r="W63" t="s">
        <v>238</v>
      </c>
      <c r="Y63" s="14">
        <f t="shared" si="1"/>
        <v>5.7039999999999981E-3</v>
      </c>
      <c r="Z63" s="6">
        <f t="shared" si="0"/>
        <v>8.9371272298833654E-2</v>
      </c>
      <c r="AA63" s="249">
        <f t="shared" si="0"/>
        <v>0.23122063065279469</v>
      </c>
      <c r="AB63" s="6">
        <f t="shared" si="0"/>
        <v>3.6527767969550548E-3</v>
      </c>
      <c r="AC63" s="250">
        <f t="shared" si="0"/>
        <v>3.6527767969550548E-3</v>
      </c>
      <c r="AD63" s="6">
        <f t="shared" si="0"/>
        <v>1.9597147515663872E-4</v>
      </c>
      <c r="AE63" s="14">
        <f t="shared" si="0"/>
        <v>3.582765241680083E-3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6.4990552711092792E-4</v>
      </c>
      <c r="E64" s="99">
        <v>1.1107476281532223E-2</v>
      </c>
      <c r="F64" s="99">
        <v>7.0898784775737638E-5</v>
      </c>
      <c r="G64" s="99">
        <v>5.8529310125197171E-6</v>
      </c>
      <c r="H64" s="99">
        <v>5.8529310125197171E-6</v>
      </c>
      <c r="I64" s="99">
        <v>2.3632928258579197E-3</v>
      </c>
      <c r="J64" s="99">
        <v>4.7265856517158394E-3</v>
      </c>
      <c r="K64" s="49">
        <v>291.73882732240446</v>
      </c>
      <c r="L64" s="100">
        <v>287.42741608118678</v>
      </c>
      <c r="M64" s="49" t="s">
        <v>239</v>
      </c>
      <c r="N64" s="99">
        <v>6.4990552711092792E-4</v>
      </c>
      <c r="O64" s="99">
        <v>1.1107476281532223E-2</v>
      </c>
      <c r="P64" s="99">
        <v>7.0898784775737638E-5</v>
      </c>
      <c r="Q64" s="99">
        <v>5.8529310125197171E-6</v>
      </c>
      <c r="R64" s="99">
        <v>5.8529310125197171E-6</v>
      </c>
      <c r="S64" s="99">
        <v>2.3632928258579197E-3</v>
      </c>
      <c r="T64" s="99">
        <v>4.7265856517158394E-3</v>
      </c>
      <c r="U64" s="49">
        <v>291.73882732240446</v>
      </c>
      <c r="V64" s="100">
        <v>287.42741608118678</v>
      </c>
      <c r="W64" t="s">
        <v>239</v>
      </c>
      <c r="Y64" s="14">
        <f t="shared" si="1"/>
        <v>4.4553927434054482E-3</v>
      </c>
      <c r="Z64" s="6">
        <f t="shared" si="0"/>
        <v>7.6146712341838563E-2</v>
      </c>
      <c r="AA64" s="249">
        <f t="shared" si="0"/>
        <v>4.8604284473514008E-4</v>
      </c>
      <c r="AB64" s="6">
        <f t="shared" si="0"/>
        <v>4.0124456975701526E-5</v>
      </c>
      <c r="AC64" s="250">
        <f t="shared" si="0"/>
        <v>4.0124456975701526E-5</v>
      </c>
      <c r="AD64" s="6">
        <f t="shared" si="0"/>
        <v>1.6201428157837993E-2</v>
      </c>
      <c r="AE64" s="14">
        <f t="shared" si="0"/>
        <v>3.2402856315675986E-2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7.2943884387197504E-3</v>
      </c>
      <c r="E65" s="99">
        <v>0.13262524434035922</v>
      </c>
      <c r="F65" s="99">
        <v>7.9575146604215477E-4</v>
      </c>
      <c r="G65" s="99">
        <v>1.0079518569867288E-2</v>
      </c>
      <c r="H65" s="99">
        <v>1.0079518569867288E-2</v>
      </c>
      <c r="I65" s="99">
        <v>2.6525048868071825E-2</v>
      </c>
      <c r="J65" s="99">
        <v>5.305009773614365E-2</v>
      </c>
      <c r="K65" s="49">
        <v>2692.29246010929</v>
      </c>
      <c r="L65" s="100">
        <v>2652.5048868071826</v>
      </c>
      <c r="M65" s="49" t="s">
        <v>239</v>
      </c>
      <c r="N65" s="99">
        <v>7.2943884387197504E-3</v>
      </c>
      <c r="O65" s="99">
        <v>0.13262524434035922</v>
      </c>
      <c r="P65" s="99">
        <v>7.9575146604215477E-4</v>
      </c>
      <c r="Q65" s="99">
        <v>1.0079518569867288E-2</v>
      </c>
      <c r="R65" s="99">
        <v>1.0079518569867288E-2</v>
      </c>
      <c r="S65" s="99">
        <v>2.6525048868071825E-2</v>
      </c>
      <c r="T65" s="99">
        <v>5.305009773614365E-2</v>
      </c>
      <c r="U65" s="49">
        <v>2692.29246010929</v>
      </c>
      <c r="V65" s="100">
        <v>2652.5048868071826</v>
      </c>
      <c r="W65" t="s">
        <v>239</v>
      </c>
      <c r="Y65" s="14">
        <f t="shared" si="1"/>
        <v>5.418719211822659E-3</v>
      </c>
      <c r="Z65" s="6">
        <f t="shared" si="0"/>
        <v>9.8522167487684803E-2</v>
      </c>
      <c r="AA65" s="249">
        <f t="shared" si="0"/>
        <v>5.9113300492610844E-4</v>
      </c>
      <c r="AB65" s="6">
        <f t="shared" si="0"/>
        <v>7.4876847290640362E-3</v>
      </c>
      <c r="AC65" s="250">
        <f t="shared" si="0"/>
        <v>7.4876847290640362E-3</v>
      </c>
      <c r="AD65" s="6">
        <f t="shared" si="0"/>
        <v>1.970443349753695E-2</v>
      </c>
      <c r="AE65" s="14">
        <f t="shared" si="0"/>
        <v>3.9408866995073899E-2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0.13688842951172864</v>
      </c>
      <c r="E66" s="99">
        <v>6.4611338729535894E-2</v>
      </c>
      <c r="F66" s="99">
        <v>0.12730623944590758</v>
      </c>
      <c r="G66" s="99">
        <v>0.10937385517987115</v>
      </c>
      <c r="H66" s="99">
        <v>0.10937385517987115</v>
      </c>
      <c r="I66" s="99">
        <v>1.7329390734037279E-2</v>
      </c>
      <c r="J66" s="99">
        <v>1.7874206683493958</v>
      </c>
      <c r="K66" s="49">
        <v>416.1408257156549</v>
      </c>
      <c r="L66" s="100">
        <v>27.377685902345718</v>
      </c>
      <c r="M66" s="49" t="s">
        <v>237</v>
      </c>
      <c r="N66" s="99">
        <v>0.12001002206451225</v>
      </c>
      <c r="O66" s="99">
        <v>5.6644730414449763E-2</v>
      </c>
      <c r="P66" s="99">
        <v>0.11160932051999635</v>
      </c>
      <c r="Q66" s="99">
        <v>9.5888007629545274E-2</v>
      </c>
      <c r="R66" s="99">
        <v>9.5888007629545274E-2</v>
      </c>
      <c r="S66" s="99">
        <v>1.5192668743256929E-2</v>
      </c>
      <c r="T66" s="99">
        <v>1.5670308631073675</v>
      </c>
      <c r="U66" s="49">
        <v>364.83046707611709</v>
      </c>
      <c r="V66" s="100">
        <v>24.002004412902437</v>
      </c>
      <c r="W66" t="s">
        <v>237</v>
      </c>
      <c r="Y66" s="14">
        <f t="shared" si="1"/>
        <v>0.65789473684210553</v>
      </c>
      <c r="Z66" s="6">
        <f t="shared" si="1"/>
        <v>0.31052631578947371</v>
      </c>
      <c r="AA66" s="249">
        <f t="shared" si="1"/>
        <v>0.61184210526315796</v>
      </c>
      <c r="AB66" s="6">
        <f t="shared" si="1"/>
        <v>0.52565789473684221</v>
      </c>
      <c r="AC66" s="250">
        <f t="shared" si="1"/>
        <v>0.52565789473684221</v>
      </c>
      <c r="AD66" s="6">
        <f t="shared" si="1"/>
        <v>8.3286184210526346E-2</v>
      </c>
      <c r="AE66" s="14">
        <f t="shared" si="1"/>
        <v>8.5904605263157876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3.239935413804844E-4</v>
      </c>
      <c r="G67" s="99">
        <v>2.7835574146559892E-4</v>
      </c>
      <c r="H67" s="99">
        <v>2.7835574146559892E-4</v>
      </c>
      <c r="I67" s="99">
        <v>4.4103185345228465E-5</v>
      </c>
      <c r="J67" s="99">
        <v>4.5489738350276082E-3</v>
      </c>
      <c r="K67" s="49">
        <v>16.015711428952528</v>
      </c>
      <c r="L67" s="100">
        <v>1.0590756621469597</v>
      </c>
      <c r="M67" s="49" t="s">
        <v>237</v>
      </c>
      <c r="N67" s="99">
        <v>3.2922344900610868E-4</v>
      </c>
      <c r="O67" s="99">
        <v>1.5539346793088337E-4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4.1678042526928352E-5</v>
      </c>
      <c r="T67" s="99">
        <v>4.298835185397267E-3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1.0961826058757603E-5</v>
      </c>
      <c r="J68" s="99">
        <v>2.1293167390460891E-3</v>
      </c>
      <c r="K68" s="49">
        <v>9.6654102131207296</v>
      </c>
      <c r="L68" s="100">
        <v>0.79814120981799463</v>
      </c>
      <c r="M68" s="49" t="s">
        <v>237</v>
      </c>
      <c r="N68" s="99">
        <v>8.7269646582558823E-4</v>
      </c>
      <c r="O68" s="99">
        <v>3.5510956409239793E-5</v>
      </c>
      <c r="P68" s="99">
        <v>7.5369704121824456E-6</v>
      </c>
      <c r="Q68" s="99">
        <v>2.5766689106639573E-4</v>
      </c>
      <c r="R68" s="99">
        <v>2.5766689106639573E-4</v>
      </c>
      <c r="S68" s="99">
        <v>9.931887845632114E-6</v>
      </c>
      <c r="T68" s="99">
        <v>1.8733911971619836E-3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2.3729271934124715E-2</v>
      </c>
      <c r="F69" s="101">
        <v>1.6802202817214628E-2</v>
      </c>
      <c r="G69" s="101">
        <v>2.3655128992506411E-3</v>
      </c>
      <c r="H69" s="101">
        <v>2.3655128992506411E-3</v>
      </c>
      <c r="I69" s="101">
        <v>1.6537406597149254E-5</v>
      </c>
      <c r="J69" s="101">
        <v>5.648986028061233E-3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2.3729271934124715E-2</v>
      </c>
      <c r="P69" s="101">
        <v>1.6802202817214628E-2</v>
      </c>
      <c r="Q69" s="101">
        <v>2.3655128992506411E-3</v>
      </c>
      <c r="R69" s="101">
        <v>2.3655128992506411E-3</v>
      </c>
      <c r="S69" s="101">
        <v>1.6537406597149254E-5</v>
      </c>
      <c r="T69" s="101">
        <v>5.648986028061233E-3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0.37693099395384794</v>
      </c>
      <c r="AA69" s="253">
        <f t="shared" si="1"/>
        <v>0.26689697964980841</v>
      </c>
      <c r="AB69" s="252">
        <f t="shared" si="1"/>
        <v>3.757532598557925E-2</v>
      </c>
      <c r="AC69" s="254">
        <f t="shared" si="1"/>
        <v>3.757532598557925E-2</v>
      </c>
      <c r="AD69" s="252">
        <f t="shared" si="1"/>
        <v>2.626907864424674E-4</v>
      </c>
      <c r="AE69" s="251">
        <f t="shared" si="1"/>
        <v>8.9732121756607178E-2</v>
      </c>
    </row>
    <row r="70" spans="1:31" x14ac:dyDescent="0.25">
      <c r="A70" s="17" t="s">
        <v>236</v>
      </c>
      <c r="B70" s="17" t="s">
        <v>219</v>
      </c>
      <c r="C70" s="17"/>
      <c r="D70" s="103">
        <v>10.746577540334965</v>
      </c>
      <c r="E70" s="103">
        <v>2.9328103655509947</v>
      </c>
      <c r="F70" s="103">
        <v>4.5579732631345058</v>
      </c>
      <c r="G70" s="103">
        <v>3.0902370654750135</v>
      </c>
      <c r="H70" s="103">
        <v>3.0902370654750135</v>
      </c>
      <c r="I70" s="103">
        <v>0.15872504384334493</v>
      </c>
      <c r="J70" s="103">
        <v>32.848124135675896</v>
      </c>
      <c r="K70" s="93">
        <v>58312.203711857037</v>
      </c>
      <c r="L70" s="93"/>
      <c r="M70" s="93"/>
      <c r="N70" s="103">
        <v>9.677700628819597</v>
      </c>
      <c r="O70" s="103">
        <v>2.7368572880585886</v>
      </c>
      <c r="P70" s="103">
        <v>4.2228981803869097</v>
      </c>
      <c r="Q70" s="103">
        <v>2.7482133759921927</v>
      </c>
      <c r="R70" s="103">
        <v>2.7482133759921927</v>
      </c>
      <c r="S70" s="103">
        <v>0.14461943313597689</v>
      </c>
      <c r="T70" s="103">
        <v>28.974211401301286</v>
      </c>
      <c r="U70" s="93">
        <v>54297.515046897715</v>
      </c>
      <c r="Y70" s="14">
        <f t="shared" si="1"/>
        <v>0.35646937508874199</v>
      </c>
      <c r="Z70" s="6">
        <f t="shared" si="1"/>
        <v>0.10080967004455792</v>
      </c>
      <c r="AA70" s="249">
        <f t="shared" si="1"/>
        <v>0.15554664616749106</v>
      </c>
      <c r="AB70" s="6">
        <f t="shared" si="1"/>
        <v>0.10122796130240998</v>
      </c>
      <c r="AC70" s="250">
        <f t="shared" si="1"/>
        <v>0.10122796130240998</v>
      </c>
      <c r="AD70" s="6">
        <f t="shared" si="1"/>
        <v>5.3269263984205006E-3</v>
      </c>
      <c r="AE70" s="14">
        <f t="shared" si="1"/>
        <v>1.0672389473542483</v>
      </c>
    </row>
    <row r="71" spans="1:31" x14ac:dyDescent="0.25">
      <c r="R71" s="99"/>
      <c r="T71" s="1" t="s">
        <v>33</v>
      </c>
      <c r="U71" s="49">
        <f>SUM(U50:U60,U62:U64,U66)</f>
        <v>40514.679426273578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7.8373719825439094</v>
      </c>
      <c r="O74" s="99">
        <f t="shared" si="2"/>
        <v>0.20613020331733464</v>
      </c>
      <c r="P74" s="99">
        <f t="shared" si="2"/>
        <v>0.14469007252588847</v>
      </c>
      <c r="Q74" s="99">
        <f>SUM(Q50,Q51,Q54, Q59,Q66)</f>
        <v>1.5255094627729189</v>
      </c>
      <c r="R74" s="99">
        <f t="shared" ref="R74:U74" si="3">SUM(R50,R51,R54, R59,R66)</f>
        <v>1.5255094627729189</v>
      </c>
      <c r="S74" s="99">
        <f t="shared" si="3"/>
        <v>7.4586894957221678E-2</v>
      </c>
      <c r="T74" s="99">
        <f t="shared" si="3"/>
        <v>12.895998570526945</v>
      </c>
      <c r="U74" s="49">
        <f t="shared" si="3"/>
        <v>3020.2482553575933</v>
      </c>
      <c r="Y74" s="14">
        <f t="shared" ref="Y74:AE81" si="4">N74/$U74*2000</f>
        <v>5.1898859430785267</v>
      </c>
      <c r="Z74" s="6">
        <f t="shared" si="4"/>
        <v>0.13649884770345086</v>
      </c>
      <c r="AA74" s="249">
        <f t="shared" si="4"/>
        <v>9.5813363864526005E-2</v>
      </c>
      <c r="AB74" s="6">
        <f t="shared" si="4"/>
        <v>1.0101881261362078</v>
      </c>
      <c r="AC74" s="250">
        <f t="shared" si="4"/>
        <v>1.0101881261362078</v>
      </c>
      <c r="AD74" s="6">
        <f t="shared" si="4"/>
        <v>4.9391234528428321E-2</v>
      </c>
      <c r="AE74" s="14">
        <f t="shared" si="4"/>
        <v>8.5396944093260139</v>
      </c>
    </row>
    <row r="75" spans="1:31" x14ac:dyDescent="0.25">
      <c r="M75" s="1" t="s">
        <v>588</v>
      </c>
      <c r="N75" s="99">
        <f t="shared" ref="N75:U75" si="5">SUM(N52:N53,N55:N56)</f>
        <v>1.6662576600973487</v>
      </c>
      <c r="O75" s="99">
        <f t="shared" si="5"/>
        <v>0.20654081800692614</v>
      </c>
      <c r="P75" s="99">
        <f t="shared" si="5"/>
        <v>5.0771799689334166E-2</v>
      </c>
      <c r="Q75" s="99">
        <f t="shared" si="5"/>
        <v>1.0719448835108314</v>
      </c>
      <c r="R75" s="99">
        <f t="shared" si="5"/>
        <v>1.0719448835108314</v>
      </c>
      <c r="S75" s="99">
        <f t="shared" si="5"/>
        <v>3.5575619664272723E-2</v>
      </c>
      <c r="T75" s="99">
        <f t="shared" si="5"/>
        <v>15.720249027845743</v>
      </c>
      <c r="U75" s="49">
        <f t="shared" si="5"/>
        <v>4075.7398338036437</v>
      </c>
      <c r="Y75" s="14">
        <f t="shared" si="4"/>
        <v>0.81764672331517796</v>
      </c>
      <c r="Z75" s="6">
        <f t="shared" si="4"/>
        <v>0.10135132585937114</v>
      </c>
      <c r="AA75" s="249">
        <f t="shared" si="4"/>
        <v>2.49141514226397E-2</v>
      </c>
      <c r="AB75" s="6">
        <f t="shared" si="4"/>
        <v>0.52601241846707847</v>
      </c>
      <c r="AC75" s="250">
        <f t="shared" si="4"/>
        <v>0.52601241846707847</v>
      </c>
      <c r="AD75" s="6">
        <f t="shared" si="4"/>
        <v>1.7457257388812344E-2</v>
      </c>
      <c r="AE75" s="14">
        <f t="shared" si="4"/>
        <v>7.7140591249049262</v>
      </c>
    </row>
    <row r="76" spans="1:31" x14ac:dyDescent="0.25">
      <c r="M76" s="1" t="s">
        <v>589</v>
      </c>
      <c r="N76" s="99">
        <f t="shared" ref="N76:V76" si="6">SUM(N60,N62:N63)</f>
        <v>8.6339522754816406E-2</v>
      </c>
      <c r="O76" s="99">
        <f t="shared" si="6"/>
        <v>1.358268413910015</v>
      </c>
      <c r="P76" s="99">
        <f t="shared" si="6"/>
        <v>3.4999086433432609</v>
      </c>
      <c r="Q76" s="99">
        <f t="shared" si="6"/>
        <v>5.5245383171285793E-2</v>
      </c>
      <c r="R76" s="99">
        <f t="shared" si="6"/>
        <v>5.5245383171285793E-2</v>
      </c>
      <c r="S76" s="99">
        <f t="shared" si="6"/>
        <v>2.9663540740851235E-3</v>
      </c>
      <c r="T76" s="99">
        <f t="shared" si="6"/>
        <v>5.4231108188850442E-2</v>
      </c>
      <c r="U76" s="49">
        <f t="shared" si="6"/>
        <v>32458.431164197602</v>
      </c>
      <c r="V76" s="100">
        <f t="shared" si="6"/>
        <v>242.18659959275297</v>
      </c>
      <c r="W76" t="s">
        <v>238</v>
      </c>
      <c r="Y76" s="14">
        <f t="shared" si="4"/>
        <v>5.3200059065116427E-3</v>
      </c>
      <c r="Z76" s="6">
        <f t="shared" si="4"/>
        <v>8.3692795073115944E-2</v>
      </c>
      <c r="AA76" s="249">
        <f t="shared" si="4"/>
        <v>0.21565482482121567</v>
      </c>
      <c r="AB76" s="6">
        <f t="shared" si="4"/>
        <v>3.4040698326925135E-3</v>
      </c>
      <c r="AC76" s="250">
        <f t="shared" si="4"/>
        <v>3.4040698326925135E-3</v>
      </c>
      <c r="AD76" s="6">
        <f t="shared" si="4"/>
        <v>1.8277864750019591E-4</v>
      </c>
      <c r="AE76" s="14">
        <f t="shared" si="4"/>
        <v>3.341572974646329E-3</v>
      </c>
    </row>
    <row r="77" spans="1:31" x14ac:dyDescent="0.25">
      <c r="M77" s="1" t="s">
        <v>590</v>
      </c>
      <c r="N77" s="99">
        <f t="shared" ref="N77:U77" si="7">SUM(N64,N66)</f>
        <v>0.12065992759162318</v>
      </c>
      <c r="O77" s="99">
        <f t="shared" si="7"/>
        <v>6.775220669598199E-2</v>
      </c>
      <c r="P77" s="99">
        <f t="shared" si="7"/>
        <v>0.11168021930477209</v>
      </c>
      <c r="Q77" s="99">
        <f t="shared" si="7"/>
        <v>9.5893860560557792E-2</v>
      </c>
      <c r="R77" s="99">
        <f t="shared" si="7"/>
        <v>9.5893860560557792E-2</v>
      </c>
      <c r="S77" s="99">
        <f t="shared" si="7"/>
        <v>1.7555961569114847E-2</v>
      </c>
      <c r="T77" s="99">
        <f t="shared" si="7"/>
        <v>1.5717574487590833</v>
      </c>
      <c r="U77" s="49">
        <f t="shared" si="7"/>
        <v>656.56929439852161</v>
      </c>
      <c r="Y77" s="14">
        <f t="shared" si="4"/>
        <v>0.36754666604431713</v>
      </c>
      <c r="Z77" s="6">
        <f t="shared" si="4"/>
        <v>0.20638250150899701</v>
      </c>
      <c r="AA77" s="249">
        <f t="shared" si="4"/>
        <v>0.34019324466606848</v>
      </c>
      <c r="AB77" s="6">
        <f t="shared" si="4"/>
        <v>0.2921058336984993</v>
      </c>
      <c r="AC77" s="250">
        <f t="shared" si="4"/>
        <v>0.2921058336984993</v>
      </c>
      <c r="AD77" s="6">
        <f t="shared" si="4"/>
        <v>5.3477863551927865E-2</v>
      </c>
      <c r="AE77" s="14">
        <f t="shared" si="4"/>
        <v>4.7877884700622779</v>
      </c>
    </row>
    <row r="78" spans="1:31" x14ac:dyDescent="0.25">
      <c r="M78" s="1" t="s">
        <v>591</v>
      </c>
      <c r="N78" s="99">
        <f t="shared" ref="N78:V78" si="8">N61</f>
        <v>2.8163782728379771E-2</v>
      </c>
      <c r="O78" s="99">
        <f t="shared" si="8"/>
        <v>0.71100713760285517</v>
      </c>
      <c r="P78" s="99">
        <f t="shared" si="8"/>
        <v>0.50257144517492502</v>
      </c>
      <c r="Q78" s="99">
        <f t="shared" si="8"/>
        <v>1.8035766491007917E-2</v>
      </c>
      <c r="R78" s="99">
        <f t="shared" si="8"/>
        <v>1.8035766491007917E-2</v>
      </c>
      <c r="S78" s="99">
        <f t="shared" si="8"/>
        <v>9.6761887224257499E-4</v>
      </c>
      <c r="T78" s="99">
        <f t="shared" si="8"/>
        <v>1.7690080966596931E-2</v>
      </c>
      <c r="U78" s="49">
        <f t="shared" si="8"/>
        <v>10941.609839777277</v>
      </c>
      <c r="V78" s="100">
        <f t="shared" si="8"/>
        <v>81.525638580067891</v>
      </c>
      <c r="W78" t="s">
        <v>238</v>
      </c>
      <c r="Y78" s="14">
        <f t="shared" si="4"/>
        <v>5.1480144404332118E-3</v>
      </c>
      <c r="Z78" s="6">
        <f t="shared" si="4"/>
        <v>0.12996389891696744</v>
      </c>
      <c r="AA78" s="249">
        <f t="shared" si="4"/>
        <v>9.1864259927797814E-2</v>
      </c>
      <c r="AB78" s="6">
        <f t="shared" si="4"/>
        <v>3.2967299611507709E-3</v>
      </c>
      <c r="AC78" s="250">
        <f t="shared" si="4"/>
        <v>3.2967299611507709E-3</v>
      </c>
      <c r="AD78" s="6">
        <f t="shared" si="4"/>
        <v>1.7686956241573892E-4</v>
      </c>
      <c r="AE78" s="14">
        <f t="shared" si="4"/>
        <v>3.2335426368953809E-3</v>
      </c>
    </row>
    <row r="79" spans="1:31" x14ac:dyDescent="0.25">
      <c r="M79" s="1" t="s">
        <v>592</v>
      </c>
      <c r="N79" s="99">
        <f t="shared" ref="N79:V79" si="9">SUM(N50:N59,N68)</f>
        <v>9.4344592431426335</v>
      </c>
      <c r="O79" s="99">
        <f t="shared" si="9"/>
        <v>0.44331962010732157</v>
      </c>
      <c r="P79" s="99">
        <f t="shared" si="9"/>
        <v>9.0833740473119096E-2</v>
      </c>
      <c r="Q79" s="99">
        <f t="shared" si="9"/>
        <v>2.5663302847644673</v>
      </c>
      <c r="R79" s="99">
        <f t="shared" si="9"/>
        <v>2.5663302847644673</v>
      </c>
      <c r="S79" s="99">
        <f t="shared" si="9"/>
        <v>9.6546234303338446E-2</v>
      </c>
      <c r="T79" s="99">
        <f t="shared" si="9"/>
        <v>27.267534844437154</v>
      </c>
      <c r="U79" s="49">
        <f t="shared" si="9"/>
        <v>7407.5739920246497</v>
      </c>
      <c r="V79" s="100">
        <f t="shared" si="9"/>
        <v>659.08862034038259</v>
      </c>
      <c r="W79" t="s">
        <v>743</v>
      </c>
      <c r="Y79" s="14">
        <f t="shared" si="4"/>
        <v>2.5472467108125345</v>
      </c>
      <c r="Z79" s="6">
        <f t="shared" si="4"/>
        <v>0.11969360564865657</v>
      </c>
      <c r="AA79" s="249">
        <f t="shared" si="4"/>
        <v>2.4524558396828721E-2</v>
      </c>
      <c r="AB79" s="6">
        <f t="shared" si="4"/>
        <v>0.69289359445548626</v>
      </c>
      <c r="AC79" s="250">
        <f t="shared" si="4"/>
        <v>0.69289359445548626</v>
      </c>
      <c r="AD79" s="6">
        <f t="shared" si="4"/>
        <v>2.6066897045452335E-2</v>
      </c>
      <c r="AE79" s="14">
        <f t="shared" si="4"/>
        <v>7.3620688429962886</v>
      </c>
    </row>
    <row r="80" spans="1:31" x14ac:dyDescent="0.25">
      <c r="M80" s="1" t="s">
        <v>593</v>
      </c>
      <c r="N80" s="99">
        <f t="shared" ref="N80:U80" si="10">SUM(N65,N67,N69)</f>
        <v>8.0781526021460083E-3</v>
      </c>
      <c r="O80" s="99">
        <f t="shared" si="10"/>
        <v>0.15650990974241483</v>
      </c>
      <c r="P80" s="99">
        <f t="shared" si="10"/>
        <v>1.7904132090832463E-2</v>
      </c>
      <c r="Q80" s="99">
        <f t="shared" si="10"/>
        <v>1.2708081004873809E-2</v>
      </c>
      <c r="R80" s="99">
        <f t="shared" si="10"/>
        <v>1.2708081004873809E-2</v>
      </c>
      <c r="S80" s="99">
        <f t="shared" si="10"/>
        <v>2.6583264317195904E-2</v>
      </c>
      <c r="T80" s="99">
        <f t="shared" si="10"/>
        <v>6.2997918949602147E-2</v>
      </c>
      <c r="U80" s="49">
        <f t="shared" si="10"/>
        <v>2833.3307564996639</v>
      </c>
      <c r="Y80" s="14">
        <f t="shared" si="4"/>
        <v>5.7022305522323622E-3</v>
      </c>
      <c r="Z80" s="6">
        <f t="shared" si="4"/>
        <v>0.11047768382380413</v>
      </c>
      <c r="AA80" s="249">
        <f t="shared" si="4"/>
        <v>1.2638222381739488E-2</v>
      </c>
      <c r="AB80" s="6">
        <f t="shared" si="4"/>
        <v>8.970418279420047E-3</v>
      </c>
      <c r="AC80" s="250">
        <f t="shared" si="4"/>
        <v>8.970418279420047E-3</v>
      </c>
      <c r="AD80" s="6">
        <f t="shared" si="4"/>
        <v>1.8764674231000998E-2</v>
      </c>
      <c r="AE80" s="14">
        <f t="shared" si="4"/>
        <v>4.4469159701940798E-2</v>
      </c>
    </row>
    <row r="81" spans="13:31" x14ac:dyDescent="0.25">
      <c r="M81" s="1" t="s">
        <v>594</v>
      </c>
      <c r="N81" s="99">
        <f>SUM(N76:N80)</f>
        <v>9.6777006288195988</v>
      </c>
      <c r="O81" s="99">
        <f t="shared" ref="O81:U81" si="11">SUM(O76:O80)</f>
        <v>2.7368572880585886</v>
      </c>
      <c r="P81" s="99">
        <f t="shared" si="11"/>
        <v>4.2228981803869097</v>
      </c>
      <c r="Q81" s="99">
        <f t="shared" si="11"/>
        <v>2.7482133759921927</v>
      </c>
      <c r="R81" s="99">
        <f t="shared" si="11"/>
        <v>2.7482133759921927</v>
      </c>
      <c r="S81" s="99">
        <f t="shared" si="11"/>
        <v>0.14461943313597689</v>
      </c>
      <c r="T81" s="99">
        <f t="shared" si="11"/>
        <v>28.974211401301286</v>
      </c>
      <c r="U81" s="49">
        <f t="shared" si="11"/>
        <v>54297.515046897715</v>
      </c>
      <c r="Y81" s="14">
        <f t="shared" si="4"/>
        <v>0.35646937508874205</v>
      </c>
      <c r="Z81" s="6">
        <f t="shared" si="4"/>
        <v>0.10080967004455792</v>
      </c>
      <c r="AA81" s="249">
        <f t="shared" si="4"/>
        <v>0.15554664616749106</v>
      </c>
      <c r="AB81" s="6">
        <f t="shared" si="4"/>
        <v>0.10122796130240998</v>
      </c>
      <c r="AC81" s="250">
        <f t="shared" si="4"/>
        <v>0.10122796130240998</v>
      </c>
      <c r="AD81" s="6">
        <f t="shared" si="4"/>
        <v>5.3269263984205006E-3</v>
      </c>
      <c r="AE81" s="14">
        <f t="shared" si="4"/>
        <v>1.0672389473542483</v>
      </c>
    </row>
    <row r="83" spans="13:31" x14ac:dyDescent="0.25">
      <c r="V83" s="42">
        <f>V79/Lookup!B37</f>
        <v>391.67223255261786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74061.871061076279</v>
      </c>
      <c r="W84" t="s">
        <v>746</v>
      </c>
    </row>
  </sheetData>
  <sheetProtection algorithmName="SHA-512" hashValue="tX4pwTB2aFwkBpXjIwM+PyenM544z/qCkktNwJMrfnPK34baOubRYVdEq2E5OqgSW8W2TuL91lvrr2c3o/IddA==" saltValue="SSdkiKUogl38YBxagcA7FA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FFCC"/>
    <pageSetUpPr fitToPage="1"/>
  </sheetPr>
  <dimension ref="A1:W234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1614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2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ref="C103:H103" ca="1" si="2">C97*$E90*365/2000</f>
        <v>115.74654646448718</v>
      </c>
      <c r="D103" s="266">
        <f t="shared" ca="1" si="2"/>
        <v>81.814803332053529</v>
      </c>
      <c r="E103" s="14">
        <f t="shared" ca="1" si="2"/>
        <v>2.9360854114802706</v>
      </c>
      <c r="F103" s="424">
        <f t="shared" ca="1" si="2"/>
        <v>2.9360854114802706</v>
      </c>
      <c r="G103" s="14">
        <f t="shared" ca="1" si="2"/>
        <v>0.15752098232591652</v>
      </c>
      <c r="H103" s="14">
        <f t="shared" ca="1" si="2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ref="C104:H104" ca="1" si="3">C98*$E91*365/2000</f>
        <v>73.443948110933661</v>
      </c>
      <c r="D104" s="395">
        <f t="shared" ca="1" si="3"/>
        <v>15.048272690976701</v>
      </c>
      <c r="E104" s="251">
        <f t="shared" ca="1" si="3"/>
        <v>425.15786943312776</v>
      </c>
      <c r="F104" s="425">
        <f t="shared" ca="1" si="3"/>
        <v>425.15786943312776</v>
      </c>
      <c r="G104" s="251">
        <f t="shared" ca="1" si="3"/>
        <v>15.994544314853723</v>
      </c>
      <c r="H104" s="251">
        <f t="shared" ca="1" si="3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4">SUM(C102:C104)</f>
        <v>419.73917991333781</v>
      </c>
      <c r="D105" s="426">
        <f t="shared" ca="1" si="4"/>
        <v>690.93962516770989</v>
      </c>
      <c r="E105" s="397">
        <f t="shared" ca="1" si="4"/>
        <v>437.4713767072742</v>
      </c>
      <c r="F105" s="427">
        <f t="shared" ca="1" si="4"/>
        <v>437.4713767072742</v>
      </c>
      <c r="G105" s="397">
        <f t="shared" ca="1" si="4"/>
        <v>16.655575980301467</v>
      </c>
      <c r="H105" s="397">
        <f t="shared" ca="1" si="4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08">
        <v>0.12</v>
      </c>
      <c r="E120" s="14" t="s">
        <v>1556</v>
      </c>
    </row>
    <row r="121" spans="1:8" x14ac:dyDescent="0.25">
      <c r="B121" s="1"/>
      <c r="C121" s="326" t="s">
        <v>718</v>
      </c>
      <c r="D121" s="408">
        <f>1-1/(1+D120)</f>
        <v>0.10714285714285721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-1617.2703535942587</v>
      </c>
      <c r="D145" s="49">
        <f ca="1">B145+C145</f>
        <v>13477.252946618815</v>
      </c>
      <c r="E145" s="329">
        <f ca="1">-D145*$D$128</f>
        <v>-563.39131058285147</v>
      </c>
      <c r="F145" s="330"/>
      <c r="G145" s="329">
        <f ca="1">B145*$B$68</f>
        <v>514.14458302037144</v>
      </c>
      <c r="H145" s="49">
        <f ca="1">SUM(D145:G145)</f>
        <v>13428.006219056335</v>
      </c>
      <c r="I145" s="428">
        <f ca="1">H145/B145-1</f>
        <v>-0.11040541314300489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-522.86029632522798</v>
      </c>
      <c r="D146" s="49">
        <f ca="1">B146+C146</f>
        <v>4357.1691360435634</v>
      </c>
      <c r="E146" s="329">
        <f ca="1">-D146*$D$128</f>
        <v>-182.14329282901778</v>
      </c>
      <c r="F146" s="330"/>
      <c r="G146" s="330"/>
      <c r="H146" s="49">
        <f ca="1">SUM(D146:G146)</f>
        <v>4175.0258432145456</v>
      </c>
      <c r="I146" s="428">
        <f ca="1">H146/B146-1</f>
        <v>-0.14446707728400587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</f>
        <v>205.24468759255114</v>
      </c>
      <c r="G147" s="284"/>
      <c r="H147" s="94">
        <f ca="1">SUM(D147:G147)</f>
        <v>3719.6795312522117</v>
      </c>
      <c r="I147" s="429">
        <f ca="1">H147/B147-1</f>
        <v>0.10625672271040165</v>
      </c>
    </row>
    <row r="148" spans="1:9" x14ac:dyDescent="0.25">
      <c r="A148" t="s">
        <v>222</v>
      </c>
      <c r="B148" s="93">
        <f t="shared" ref="B148:H148" ca="1" si="5">SUM(B145:B147)</f>
        <v>23336.954474321119</v>
      </c>
      <c r="C148" s="93">
        <f t="shared" ca="1" si="5"/>
        <v>-2140.1306499194866</v>
      </c>
      <c r="D148" s="93">
        <f t="shared" ca="1" si="5"/>
        <v>21196.823824401632</v>
      </c>
      <c r="E148" s="93">
        <f t="shared" ca="1" si="5"/>
        <v>-593.501501491461</v>
      </c>
      <c r="F148" s="93">
        <f t="shared" ca="1" si="5"/>
        <v>205.24468759255114</v>
      </c>
      <c r="G148" s="93">
        <f t="shared" ca="1" si="5"/>
        <v>514.14458302037144</v>
      </c>
      <c r="H148" s="93">
        <f t="shared" ca="1" si="5"/>
        <v>21322.711593523094</v>
      </c>
      <c r="I148" s="430">
        <f ca="1">H148/B148-1</f>
        <v>-8.6311300089066956E-2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6">C$74</f>
        <v>8.0120704307407697E-2</v>
      </c>
      <c r="D152" s="99">
        <f t="shared" ca="1" si="6"/>
        <v>1.5892899872733278E-3</v>
      </c>
      <c r="E152" s="99">
        <f t="shared" ca="1" si="6"/>
        <v>4.6878672366259806E-4</v>
      </c>
      <c r="F152" s="99">
        <f t="shared" ca="1" si="6"/>
        <v>4.6878672366259806E-4</v>
      </c>
      <c r="G152" s="99">
        <f t="shared" ca="1" si="6"/>
        <v>1.8277905120752915E-4</v>
      </c>
      <c r="H152" s="99">
        <f t="shared" ca="1" si="6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6"/>
        <v>8.0120704307407697E-2</v>
      </c>
      <c r="D153" s="99">
        <f t="shared" ca="1" si="6"/>
        <v>1.5892899872733278E-3</v>
      </c>
      <c r="E153" s="99">
        <f t="shared" ca="1" si="6"/>
        <v>4.6878672366259806E-4</v>
      </c>
      <c r="F153" s="99">
        <f t="shared" ca="1" si="6"/>
        <v>4.6878672366259806E-4</v>
      </c>
      <c r="G153" s="99">
        <f t="shared" ca="1" si="6"/>
        <v>1.8277905120752915E-4</v>
      </c>
      <c r="H153" s="99">
        <f t="shared" ca="1" si="6"/>
        <v>3.3415803552541441E-3</v>
      </c>
    </row>
    <row r="154" spans="1:9" x14ac:dyDescent="0.25">
      <c r="A154" s="5" t="s">
        <v>486</v>
      </c>
      <c r="B154" s="101">
        <f t="shared" ref="B154:H154" ca="1" si="7">B26</f>
        <v>2.547060076839482</v>
      </c>
      <c r="C154" s="101">
        <f t="shared" ca="1" si="7"/>
        <v>0.11968605279763904</v>
      </c>
      <c r="D154" s="101">
        <f t="shared" ca="1" si="7"/>
        <v>2.4523032954125466E-2</v>
      </c>
      <c r="E154" s="101">
        <f t="shared" ca="1" si="7"/>
        <v>0.69284765480533428</v>
      </c>
      <c r="F154" s="101">
        <f t="shared" ca="1" si="7"/>
        <v>0.69284765480533428</v>
      </c>
      <c r="G154" s="101">
        <f t="shared" ca="1" si="7"/>
        <v>2.606510031909318E-2</v>
      </c>
      <c r="H154" s="101">
        <f t="shared" ca="1" si="7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13.037294508348674</v>
      </c>
      <c r="C158" s="421">
        <f t="shared" ref="C158:H158" ca="1" si="8">C152*$H145*365/2000</f>
        <v>196.34469011799555</v>
      </c>
      <c r="D158" s="422">
        <f t="shared" ca="1" si="8"/>
        <v>3.8947317395207133</v>
      </c>
      <c r="E158" s="421">
        <f t="shared" ca="1" si="8"/>
        <v>1.1488139649373148</v>
      </c>
      <c r="F158" s="423">
        <f t="shared" ca="1" si="8"/>
        <v>1.1488139649373148</v>
      </c>
      <c r="G158" s="421">
        <f t="shared" ca="1" si="8"/>
        <v>0.44792037812984503</v>
      </c>
      <c r="H158" s="421">
        <f t="shared" ca="1" si="8"/>
        <v>8.1889140270088152</v>
      </c>
    </row>
    <row r="159" spans="1:9" x14ac:dyDescent="0.25">
      <c r="A159" t="s">
        <v>739</v>
      </c>
      <c r="B159" s="14">
        <f ca="1">B153*$H146*365/2000</f>
        <v>4.0535460447366392</v>
      </c>
      <c r="C159" s="14">
        <f t="shared" ref="C159:H159" ca="1" si="9">C153*$H146*365/2000</f>
        <v>61.047347018446004</v>
      </c>
      <c r="D159" s="266">
        <f t="shared" ca="1" si="9"/>
        <v>1.2109471353841574</v>
      </c>
      <c r="E159" s="14">
        <f t="shared" ca="1" si="9"/>
        <v>0.35718839524011808</v>
      </c>
      <c r="F159" s="424">
        <f t="shared" ca="1" si="9"/>
        <v>0.35718839524011808</v>
      </c>
      <c r="G159" s="14">
        <f t="shared" ca="1" si="9"/>
        <v>0.13926707538611457</v>
      </c>
      <c r="H159" s="14">
        <f t="shared" ca="1" si="9"/>
        <v>2.5460911421164467</v>
      </c>
    </row>
    <row r="160" spans="1:9" x14ac:dyDescent="0.25">
      <c r="A160" s="5" t="s">
        <v>486</v>
      </c>
      <c r="B160" s="251">
        <f ca="1">B154*$H147*365/2000</f>
        <v>1729.0501199658352</v>
      </c>
      <c r="C160" s="251">
        <f t="shared" ref="C160:H160" ca="1" si="10">C154*$H147*365/2000</f>
        <v>81.247861340114284</v>
      </c>
      <c r="D160" s="395">
        <f t="shared" ca="1" si="10"/>
        <v>16.64725282957232</v>
      </c>
      <c r="E160" s="251">
        <f t="shared" ca="1" si="10"/>
        <v>470.33375127362876</v>
      </c>
      <c r="F160" s="425">
        <f t="shared" ca="1" si="10"/>
        <v>470.33375127362876</v>
      </c>
      <c r="G160" s="251">
        <f t="shared" ca="1" si="10"/>
        <v>17.694072174996368</v>
      </c>
      <c r="H160" s="251">
        <f t="shared" ca="1" si="10"/>
        <v>4997.3503196468482</v>
      </c>
    </row>
    <row r="161" spans="1:12" x14ac:dyDescent="0.25">
      <c r="A161" s="91" t="s">
        <v>222</v>
      </c>
      <c r="B161" s="397">
        <f ca="1">SUM(B158:B160)</f>
        <v>1746.1409605189206</v>
      </c>
      <c r="C161" s="397">
        <f t="shared" ref="C161:H161" ca="1" si="11">SUM(C158:C160)</f>
        <v>338.63989847655586</v>
      </c>
      <c r="D161" s="426">
        <f t="shared" ca="1" si="11"/>
        <v>21.752931704477191</v>
      </c>
      <c r="E161" s="397">
        <f t="shared" ca="1" si="11"/>
        <v>471.8397536338062</v>
      </c>
      <c r="F161" s="427">
        <f t="shared" ca="1" si="11"/>
        <v>471.8397536338062</v>
      </c>
      <c r="G161" s="397">
        <f t="shared" ca="1" si="11"/>
        <v>18.281259628512327</v>
      </c>
      <c r="H161" s="397">
        <f t="shared" ca="1" si="11"/>
        <v>5008.0853248159738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-163.92712883455238</v>
      </c>
      <c r="C168" s="396">
        <f t="shared" ref="C168:H168" ca="1" si="12">(C$105-C$161)*$I168</f>
        <v>81.099281436781951</v>
      </c>
      <c r="D168" s="419">
        <f t="shared" ca="1" si="12"/>
        <v>669.1866934632327</v>
      </c>
      <c r="E168" s="396">
        <f t="shared" ca="1" si="12"/>
        <v>-34.368376926531994</v>
      </c>
      <c r="F168" s="420">
        <f t="shared" ca="1" si="12"/>
        <v>-34.368376926531994</v>
      </c>
      <c r="G168" s="396">
        <f t="shared" ca="1" si="12"/>
        <v>-1.6256836482108596</v>
      </c>
      <c r="H168" s="396">
        <f t="shared" ca="1" si="12"/>
        <v>-478.64892625635821</v>
      </c>
      <c r="I168" s="2">
        <v>1</v>
      </c>
      <c r="L168" s="222" t="s">
        <v>622</v>
      </c>
    </row>
    <row r="169" spans="1:12" x14ac:dyDescent="0.25">
      <c r="A169" s="2">
        <f t="shared" ref="A169:A174" si="13">$B$4+I169-1</f>
        <v>2022</v>
      </c>
      <c r="B169" s="396">
        <f t="shared" ref="B169:H174" ca="1" si="14">B168</f>
        <v>-163.92712883455238</v>
      </c>
      <c r="C169" s="396">
        <f t="shared" ca="1" si="14"/>
        <v>81.099281436781951</v>
      </c>
      <c r="D169" s="419">
        <f t="shared" ca="1" si="14"/>
        <v>669.1866934632327</v>
      </c>
      <c r="E169" s="396">
        <f t="shared" ca="1" si="14"/>
        <v>-34.368376926531994</v>
      </c>
      <c r="F169" s="420">
        <f t="shared" ca="1" si="14"/>
        <v>-34.368376926531994</v>
      </c>
      <c r="G169" s="396">
        <f t="shared" ca="1" si="14"/>
        <v>-1.6256836482108596</v>
      </c>
      <c r="H169" s="396">
        <f t="shared" ca="1" si="14"/>
        <v>-478.64892625635821</v>
      </c>
      <c r="I169" s="2">
        <v>2</v>
      </c>
    </row>
    <row r="170" spans="1:12" x14ac:dyDescent="0.25">
      <c r="A170" s="2">
        <f t="shared" si="13"/>
        <v>2023</v>
      </c>
      <c r="B170" s="396">
        <f t="shared" ca="1" si="14"/>
        <v>-163.92712883455238</v>
      </c>
      <c r="C170" s="396">
        <f t="shared" ca="1" si="14"/>
        <v>81.099281436781951</v>
      </c>
      <c r="D170" s="419">
        <f t="shared" ca="1" si="14"/>
        <v>669.1866934632327</v>
      </c>
      <c r="E170" s="396">
        <f t="shared" ca="1" si="14"/>
        <v>-34.368376926531994</v>
      </c>
      <c r="F170" s="420">
        <f t="shared" ca="1" si="14"/>
        <v>-34.368376926531994</v>
      </c>
      <c r="G170" s="396">
        <f t="shared" ca="1" si="14"/>
        <v>-1.6256836482108596</v>
      </c>
      <c r="H170" s="396">
        <f t="shared" ca="1" si="14"/>
        <v>-478.64892625635821</v>
      </c>
      <c r="I170" s="2">
        <v>3</v>
      </c>
    </row>
    <row r="171" spans="1:12" x14ac:dyDescent="0.25">
      <c r="A171" s="2">
        <f t="shared" si="13"/>
        <v>2024</v>
      </c>
      <c r="B171" s="396">
        <f t="shared" ca="1" si="14"/>
        <v>-163.92712883455238</v>
      </c>
      <c r="C171" s="396">
        <f t="shared" ca="1" si="14"/>
        <v>81.099281436781951</v>
      </c>
      <c r="D171" s="419">
        <f t="shared" ca="1" si="14"/>
        <v>669.1866934632327</v>
      </c>
      <c r="E171" s="396">
        <f t="shared" ca="1" si="14"/>
        <v>-34.368376926531994</v>
      </c>
      <c r="F171" s="420">
        <f t="shared" ca="1" si="14"/>
        <v>-34.368376926531994</v>
      </c>
      <c r="G171" s="396">
        <f t="shared" ca="1" si="14"/>
        <v>-1.6256836482108596</v>
      </c>
      <c r="H171" s="396">
        <f t="shared" ca="1" si="14"/>
        <v>-478.64892625635821</v>
      </c>
      <c r="I171" s="2">
        <v>4</v>
      </c>
    </row>
    <row r="172" spans="1:12" x14ac:dyDescent="0.25">
      <c r="A172" s="2">
        <f t="shared" si="13"/>
        <v>2025</v>
      </c>
      <c r="B172" s="396">
        <f t="shared" ca="1" si="14"/>
        <v>-163.92712883455238</v>
      </c>
      <c r="C172" s="396">
        <f t="shared" ca="1" si="14"/>
        <v>81.099281436781951</v>
      </c>
      <c r="D172" s="419">
        <f t="shared" ca="1" si="14"/>
        <v>669.1866934632327</v>
      </c>
      <c r="E172" s="396">
        <f t="shared" ca="1" si="14"/>
        <v>-34.368376926531994</v>
      </c>
      <c r="F172" s="420">
        <f t="shared" ca="1" si="14"/>
        <v>-34.368376926531994</v>
      </c>
      <c r="G172" s="396">
        <f t="shared" ca="1" si="14"/>
        <v>-1.6256836482108596</v>
      </c>
      <c r="H172" s="396">
        <f t="shared" ca="1" si="14"/>
        <v>-478.64892625635821</v>
      </c>
      <c r="I172" s="2">
        <v>5</v>
      </c>
    </row>
    <row r="173" spans="1:12" x14ac:dyDescent="0.25">
      <c r="A173" s="2">
        <f t="shared" si="13"/>
        <v>2026</v>
      </c>
      <c r="B173" s="396">
        <f t="shared" ca="1" si="14"/>
        <v>-163.92712883455238</v>
      </c>
      <c r="C173" s="396">
        <f t="shared" ca="1" si="14"/>
        <v>81.099281436781951</v>
      </c>
      <c r="D173" s="419">
        <f t="shared" ca="1" si="14"/>
        <v>669.1866934632327</v>
      </c>
      <c r="E173" s="396">
        <f t="shared" ca="1" si="14"/>
        <v>-34.368376926531994</v>
      </c>
      <c r="F173" s="420">
        <f t="shared" ca="1" si="14"/>
        <v>-34.368376926531994</v>
      </c>
      <c r="G173" s="396">
        <f t="shared" ca="1" si="14"/>
        <v>-1.6256836482108596</v>
      </c>
      <c r="H173" s="396">
        <f t="shared" ca="1" si="14"/>
        <v>-478.64892625635821</v>
      </c>
      <c r="I173" s="2">
        <v>6</v>
      </c>
    </row>
    <row r="174" spans="1:12" x14ac:dyDescent="0.25">
      <c r="A174" s="2">
        <f t="shared" si="13"/>
        <v>2027</v>
      </c>
      <c r="B174" s="396">
        <f t="shared" ca="1" si="14"/>
        <v>-163.92712883455238</v>
      </c>
      <c r="C174" s="396">
        <f t="shared" ca="1" si="14"/>
        <v>81.099281436781951</v>
      </c>
      <c r="D174" s="419">
        <f t="shared" ca="1" si="14"/>
        <v>669.1866934632327</v>
      </c>
      <c r="E174" s="396">
        <f t="shared" ca="1" si="14"/>
        <v>-34.368376926531994</v>
      </c>
      <c r="F174" s="420">
        <f t="shared" ca="1" si="14"/>
        <v>-34.368376926531994</v>
      </c>
      <c r="G174" s="396">
        <f t="shared" ca="1" si="14"/>
        <v>-1.6256836482108596</v>
      </c>
      <c r="H174" s="396">
        <f t="shared" ca="1" si="14"/>
        <v>-478.64892625635821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5">G190*$N190*365</f>
        <v>117584086.17477356</v>
      </c>
      <c r="Q190" s="294">
        <f t="shared" ca="1" si="15"/>
        <v>3628.1502500764841</v>
      </c>
      <c r="R190">
        <v>1.5</v>
      </c>
      <c r="S190" s="320">
        <v>100</v>
      </c>
      <c r="T190" s="337">
        <f>S190/R190</f>
        <v>66.666666666666671</v>
      </c>
      <c r="U190" s="320">
        <f ca="1">T190*B190</f>
        <v>2160588.3268348621</v>
      </c>
      <c r="V190" s="302">
        <f ca="1">Q190+T190</f>
        <v>3694.8169167431506</v>
      </c>
      <c r="W190" s="294">
        <f ca="1">P190+U190</f>
        <v>119744674.50160842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5"/>
        <v>38587277.145092711</v>
      </c>
      <c r="Q191" s="294">
        <f t="shared" ca="1" si="15"/>
        <v>23937.516839387536</v>
      </c>
      <c r="R191">
        <v>1.5</v>
      </c>
      <c r="S191" s="320">
        <v>100</v>
      </c>
      <c r="T191" s="337">
        <f>S191/R191</f>
        <v>66.666666666666671</v>
      </c>
      <c r="U191" s="320">
        <f ca="1">T191*B191</f>
        <v>107466.66666666667</v>
      </c>
      <c r="V191" s="302">
        <f ca="1">Q191+T191</f>
        <v>24004.183506054203</v>
      </c>
      <c r="W191" s="294">
        <f ca="1">P191+U191</f>
        <v>38694743.811759375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5"/>
        <v>10645959.060877074</v>
      </c>
      <c r="Q192" s="312">
        <f t="shared" ca="1" si="15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2268054.9935015286</v>
      </c>
      <c r="V193" s="303"/>
      <c r="W193" s="343">
        <f ca="1">SUM(W190:W192)</f>
        <v>169085377.37424487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13428.006219056335</v>
      </c>
      <c r="F208" s="6">
        <f ca="1">E208/B208</f>
        <v>0.41433178337826759</v>
      </c>
      <c r="G208" s="311">
        <f ca="1">E208/L208</f>
        <v>100192.46869948455</v>
      </c>
      <c r="H208" s="14">
        <f ca="1">G208/B208</f>
        <v>3.0915180973341885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6">G208*$N208*365</f>
        <v>119475287.67393433</v>
      </c>
      <c r="Q208" s="294">
        <f t="shared" ca="1" si="16"/>
        <v>3686.5047724897154</v>
      </c>
      <c r="R208">
        <v>1.5</v>
      </c>
      <c r="S208" s="320">
        <v>100</v>
      </c>
      <c r="T208" s="337">
        <f>S208/R208</f>
        <v>66.666666666666671</v>
      </c>
      <c r="U208" s="320">
        <f ca="1">T208*B208</f>
        <v>2160588.3268348621</v>
      </c>
      <c r="V208" s="302">
        <f ca="1">Q208+T208</f>
        <v>3753.1714391563819</v>
      </c>
      <c r="W208" s="294">
        <f ca="1">P208+U208</f>
        <v>121635876.00076918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4175.0258432145456</v>
      </c>
      <c r="F209" s="6">
        <f ca="1">E209/B209</f>
        <v>2.5899664039792465</v>
      </c>
      <c r="G209" s="49">
        <f ca="1">E209/L209</f>
        <v>31108.004483852135</v>
      </c>
      <c r="H209" s="14">
        <f ca="1">G209/B209</f>
        <v>19.297769530925642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6"/>
        <v>37094981.618008509</v>
      </c>
      <c r="Q209" s="294">
        <f t="shared" ca="1" si="16"/>
        <v>23011.775197275747</v>
      </c>
      <c r="R209">
        <v>1.5</v>
      </c>
      <c r="S209" s="320">
        <v>100</v>
      </c>
      <c r="T209" s="337">
        <f>S209/R209</f>
        <v>66.666666666666671</v>
      </c>
      <c r="U209" s="320">
        <f ca="1">T209*B209</f>
        <v>107466.66666666667</v>
      </c>
      <c r="V209" s="302">
        <f ca="1">Q209+T209</f>
        <v>23078.441863942415</v>
      </c>
      <c r="W209" s="294">
        <f ca="1">P209+U209</f>
        <v>37202448.284675173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3719.6795312522117</v>
      </c>
      <c r="F210" s="252">
        <f ca="1">E210/B210</f>
        <v>0.26494638133678372</v>
      </c>
      <c r="G210" s="94">
        <f ca="1">E210/L210</f>
        <v>330.95674408647682</v>
      </c>
      <c r="H210" s="252">
        <f ca="1">G210/B210</f>
        <v>2.3573480185051596E-2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6"/>
        <v>11777163.780794976</v>
      </c>
      <c r="Q210" s="312">
        <f t="shared" ca="1" si="16"/>
        <v>838.86713893382739</v>
      </c>
      <c r="R210" s="284"/>
      <c r="S210" s="340"/>
      <c r="T210" s="341"/>
      <c r="U210" s="340"/>
      <c r="V210" s="338">
        <f ca="1">Q210+T210</f>
        <v>838.86713893382739</v>
      </c>
      <c r="W210" s="312">
        <f ca="1">P210+U210</f>
        <v>11777163.780794976</v>
      </c>
    </row>
    <row r="211" spans="1:23" x14ac:dyDescent="0.25">
      <c r="A211" s="91" t="s">
        <v>222</v>
      </c>
      <c r="B211" s="93"/>
      <c r="E211" s="93">
        <f ca="1">SUM(E208:E210)</f>
        <v>21322.711593523094</v>
      </c>
      <c r="G211" s="93">
        <f ca="1">G208*365</f>
        <v>36570251.075311862</v>
      </c>
      <c r="H211" s="342" t="s">
        <v>1473</v>
      </c>
      <c r="P211" s="295">
        <f ca="1">SUM(P208:P210)</f>
        <v>168347433.07273781</v>
      </c>
      <c r="Q211" s="303"/>
      <c r="T211" s="303"/>
      <c r="U211" s="295">
        <f ca="1">SUM(U208:U210)</f>
        <v>2268054.9935015286</v>
      </c>
      <c r="V211" s="303"/>
      <c r="W211" s="343">
        <f ca="1">SUM(W208:W210)</f>
        <v>170615488.06623933</v>
      </c>
    </row>
    <row r="212" spans="1:23" x14ac:dyDescent="0.25">
      <c r="G212" s="93">
        <f ca="1">G209*365</f>
        <v>11354421.63660603</v>
      </c>
      <c r="H212" s="342" t="s">
        <v>1472</v>
      </c>
    </row>
    <row r="213" spans="1:23" x14ac:dyDescent="0.25">
      <c r="G213" s="93">
        <f ca="1">G210*365</f>
        <v>120799.21159156403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169085377.37424487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170694670.49924281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1609293.1249979436</v>
      </c>
      <c r="D228" s="220" t="s">
        <v>669</v>
      </c>
    </row>
    <row r="230" spans="1:4" x14ac:dyDescent="0.25">
      <c r="A230" t="s">
        <v>637</v>
      </c>
      <c r="C230" s="344">
        <f ca="1">F$168</f>
        <v>-34.368376926531994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669.1866934632327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-46824.821795863973</v>
      </c>
      <c r="D233" s="345" t="s">
        <v>638</v>
      </c>
    </row>
    <row r="234" spans="1:4" x14ac:dyDescent="0.25">
      <c r="C234" s="295">
        <f ca="1">C$228/C231</f>
        <v>2404.8492606291843</v>
      </c>
      <c r="D234" s="345" t="s">
        <v>788</v>
      </c>
    </row>
  </sheetData>
  <sheetProtection algorithmName="SHA-512" hashValue="c7kgq84rTj6Nb8Ge5W1uH4oQ+PjXR9azRfMjR19KE8aZZaFrHRfhXDY/AWqAIycBy9AWCeoZousoeo/Pdo7thA==" saltValue="YMgI6/5Kppl5+xtx63/kMA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B150:H150"/>
    <mergeCell ref="B156:H156"/>
    <mergeCell ref="B166:H166"/>
    <mergeCell ref="A179:D179"/>
    <mergeCell ref="E187:F187"/>
    <mergeCell ref="P187:Q187"/>
    <mergeCell ref="R187:U187"/>
    <mergeCell ref="V187:W187"/>
    <mergeCell ref="L187:M187"/>
    <mergeCell ref="V205:W205"/>
    <mergeCell ref="V188:W188"/>
    <mergeCell ref="J210:K210"/>
    <mergeCell ref="T206:U206"/>
    <mergeCell ref="V206:W206"/>
    <mergeCell ref="L206:M206"/>
    <mergeCell ref="N206:O206"/>
    <mergeCell ref="P206:Q206"/>
    <mergeCell ref="J190:K190"/>
    <mergeCell ref="J191:K191"/>
    <mergeCell ref="J192:K192"/>
    <mergeCell ref="L205:M205"/>
    <mergeCell ref="P205:Q205"/>
    <mergeCell ref="P188:Q188"/>
    <mergeCell ref="T188:U188"/>
    <mergeCell ref="J189:K189"/>
    <mergeCell ref="N188:O188"/>
    <mergeCell ref="J209:K209"/>
    <mergeCell ref="B206:D206"/>
    <mergeCell ref="E206:F206"/>
    <mergeCell ref="G206:I206"/>
    <mergeCell ref="J208:K208"/>
    <mergeCell ref="L188:M188"/>
    <mergeCell ref="C189:D189"/>
    <mergeCell ref="B188:D188"/>
    <mergeCell ref="E188:F188"/>
    <mergeCell ref="G188:I188"/>
    <mergeCell ref="R205:U205"/>
    <mergeCell ref="A197:D197"/>
    <mergeCell ref="E205:F205"/>
    <mergeCell ref="C207:D207"/>
    <mergeCell ref="J207:K207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00000000-0002-0000-1100-000000000000}">
          <x14:formula1>
            <xm:f>CostData!$AB$10:$AB$13</xm:f>
          </x14:formula1>
          <xm:sqref>B219:C219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080BD-3959-4C07-923B-722319D26E5C}">
  <sheetPr codeName="Sheet26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1544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6.0279472439316262</v>
      </c>
      <c r="E6" s="99">
        <v>6.8439575695293561E-2</v>
      </c>
      <c r="F6" s="99">
        <v>1.0529165491583628E-2</v>
      </c>
      <c r="G6" s="99">
        <v>0.91077281502198393</v>
      </c>
      <c r="H6" s="99">
        <v>0.91077281502198393</v>
      </c>
      <c r="I6" s="99">
        <v>4.7381244712126333E-2</v>
      </c>
      <c r="J6" s="99">
        <v>6.6491680079350619</v>
      </c>
      <c r="K6" s="49">
        <v>847.0721127655579</v>
      </c>
      <c r="L6" s="100">
        <v>75.208946172216315</v>
      </c>
      <c r="M6" s="49" t="s">
        <v>237</v>
      </c>
      <c r="N6" s="99">
        <v>5.5543133989891418</v>
      </c>
      <c r="O6" s="99">
        <v>6.3062073525640916E-2</v>
      </c>
      <c r="P6" s="99">
        <v>9.7018574654832157E-3</v>
      </c>
      <c r="Q6" s="99">
        <v>0.83921067076429845</v>
      </c>
      <c r="R6" s="99">
        <v>0.83921067076429845</v>
      </c>
      <c r="S6" s="99">
        <v>4.3658358594674485E-2</v>
      </c>
      <c r="T6" s="99">
        <v>6.1267229894526505</v>
      </c>
      <c r="U6" s="49">
        <v>780.51512321715086</v>
      </c>
      <c r="V6" s="100">
        <v>69.29955431655938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0.12433493050232694</v>
      </c>
      <c r="E7" s="99">
        <v>6.5686378378587811E-3</v>
      </c>
      <c r="F7" s="99">
        <v>9.3837683397982573E-4</v>
      </c>
      <c r="G7" s="99">
        <v>7.1785827799456678E-2</v>
      </c>
      <c r="H7" s="99">
        <v>7.1785827799456678E-2</v>
      </c>
      <c r="I7" s="99">
        <v>3.9881015444142576E-3</v>
      </c>
      <c r="J7" s="99">
        <v>0.54144343320635946</v>
      </c>
      <c r="K7" s="49">
        <v>75.492483042926679</v>
      </c>
      <c r="L7" s="100">
        <v>6.7027470365487467</v>
      </c>
      <c r="M7" s="49" t="s">
        <v>237</v>
      </c>
      <c r="N7" s="99">
        <v>0.1080509124284761</v>
      </c>
      <c r="O7" s="99">
        <v>5.7083500905610015E-3</v>
      </c>
      <c r="P7" s="99">
        <v>8.1547858436585715E-4</v>
      </c>
      <c r="Q7" s="99">
        <v>6.2384111703988124E-2</v>
      </c>
      <c r="R7" s="99">
        <v>6.2384111703988124E-2</v>
      </c>
      <c r="S7" s="99">
        <v>3.4657839835548947E-3</v>
      </c>
      <c r="T7" s="99">
        <v>0.47053114317909983</v>
      </c>
      <c r="U7" s="49">
        <v>65.60531011940229</v>
      </c>
      <c r="V7" s="100">
        <v>5.8248951453172086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5.9270216658167223E-2</v>
      </c>
      <c r="E8" s="99">
        <v>9.8783694430278676E-3</v>
      </c>
      <c r="F8" s="99">
        <v>1.9756738886055739E-3</v>
      </c>
      <c r="G8" s="99">
        <v>5.9270216658167223E-2</v>
      </c>
      <c r="H8" s="99">
        <v>5.9270216658167223E-2</v>
      </c>
      <c r="I8" s="99">
        <v>4.4452662493625408E-3</v>
      </c>
      <c r="J8" s="99">
        <v>0.69543720878916171</v>
      </c>
      <c r="K8" s="49">
        <v>158.94310487327721</v>
      </c>
      <c r="L8" s="100">
        <v>14.112072914112936</v>
      </c>
      <c r="M8" s="49" t="s">
        <v>237</v>
      </c>
      <c r="N8" s="99">
        <v>5.1507657292079942E-2</v>
      </c>
      <c r="O8" s="99">
        <v>8.5846095486799921E-3</v>
      </c>
      <c r="P8" s="99">
        <v>1.7169219097359987E-3</v>
      </c>
      <c r="Q8" s="99">
        <v>5.1507657292079942E-2</v>
      </c>
      <c r="R8" s="99">
        <v>5.1507657292079942E-2</v>
      </c>
      <c r="S8" s="99">
        <v>3.8630742969059961E-3</v>
      </c>
      <c r="T8" s="99">
        <v>0.6043565122270711</v>
      </c>
      <c r="U8" s="49">
        <v>138.12648976750074</v>
      </c>
      <c r="V8" s="100">
        <v>12.2638292269649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4.4606262594127678E-2</v>
      </c>
      <c r="E9" s="99">
        <v>5.9475016792170212E-3</v>
      </c>
      <c r="F9" s="99">
        <v>1.1895003358434045E-3</v>
      </c>
      <c r="G9" s="99">
        <v>3.8658760914910648E-2</v>
      </c>
      <c r="H9" s="99">
        <v>3.8658760914910648E-2</v>
      </c>
      <c r="I9" s="99">
        <v>2.6763757556476607E-3</v>
      </c>
      <c r="J9" s="99">
        <v>0.31819133983811076</v>
      </c>
      <c r="K9" s="49">
        <v>95.69538663093681</v>
      </c>
      <c r="L9" s="100">
        <v>8.4965011521368528</v>
      </c>
      <c r="M9" s="49" t="s">
        <v>237</v>
      </c>
      <c r="N9" s="99">
        <v>3.8764226222248122E-2</v>
      </c>
      <c r="O9" s="99">
        <v>5.1685634962997497E-3</v>
      </c>
      <c r="P9" s="99">
        <v>1.0337126992599499E-3</v>
      </c>
      <c r="Q9" s="99">
        <v>3.3595662725948369E-2</v>
      </c>
      <c r="R9" s="99">
        <v>3.3595662725948369E-2</v>
      </c>
      <c r="S9" s="99">
        <v>2.3258535733348879E-3</v>
      </c>
      <c r="T9" s="99">
        <v>0.2765181470520367</v>
      </c>
      <c r="U9" s="49">
        <v>83.162260186207348</v>
      </c>
      <c r="V9" s="100">
        <v>7.3837231277561512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2.5232805170380468</v>
      </c>
      <c r="E10" s="99">
        <v>6.9135154990894052E-2</v>
      </c>
      <c r="F10" s="99">
        <v>1.904362654368337E-2</v>
      </c>
      <c r="G10" s="99">
        <v>0.57807068274367968</v>
      </c>
      <c r="H10" s="99">
        <v>0.57807068274367968</v>
      </c>
      <c r="I10" s="99">
        <v>1.8902158356553088E-2</v>
      </c>
      <c r="J10" s="99">
        <v>5.7688211214199479</v>
      </c>
      <c r="K10" s="49">
        <v>1532.0611100633307</v>
      </c>
      <c r="L10" s="100">
        <v>136.02702747834351</v>
      </c>
      <c r="M10" s="49" t="s">
        <v>237</v>
      </c>
      <c r="N10" s="99">
        <v>2.1928090607961166</v>
      </c>
      <c r="O10" s="99">
        <v>6.0080594789172402E-2</v>
      </c>
      <c r="P10" s="99">
        <v>1.6549502345631063E-2</v>
      </c>
      <c r="Q10" s="99">
        <v>0.5023613594848777</v>
      </c>
      <c r="R10" s="99">
        <v>0.5023613594848777</v>
      </c>
      <c r="S10" s="99">
        <v>1.6426562101588039E-2</v>
      </c>
      <c r="T10" s="99">
        <v>5.0132845475344894</v>
      </c>
      <c r="U10" s="49">
        <v>1331.4086409163097</v>
      </c>
      <c r="V10" s="100">
        <v>118.21170747904462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1.2028428562267812</v>
      </c>
      <c r="E11" s="99">
        <v>0.16126510527190271</v>
      </c>
      <c r="F11" s="99">
        <v>4.0094761874226031E-2</v>
      </c>
      <c r="G11" s="99">
        <v>0.79439002539434578</v>
      </c>
      <c r="H11" s="99">
        <v>0.79439002539434578</v>
      </c>
      <c r="I11" s="99">
        <v>2.5033338625128999E-2</v>
      </c>
      <c r="J11" s="99">
        <v>12.393385969236922</v>
      </c>
      <c r="K11" s="49">
        <v>3225.6264448289512</v>
      </c>
      <c r="L11" s="100">
        <v>286.39352187947765</v>
      </c>
      <c r="M11" s="49" t="s">
        <v>237</v>
      </c>
      <c r="N11" s="99">
        <v>1.0453077634602908</v>
      </c>
      <c r="O11" s="99">
        <v>0.14014438016014527</v>
      </c>
      <c r="P11" s="99">
        <v>3.4843592115343019E-2</v>
      </c>
      <c r="Q11" s="99">
        <v>0.69034958013132908</v>
      </c>
      <c r="R11" s="99">
        <v>0.69034958013132908</v>
      </c>
      <c r="S11" s="99">
        <v>2.1754747991157487E-2</v>
      </c>
      <c r="T11" s="99">
        <v>10.770236945033416</v>
      </c>
      <c r="U11" s="49">
        <v>2803.1694641970876</v>
      </c>
      <c r="V11" s="100">
        <v>248.88485663409904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0.90524933650515005</v>
      </c>
      <c r="E12" s="99">
        <v>9.7093400883148689E-2</v>
      </c>
      <c r="F12" s="99">
        <v>2.4139982306803993E-2</v>
      </c>
      <c r="G12" s="99">
        <v>0.53069531060591146</v>
      </c>
      <c r="H12" s="99">
        <v>0.53069531060591146</v>
      </c>
      <c r="I12" s="99">
        <v>1.5071902743468087E-2</v>
      </c>
      <c r="J12" s="99">
        <v>7.4617257724902579</v>
      </c>
      <c r="K12" s="49">
        <v>1942.0632937237779</v>
      </c>
      <c r="L12" s="100">
        <v>172.42986933408059</v>
      </c>
      <c r="M12" s="49" t="s">
        <v>237</v>
      </c>
      <c r="N12" s="99">
        <v>0.78668976119163492</v>
      </c>
      <c r="O12" s="99">
        <v>8.4377177948490409E-2</v>
      </c>
      <c r="P12" s="99">
        <v>2.0978393631776927E-2</v>
      </c>
      <c r="Q12" s="99">
        <v>0.46119069115021621</v>
      </c>
      <c r="R12" s="99">
        <v>0.46119069115021621</v>
      </c>
      <c r="S12" s="99">
        <v>1.3097951129948162E-2</v>
      </c>
      <c r="T12" s="99">
        <v>6.4844712161845708</v>
      </c>
      <c r="U12" s="49">
        <v>1687.7132599256056</v>
      </c>
      <c r="V12" s="100">
        <v>149.84690654668157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1.516829903712673E-2</v>
      </c>
      <c r="E13" s="99">
        <v>2.6488575217890487E-2</v>
      </c>
      <c r="F13" s="99">
        <v>2.1169690483828557E-3</v>
      </c>
      <c r="G13" s="99">
        <v>1.9581963697541421E-2</v>
      </c>
      <c r="H13" s="99">
        <v>1.9581963697541421E-2</v>
      </c>
      <c r="I13" s="99">
        <v>4.7552417249299917E-4</v>
      </c>
      <c r="J13" s="99">
        <v>6.5705426839182901E-2</v>
      </c>
      <c r="K13" s="49">
        <v>203.38178941640936</v>
      </c>
      <c r="L13" s="100">
        <v>18.057648011440605</v>
      </c>
      <c r="M13" s="49" t="s">
        <v>237</v>
      </c>
      <c r="N13" s="99">
        <v>1.3181722500088955E-2</v>
      </c>
      <c r="O13" s="99">
        <v>2.301939374285349E-2</v>
      </c>
      <c r="P13" s="99">
        <v>1.8397117876406384E-3</v>
      </c>
      <c r="Q13" s="99">
        <v>1.7017334035675909E-2</v>
      </c>
      <c r="R13" s="99">
        <v>1.7017334035675909E-2</v>
      </c>
      <c r="S13" s="99">
        <v>4.1324526029877848E-4</v>
      </c>
      <c r="T13" s="99">
        <v>5.7100054608896313E-2</v>
      </c>
      <c r="U13" s="49">
        <v>176.74508546387892</v>
      </c>
      <c r="V13" s="100">
        <v>15.692656408505405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5.1163144061674437E-2</v>
      </c>
      <c r="E14" s="99">
        <v>8.9346787437686703E-2</v>
      </c>
      <c r="F14" s="99">
        <v>7.1406023926223168E-3</v>
      </c>
      <c r="G14" s="99">
        <v>6.6050572131756427E-2</v>
      </c>
      <c r="H14" s="99">
        <v>6.6050572131756427E-2</v>
      </c>
      <c r="I14" s="99">
        <v>1.603957812442788E-3</v>
      </c>
      <c r="J14" s="99">
        <v>0.2216264467610152</v>
      </c>
      <c r="K14" s="49">
        <v>686.01309652212558</v>
      </c>
      <c r="L14" s="100">
        <v>60.90900794894619</v>
      </c>
      <c r="M14" s="49" t="s">
        <v>237</v>
      </c>
      <c r="N14" s="99">
        <v>4.4462359662235315E-2</v>
      </c>
      <c r="O14" s="99">
        <v>7.7645130505095541E-2</v>
      </c>
      <c r="P14" s="99">
        <v>6.2054050353722726E-3</v>
      </c>
      <c r="Q14" s="99">
        <v>5.7399996577193517E-2</v>
      </c>
      <c r="R14" s="99">
        <v>5.7399996577193517E-2</v>
      </c>
      <c r="S14" s="99">
        <v>1.3938891060704967E-3</v>
      </c>
      <c r="T14" s="99">
        <v>0.19260025878536693</v>
      </c>
      <c r="U14" s="49">
        <v>596.16666625886501</v>
      </c>
      <c r="V14" s="100">
        <v>52.931817771625902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1.2969853671370719</v>
      </c>
      <c r="E15" s="99">
        <v>4.6072505795543638E-2</v>
      </c>
      <c r="F15" s="99">
        <v>1.1427183851427949E-2</v>
      </c>
      <c r="G15" s="99">
        <v>0.28197010612945689</v>
      </c>
      <c r="H15" s="99">
        <v>0.28197010612945689</v>
      </c>
      <c r="I15" s="99">
        <v>6.9636849749671768E-3</v>
      </c>
      <c r="J15" s="99">
        <v>1.7303803548762453</v>
      </c>
      <c r="K15" s="49">
        <v>919.31775369347645</v>
      </c>
      <c r="L15" s="100">
        <v>81.623416012317151</v>
      </c>
      <c r="M15" s="49" t="s">
        <v>237</v>
      </c>
      <c r="N15" s="99">
        <v>1.1857449763891064</v>
      </c>
      <c r="O15" s="99">
        <v>4.2120939588788944E-2</v>
      </c>
      <c r="P15" s="99">
        <v>1.044709230298772E-2</v>
      </c>
      <c r="Q15" s="99">
        <v>0.25778597454258834</v>
      </c>
      <c r="R15" s="99">
        <v>0.25778597454258834</v>
      </c>
      <c r="S15" s="99">
        <v>6.3664206901965547E-3</v>
      </c>
      <c r="T15" s="99">
        <v>1.5819683591079894</v>
      </c>
      <c r="U15" s="49">
        <v>840.46931890493181</v>
      </c>
      <c r="V15" s="100">
        <v>74.622704268408668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0.10280635607074208</v>
      </c>
      <c r="E16" s="99">
        <v>1.610788015857143</v>
      </c>
      <c r="F16" s="99">
        <v>4.1674176868500608</v>
      </c>
      <c r="G16" s="99">
        <v>6.5836022446477252E-2</v>
      </c>
      <c r="H16" s="99">
        <v>6.5836022446477252E-2</v>
      </c>
      <c r="I16" s="99">
        <v>3.5321026042535045E-3</v>
      </c>
      <c r="J16" s="99">
        <v>6.4574165349586404E-2</v>
      </c>
      <c r="K16" s="49">
        <v>38703.251052179949</v>
      </c>
      <c r="L16" s="100">
        <v>288.37687537375069</v>
      </c>
      <c r="M16" s="49" t="s">
        <v>238</v>
      </c>
      <c r="N16" s="99">
        <v>9.4885035805636148E-2</v>
      </c>
      <c r="O16" s="99">
        <v>1.4866753807977009</v>
      </c>
      <c r="P16" s="99">
        <v>3.8463144843078858</v>
      </c>
      <c r="Q16" s="99">
        <v>6.0763298942685347E-2</v>
      </c>
      <c r="R16" s="99">
        <v>6.0763298942685347E-2</v>
      </c>
      <c r="S16" s="99">
        <v>3.2599509882750683E-3</v>
      </c>
      <c r="T16" s="99">
        <v>5.9598669046283879E-2</v>
      </c>
      <c r="U16" s="49">
        <v>35721.131477061892</v>
      </c>
      <c r="V16" s="100">
        <v>266.15718318551512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3.3422628929735132E-2</v>
      </c>
      <c r="E17" s="99">
        <v>0.84376903328924591</v>
      </c>
      <c r="F17" s="99">
        <v>0.59641345357476327</v>
      </c>
      <c r="G17" s="99">
        <v>2.1403471852695522E-2</v>
      </c>
      <c r="H17" s="99">
        <v>2.1403471852695522E-2</v>
      </c>
      <c r="I17" s="99">
        <v>1.1482962648971149E-3</v>
      </c>
      <c r="J17" s="99">
        <v>2.0993238642185535E-2</v>
      </c>
      <c r="K17" s="49">
        <v>12984.667901173398</v>
      </c>
      <c r="L17" s="100">
        <v>96.748408862549951</v>
      </c>
      <c r="M17" s="49" t="s">
        <v>238</v>
      </c>
      <c r="N17" s="99">
        <v>3.2878657404300848E-2</v>
      </c>
      <c r="O17" s="99">
        <v>0.83003623180563169</v>
      </c>
      <c r="P17" s="99">
        <v>0.58670649913941186</v>
      </c>
      <c r="Q17" s="99">
        <v>2.1055118667858468E-2</v>
      </c>
      <c r="R17" s="99">
        <v>2.1055118667858468E-2</v>
      </c>
      <c r="S17" s="99">
        <v>1.1296071165306069E-3</v>
      </c>
      <c r="T17" s="99">
        <v>2.0651562226724516E-2</v>
      </c>
      <c r="U17" s="49">
        <v>12773.335345008891</v>
      </c>
      <c r="V17" s="100">
        <v>95.173775710174581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6.8906935557735732E-4</v>
      </c>
      <c r="E18" s="99">
        <v>1.7395860309105799E-2</v>
      </c>
      <c r="F18" s="99">
        <v>2.7932512440412248E-2</v>
      </c>
      <c r="G18" s="99">
        <v>3.8657467353568457E-4</v>
      </c>
      <c r="H18" s="99">
        <v>3.8657467353568457E-4</v>
      </c>
      <c r="I18" s="99">
        <v>2.3674252822182539E-5</v>
      </c>
      <c r="J18" s="99">
        <v>4.328144698929613E-4</v>
      </c>
      <c r="K18" s="49">
        <v>264.79398700510546</v>
      </c>
      <c r="L18" s="100">
        <v>1.9328733676784227</v>
      </c>
      <c r="M18" s="49" t="s">
        <v>238</v>
      </c>
      <c r="N18" s="99">
        <v>6.5006392231579415E-4</v>
      </c>
      <c r="O18" s="99">
        <v>1.641115091400322E-2</v>
      </c>
      <c r="P18" s="99">
        <v>2.6351365722736202E-2</v>
      </c>
      <c r="Q18" s="99">
        <v>3.6469224253340499E-4</v>
      </c>
      <c r="R18" s="99">
        <v>3.6469224253340499E-4</v>
      </c>
      <c r="S18" s="99">
        <v>2.2334148983579383E-5</v>
      </c>
      <c r="T18" s="99">
        <v>4.0831459076845196E-4</v>
      </c>
      <c r="U18" s="49">
        <v>249.805068829319</v>
      </c>
      <c r="V18" s="100">
        <v>1.8234612126670244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2.9445276859753982E-3</v>
      </c>
      <c r="E19" s="99">
        <v>4.6135376159670748E-2</v>
      </c>
      <c r="F19" s="99">
        <v>0.11936107091967846</v>
      </c>
      <c r="G19" s="99">
        <v>1.885642077370739E-3</v>
      </c>
      <c r="H19" s="99">
        <v>1.885642077370739E-3</v>
      </c>
      <c r="I19" s="99">
        <v>1.0116469745094015E-4</v>
      </c>
      <c r="J19" s="99">
        <v>1.8495006042211336E-3</v>
      </c>
      <c r="K19" s="49">
        <v>1032.4430876491579</v>
      </c>
      <c r="L19" s="100">
        <v>8.2595447011932634</v>
      </c>
      <c r="M19" s="49" t="s">
        <v>238</v>
      </c>
      <c r="N19" s="99">
        <v>2.4327900421898968E-3</v>
      </c>
      <c r="O19" s="99">
        <v>3.811738101445377E-2</v>
      </c>
      <c r="P19" s="99">
        <v>9.8616978927241791E-2</v>
      </c>
      <c r="Q19" s="99">
        <v>1.5579311041329883E-3</v>
      </c>
      <c r="R19" s="99">
        <v>1.5579311041329883E-3</v>
      </c>
      <c r="S19" s="99">
        <v>8.3583003736734828E-5</v>
      </c>
      <c r="T19" s="99">
        <v>1.5280707579704395E-3</v>
      </c>
      <c r="U19" s="49">
        <v>853.01193625171709</v>
      </c>
      <c r="V19" s="100">
        <v>6.8240954900137378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6.6969683938961381E-4</v>
      </c>
      <c r="E20" s="99">
        <v>1.1445727800477038E-2</v>
      </c>
      <c r="F20" s="99">
        <v>7.3057837024321479E-5</v>
      </c>
      <c r="G20" s="99">
        <v>6.0311679724811497E-6</v>
      </c>
      <c r="H20" s="99">
        <v>6.0311679724811497E-6</v>
      </c>
      <c r="I20" s="99">
        <v>2.4352612341440511E-3</v>
      </c>
      <c r="J20" s="99">
        <v>4.8705224682881023E-3</v>
      </c>
      <c r="K20" s="49">
        <v>300.62303278688512</v>
      </c>
      <c r="L20" s="100">
        <v>296.18032786885294</v>
      </c>
      <c r="M20" s="49" t="s">
        <v>239</v>
      </c>
      <c r="N20" s="99">
        <v>6.6969683938961381E-4</v>
      </c>
      <c r="O20" s="99">
        <v>1.1445727800477038E-2</v>
      </c>
      <c r="P20" s="99">
        <v>7.3057837024321479E-5</v>
      </c>
      <c r="Q20" s="99">
        <v>6.0311679724811497E-6</v>
      </c>
      <c r="R20" s="99">
        <v>6.0311679724811497E-6</v>
      </c>
      <c r="S20" s="99">
        <v>2.4352612341440511E-3</v>
      </c>
      <c r="T20" s="99">
        <v>4.8705224682881023E-3</v>
      </c>
      <c r="U20" s="49">
        <v>300.62303278688512</v>
      </c>
      <c r="V20" s="100">
        <v>296.18032786885294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5.2612909836065565E-3</v>
      </c>
      <c r="E21" s="99">
        <v>9.5659836065573767E-2</v>
      </c>
      <c r="F21" s="99">
        <v>5.7395901639344278E-4</v>
      </c>
      <c r="G21" s="99">
        <v>7.2701475409836071E-3</v>
      </c>
      <c r="H21" s="99">
        <v>7.2701475409836071E-3</v>
      </c>
      <c r="I21" s="99">
        <v>1.9131967213114762E-2</v>
      </c>
      <c r="J21" s="99">
        <v>3.8263934426229523E-2</v>
      </c>
      <c r="K21" s="49">
        <v>1941.8946721311484</v>
      </c>
      <c r="L21" s="100">
        <v>1913.1967213114738</v>
      </c>
      <c r="M21" s="49" t="s">
        <v>239</v>
      </c>
      <c r="N21" s="99">
        <v>5.2612909836065565E-3</v>
      </c>
      <c r="O21" s="99">
        <v>9.5659836065573767E-2</v>
      </c>
      <c r="P21" s="99">
        <v>5.7395901639344278E-4</v>
      </c>
      <c r="Q21" s="99">
        <v>7.2701475409836071E-3</v>
      </c>
      <c r="R21" s="99">
        <v>7.2701475409836071E-3</v>
      </c>
      <c r="S21" s="99">
        <v>1.9131967213114762E-2</v>
      </c>
      <c r="T21" s="99">
        <v>3.8263934426229523E-2</v>
      </c>
      <c r="U21" s="49">
        <v>1941.8946721311484</v>
      </c>
      <c r="V21" s="100">
        <v>1913.1967213114738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0.15624987208679203</v>
      </c>
      <c r="E22" s="99">
        <v>7.374993962496583E-2</v>
      </c>
      <c r="F22" s="99">
        <v>0.14531238104071656</v>
      </c>
      <c r="G22" s="99">
        <v>0.12484364779734683</v>
      </c>
      <c r="H22" s="99">
        <v>0.12484364779734683</v>
      </c>
      <c r="I22" s="99">
        <v>1.9780452556827439E-2</v>
      </c>
      <c r="J22" s="99">
        <v>2.0402327047732869</v>
      </c>
      <c r="K22" s="49">
        <v>474.99961114384774</v>
      </c>
      <c r="L22" s="100">
        <v>31.249974417358402</v>
      </c>
      <c r="M22" s="49" t="s">
        <v>237</v>
      </c>
      <c r="N22" s="99">
        <v>0.13679594113618931</v>
      </c>
      <c r="O22" s="99">
        <v>6.456768421628134E-2</v>
      </c>
      <c r="P22" s="99">
        <v>0.12722022525665602</v>
      </c>
      <c r="Q22" s="99">
        <v>0.10929995696781525</v>
      </c>
      <c r="R22" s="99">
        <v>0.10929995696781525</v>
      </c>
      <c r="S22" s="99">
        <v>1.7317682168135888E-2</v>
      </c>
      <c r="T22" s="99">
        <v>1.7862130013857915</v>
      </c>
      <c r="U22" s="49">
        <v>415.85966105401548</v>
      </c>
      <c r="V22" s="100">
        <v>27.359188227237862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3.7337768457277421E-4</v>
      </c>
      <c r="G23" s="99">
        <v>3.2078362362757698E-4</v>
      </c>
      <c r="H23" s="99">
        <v>3.2078362362757698E-4</v>
      </c>
      <c r="I23" s="99">
        <v>5.0825535460742344E-5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3.7940475162931143E-4</v>
      </c>
      <c r="O23" s="99">
        <v>1.7907904276903499E-4</v>
      </c>
      <c r="P23" s="99">
        <v>3.5284641901525964E-4</v>
      </c>
      <c r="Q23" s="99">
        <v>3.0314439655181979E-4</v>
      </c>
      <c r="R23" s="99">
        <v>3.0314439655181979E-4</v>
      </c>
      <c r="S23" s="99">
        <v>4.8030744532512695E-5</v>
      </c>
      <c r="T23" s="99">
        <v>4.9540775443997348E-3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4.8776475754854209E-5</v>
      </c>
      <c r="F24" s="99">
        <v>1.0633485245822149E-5</v>
      </c>
      <c r="G24" s="99">
        <v>3.4500168382878608E-4</v>
      </c>
      <c r="H24" s="99">
        <v>3.4500168382878608E-4</v>
      </c>
      <c r="I24" s="99">
        <v>1.2632663031087651E-5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2.969413117542813E-4</v>
      </c>
      <c r="R24" s="99">
        <v>2.969413117542813E-4</v>
      </c>
      <c r="S24" s="99">
        <v>1.1445738305269714E-5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5.2382327984415965E-4</v>
      </c>
      <c r="E25" s="101">
        <v>2.734616428960358E-2</v>
      </c>
      <c r="F25" s="101">
        <v>1.9363248899601761E-2</v>
      </c>
      <c r="G25" s="101">
        <v>2.7260720241086733E-3</v>
      </c>
      <c r="H25" s="101">
        <v>2.7260720241086733E-3</v>
      </c>
      <c r="I25" s="101">
        <v>1.9058091583470191E-5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5.2382327984415965E-4</v>
      </c>
      <c r="O25" s="101">
        <v>2.734616428960358E-2</v>
      </c>
      <c r="P25" s="101">
        <v>1.9363248899601761E-2</v>
      </c>
      <c r="Q25" s="101">
        <v>2.7260720241086733E-3</v>
      </c>
      <c r="R25" s="101">
        <v>2.7260720241086733E-3</v>
      </c>
      <c r="S25" s="101">
        <v>1.9058091583470191E-5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12.555043700554632</v>
      </c>
      <c r="E26" s="103">
        <v>3.306763843335959</v>
      </c>
      <c r="F26" s="103">
        <v>5.1954272243156305</v>
      </c>
      <c r="G26" s="103">
        <v>3.5762696759851567</v>
      </c>
      <c r="H26" s="103">
        <v>3.5762696759851567</v>
      </c>
      <c r="I26" s="103">
        <v>0.17277699006018926</v>
      </c>
      <c r="J26" s="103">
        <v>38.031308202087359</v>
      </c>
      <c r="K26" s="93">
        <v>65563.03448938833</v>
      </c>
      <c r="L26" s="93"/>
      <c r="M26" s="93"/>
      <c r="N26" s="103">
        <v>11.296314258779484</v>
      </c>
      <c r="O26" s="103">
        <v>3.0803907729934297</v>
      </c>
      <c r="P26" s="103">
        <v>4.809713019183377</v>
      </c>
      <c r="Q26" s="103">
        <v>3.1764463727745915</v>
      </c>
      <c r="R26" s="103">
        <v>3.1764463727745915</v>
      </c>
      <c r="S26" s="103">
        <v>0.15622480717507173</v>
      </c>
      <c r="T26" s="103">
        <v>33.502947287897115</v>
      </c>
      <c r="U26" s="93">
        <v>60930.377031132804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3.7920374641739736</v>
      </c>
      <c r="E28" s="99">
        <v>4.3053700466604068E-2</v>
      </c>
      <c r="F28" s="99">
        <v>6.623646225631395E-3</v>
      </c>
      <c r="G28" s="99">
        <v>0.57294539851711557</v>
      </c>
      <c r="H28" s="99">
        <v>0.57294539851711557</v>
      </c>
      <c r="I28" s="99">
        <v>2.9806408015341283E-2</v>
      </c>
      <c r="J28" s="99">
        <v>4.1828325914862257</v>
      </c>
      <c r="K28" s="49">
        <v>529.81779415251367</v>
      </c>
      <c r="L28" s="100">
        <v>47.31214955691523</v>
      </c>
      <c r="M28" s="49" t="s">
        <v>237</v>
      </c>
      <c r="N28" s="99">
        <v>3.5068854856312774</v>
      </c>
      <c r="O28" s="99">
        <v>3.9816167085769953E-2</v>
      </c>
      <c r="P28" s="99">
        <v>6.1255641670415334E-3</v>
      </c>
      <c r="Q28" s="99">
        <v>0.52986130044909241</v>
      </c>
      <c r="R28" s="99">
        <v>0.52986130044909241</v>
      </c>
      <c r="S28" s="99">
        <v>2.7565038751686893E-2</v>
      </c>
      <c r="T28" s="99">
        <v>3.8682937714867274</v>
      </c>
      <c r="U28" s="49">
        <v>489.97678685839787</v>
      </c>
      <c r="V28" s="100">
        <v>43.754391179598898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8.9416446812811426E-2</v>
      </c>
      <c r="E29" s="99">
        <v>4.7238877561485296E-3</v>
      </c>
      <c r="F29" s="99">
        <v>6.7484110802121852E-4</v>
      </c>
      <c r="G29" s="99">
        <v>5.162534476362321E-2</v>
      </c>
      <c r="H29" s="99">
        <v>5.162534476362321E-2</v>
      </c>
      <c r="I29" s="99">
        <v>2.8680747090901767E-3</v>
      </c>
      <c r="J29" s="99">
        <v>0.38938331932824299</v>
      </c>
      <c r="K29" s="49">
        <v>53.979759044446482</v>
      </c>
      <c r="L29" s="100">
        <v>4.8203334450898634</v>
      </c>
      <c r="M29" s="49" t="s">
        <v>237</v>
      </c>
      <c r="N29" s="99">
        <v>7.8022929749691924E-2</v>
      </c>
      <c r="O29" s="99">
        <v>4.1219660999837248E-3</v>
      </c>
      <c r="P29" s="99">
        <v>5.8885229999767487E-4</v>
      </c>
      <c r="Q29" s="99">
        <v>4.504720094982214E-2</v>
      </c>
      <c r="R29" s="99">
        <v>4.504720094982214E-2</v>
      </c>
      <c r="S29" s="99">
        <v>2.5026222749901178E-3</v>
      </c>
      <c r="T29" s="99">
        <v>0.33976777709865846</v>
      </c>
      <c r="U29" s="49">
        <v>47.101613830026473</v>
      </c>
      <c r="V29" s="100">
        <v>4.2061226000589702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4.262464420889054E-2</v>
      </c>
      <c r="E30" s="99">
        <v>7.1041073681484251E-3</v>
      </c>
      <c r="F30" s="99">
        <v>1.4208214736296852E-3</v>
      </c>
      <c r="G30" s="99">
        <v>4.262464420889054E-2</v>
      </c>
      <c r="H30" s="99">
        <v>4.262464420889054E-2</v>
      </c>
      <c r="I30" s="99">
        <v>3.1968483156667921E-3</v>
      </c>
      <c r="J30" s="99">
        <v>0.50012915871764929</v>
      </c>
      <c r="K30" s="49">
        <v>113.6498649535356</v>
      </c>
      <c r="L30" s="100">
        <v>10.148808641668726</v>
      </c>
      <c r="M30" s="49" t="s">
        <v>237</v>
      </c>
      <c r="N30" s="99">
        <v>3.7193377049281044E-2</v>
      </c>
      <c r="O30" s="99">
        <v>6.1988961748801761E-3</v>
      </c>
      <c r="P30" s="99">
        <v>1.2397792349760353E-3</v>
      </c>
      <c r="Q30" s="99">
        <v>3.7193377049281044E-2</v>
      </c>
      <c r="R30" s="99">
        <v>3.7193377049281044E-2</v>
      </c>
      <c r="S30" s="99">
        <v>2.7895032786960797E-3</v>
      </c>
      <c r="T30" s="99">
        <v>0.43640229071156444</v>
      </c>
      <c r="U30" s="49">
        <v>99.168505855470784</v>
      </c>
      <c r="V30" s="100">
        <v>8.8556391124516516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3.2078945881515358E-2</v>
      </c>
      <c r="E31" s="99">
        <v>4.2771927842020479E-3</v>
      </c>
      <c r="F31" s="99">
        <v>8.554385568404091E-4</v>
      </c>
      <c r="G31" s="99">
        <v>2.7801753097313291E-2</v>
      </c>
      <c r="H31" s="99">
        <v>2.7801753097313291E-2</v>
      </c>
      <c r="I31" s="99">
        <v>1.9247367528909206E-3</v>
      </c>
      <c r="J31" s="99">
        <v>0.22882981395480945</v>
      </c>
      <c r="K31" s="49">
        <v>68.425539918535108</v>
      </c>
      <c r="L31" s="100">
        <v>6.1103258778177176</v>
      </c>
      <c r="M31" s="49" t="s">
        <v>237</v>
      </c>
      <c r="N31" s="99">
        <v>2.7991420260719106E-2</v>
      </c>
      <c r="O31" s="99">
        <v>3.7321893680958796E-3</v>
      </c>
      <c r="P31" s="99">
        <v>7.4643787361917578E-4</v>
      </c>
      <c r="Q31" s="99">
        <v>2.4259230892623218E-2</v>
      </c>
      <c r="R31" s="99">
        <v>2.4259230892623218E-2</v>
      </c>
      <c r="S31" s="99">
        <v>1.679485215643146E-3</v>
      </c>
      <c r="T31" s="99">
        <v>0.19967213119312957</v>
      </c>
      <c r="U31" s="49">
        <v>59.70670144526116</v>
      </c>
      <c r="V31" s="100">
        <v>5.3317431379345441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1.8146371034591389</v>
      </c>
      <c r="E32" s="99">
        <v>4.971909248803625E-2</v>
      </c>
      <c r="F32" s="99">
        <v>1.3695374365729349E-2</v>
      </c>
      <c r="G32" s="99">
        <v>0.41572409498092316</v>
      </c>
      <c r="H32" s="99">
        <v>0.41572409498092316</v>
      </c>
      <c r="I32" s="99">
        <v>1.3593636402156812E-2</v>
      </c>
      <c r="J32" s="99">
        <v>4.1486932504974208</v>
      </c>
      <c r="K32" s="49">
        <v>1095.4771419501544</v>
      </c>
      <c r="L32" s="100">
        <v>97.824910654488278</v>
      </c>
      <c r="M32" s="49" t="s">
        <v>237</v>
      </c>
      <c r="N32" s="99">
        <v>1.5834145539329465</v>
      </c>
      <c r="O32" s="99">
        <v>4.3383844904209268E-2</v>
      </c>
      <c r="P32" s="99">
        <v>1.1950298520248653E-2</v>
      </c>
      <c r="Q32" s="99">
        <v>0.3627521894920952</v>
      </c>
      <c r="R32" s="99">
        <v>0.3627521894920952</v>
      </c>
      <c r="S32" s="99">
        <v>1.1861524091520631E-2</v>
      </c>
      <c r="T32" s="99">
        <v>3.6200633504730515</v>
      </c>
      <c r="U32" s="49">
        <v>955.89054514436225</v>
      </c>
      <c r="V32" s="100">
        <v>85.359980225376688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0.86503393570449072</v>
      </c>
      <c r="E33" s="99">
        <v>0.11597507353766255</v>
      </c>
      <c r="F33" s="99">
        <v>2.8834464523483008E-2</v>
      </c>
      <c r="G33" s="99">
        <v>0.57129185794632398</v>
      </c>
      <c r="H33" s="99">
        <v>0.57129185794632398</v>
      </c>
      <c r="I33" s="99">
        <v>1.8002923093917312E-2</v>
      </c>
      <c r="J33" s="99">
        <v>8.9128013573641507</v>
      </c>
      <c r="K33" s="49">
        <v>2306.435438880103</v>
      </c>
      <c r="L33" s="100">
        <v>205.9621621471112</v>
      </c>
      <c r="M33" s="49" t="s">
        <v>237</v>
      </c>
      <c r="N33" s="99">
        <v>0.75481060143066181</v>
      </c>
      <c r="O33" s="99">
        <v>0.1011974344528295</v>
      </c>
      <c r="P33" s="99">
        <v>2.5160353381022064E-2</v>
      </c>
      <c r="Q33" s="99">
        <v>0.49849738038048008</v>
      </c>
      <c r="R33" s="99">
        <v>0.49849738038048008</v>
      </c>
      <c r="S33" s="99">
        <v>1.5708975853025758E-2</v>
      </c>
      <c r="T33" s="99">
        <v>7.7771248910658572</v>
      </c>
      <c r="U33" s="49">
        <v>2012.547541691833</v>
      </c>
      <c r="V33" s="100">
        <v>179.71829435293856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0.65101720669261731</v>
      </c>
      <c r="E34" s="99">
        <v>6.9825485733315831E-2</v>
      </c>
      <c r="F34" s="99">
        <v>1.7360458845136463E-2</v>
      </c>
      <c r="G34" s="99">
        <v>0.38165372211080978</v>
      </c>
      <c r="H34" s="99">
        <v>0.38165372211080978</v>
      </c>
      <c r="I34" s="99">
        <v>1.0839077840671322E-2</v>
      </c>
      <c r="J34" s="99">
        <v>5.366158994677467</v>
      </c>
      <c r="K34" s="49">
        <v>1388.6430068098807</v>
      </c>
      <c r="L34" s="100">
        <v>124.00430175140768</v>
      </c>
      <c r="M34" s="49" t="s">
        <v>237</v>
      </c>
      <c r="N34" s="99">
        <v>0.56806405973560825</v>
      </c>
      <c r="O34" s="99">
        <v>6.0928265014977522E-2</v>
      </c>
      <c r="P34" s="99">
        <v>1.5148374926282886E-2</v>
      </c>
      <c r="Q34" s="99">
        <v>0.33302309150461179</v>
      </c>
      <c r="R34" s="99">
        <v>0.33302309150461179</v>
      </c>
      <c r="S34" s="99">
        <v>9.4579536434115097E-3</v>
      </c>
      <c r="T34" s="99">
        <v>4.6823986099994457</v>
      </c>
      <c r="U34" s="49">
        <v>1211.7009748166899</v>
      </c>
      <c r="V34" s="100">
        <v>108.2035718156432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1.0908401996240935E-2</v>
      </c>
      <c r="E35" s="99">
        <v>1.9049467977732396E-2</v>
      </c>
      <c r="F35" s="99">
        <v>1.5224350032153763E-3</v>
      </c>
      <c r="G35" s="99">
        <v>1.4082523779742232E-2</v>
      </c>
      <c r="H35" s="99">
        <v>1.4082523779742232E-2</v>
      </c>
      <c r="I35" s="99">
        <v>3.4197696259725404E-4</v>
      </c>
      <c r="J35" s="99">
        <v>4.7252576412297263E-2</v>
      </c>
      <c r="K35" s="49">
        <v>145.42507471218713</v>
      </c>
      <c r="L35" s="100">
        <v>12.986300120618401</v>
      </c>
      <c r="M35" s="49" t="s">
        <v>237</v>
      </c>
      <c r="N35" s="99">
        <v>9.5184444581638307E-3</v>
      </c>
      <c r="O35" s="99">
        <v>1.6622169128539643E-2</v>
      </c>
      <c r="P35" s="99">
        <v>1.3284450851979734E-3</v>
      </c>
      <c r="Q35" s="99">
        <v>1.2288117038081255E-2</v>
      </c>
      <c r="R35" s="99">
        <v>1.2288117038081255E-2</v>
      </c>
      <c r="S35" s="99">
        <v>2.984019772625948E-4</v>
      </c>
      <c r="T35" s="99">
        <v>4.123161433183211E-2</v>
      </c>
      <c r="U35" s="49">
        <v>126.89489229946645</v>
      </c>
      <c r="V35" s="100">
        <v>11.331575097594369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3.6794378951145214E-2</v>
      </c>
      <c r="E36" s="99">
        <v>6.4254447519620964E-2</v>
      </c>
      <c r="F36" s="99">
        <v>5.135220580988688E-3</v>
      </c>
      <c r="G36" s="99">
        <v>4.7500790374145362E-2</v>
      </c>
      <c r="H36" s="99">
        <v>4.7500790374145362E-2</v>
      </c>
      <c r="I36" s="99">
        <v>1.1534989230045842E-3</v>
      </c>
      <c r="J36" s="99">
        <v>0.15938440878243643</v>
      </c>
      <c r="K36" s="49">
        <v>490.52329661143096</v>
      </c>
      <c r="L36" s="100">
        <v>43.803193902827864</v>
      </c>
      <c r="M36" s="49" t="s">
        <v>237</v>
      </c>
      <c r="N36" s="99">
        <v>3.2106008977281594E-2</v>
      </c>
      <c r="O36" s="99">
        <v>5.6067093064252171E-2</v>
      </c>
      <c r="P36" s="99">
        <v>4.4808865585815923E-3</v>
      </c>
      <c r="Q36" s="99">
        <v>4.1448200666879723E-2</v>
      </c>
      <c r="R36" s="99">
        <v>4.1448200666879723E-2</v>
      </c>
      <c r="S36" s="99">
        <v>1.0065191432213907E-3</v>
      </c>
      <c r="T36" s="99">
        <v>0.13907551656197614</v>
      </c>
      <c r="U36" s="49">
        <v>428.02041544126115</v>
      </c>
      <c r="V36" s="100">
        <v>38.221754973636436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1.1995193744063268</v>
      </c>
      <c r="E37" s="99">
        <v>4.2610244286095861E-2</v>
      </c>
      <c r="F37" s="99">
        <v>1.0568452637941206E-2</v>
      </c>
      <c r="G37" s="99">
        <v>0.26078058694855433</v>
      </c>
      <c r="H37" s="99">
        <v>0.26078058694855433</v>
      </c>
      <c r="I37" s="99">
        <v>6.4403772443275163E-3</v>
      </c>
      <c r="J37" s="99">
        <v>1.6003455500410346</v>
      </c>
      <c r="K37" s="49">
        <v>845.35829262311893</v>
      </c>
      <c r="L37" s="100">
        <v>75.489570964183798</v>
      </c>
      <c r="M37" s="49" t="s">
        <v>237</v>
      </c>
      <c r="N37" s="99">
        <v>1.0968828110537092</v>
      </c>
      <c r="O37" s="99">
        <v>3.8964309813962067E-2</v>
      </c>
      <c r="P37" s="99">
        <v>9.6641657361560308E-3</v>
      </c>
      <c r="Q37" s="99">
        <v>0.23846696383869409</v>
      </c>
      <c r="R37" s="99">
        <v>0.23846696383869409</v>
      </c>
      <c r="S37" s="99">
        <v>5.8893080401478557E-3</v>
      </c>
      <c r="T37" s="99">
        <v>1.4634123991995489</v>
      </c>
      <c r="U37" s="49">
        <v>773.02543013858008</v>
      </c>
      <c r="V37" s="100">
        <v>69.030325454654573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7.7847909687983205E-2</v>
      </c>
      <c r="E38" s="99">
        <v>1.2197347010202948</v>
      </c>
      <c r="F38" s="99">
        <v>3.1556877231867611</v>
      </c>
      <c r="G38" s="99">
        <v>4.9852916935434394E-2</v>
      </c>
      <c r="H38" s="99">
        <v>4.9852916935434394E-2</v>
      </c>
      <c r="I38" s="99">
        <v>2.6746089935860543E-3</v>
      </c>
      <c r="J38" s="99">
        <v>4.8897402694171907E-2</v>
      </c>
      <c r="K38" s="49">
        <v>29307.207333252754</v>
      </c>
      <c r="L38" s="100">
        <v>218.3672081009347</v>
      </c>
      <c r="M38" s="49" t="s">
        <v>238</v>
      </c>
      <c r="N38" s="99">
        <v>7.1987293089214116E-2</v>
      </c>
      <c r="O38" s="99">
        <v>1.1279095323864139</v>
      </c>
      <c r="P38" s="99">
        <v>2.9181183918435587</v>
      </c>
      <c r="Q38" s="99">
        <v>4.6099844647946066E-2</v>
      </c>
      <c r="R38" s="99">
        <v>4.6099844647946066E-2</v>
      </c>
      <c r="S38" s="99">
        <v>2.473256665362307E-3</v>
      </c>
      <c r="T38" s="99">
        <v>4.5216264292193768E-2</v>
      </c>
      <c r="U38" s="49">
        <v>27100.875699568041</v>
      </c>
      <c r="V38" s="100">
        <v>201.92789085333564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2.3752598649502778E-2</v>
      </c>
      <c r="E39" s="99">
        <v>0.59964484669151485</v>
      </c>
      <c r="F39" s="99">
        <v>0.42385562852363795</v>
      </c>
      <c r="G39" s="99">
        <v>1.5210894322280805E-2</v>
      </c>
      <c r="H39" s="99">
        <v>1.5210894322280805E-2</v>
      </c>
      <c r="I39" s="99">
        <v>8.1606448039036575E-4</v>
      </c>
      <c r="J39" s="99">
        <v>1.4919352181103761E-2</v>
      </c>
      <c r="K39" s="49">
        <v>9227.8679185305318</v>
      </c>
      <c r="L39" s="100">
        <v>68.756593938834641</v>
      </c>
      <c r="M39" s="49" t="s">
        <v>238</v>
      </c>
      <c r="N39" s="99">
        <v>2.3366012144067742E-2</v>
      </c>
      <c r="O39" s="99">
        <v>0.58988529956973268</v>
      </c>
      <c r="P39" s="99">
        <v>0.41695714686031238</v>
      </c>
      <c r="Q39" s="99">
        <v>1.4963328716202788E-2</v>
      </c>
      <c r="R39" s="99">
        <v>1.4963328716202788E-2</v>
      </c>
      <c r="S39" s="99">
        <v>8.0278258562427969E-4</v>
      </c>
      <c r="T39" s="99">
        <v>1.4676531582475566E-2</v>
      </c>
      <c r="U39" s="49">
        <v>9077.6793322675549</v>
      </c>
      <c r="V39" s="100">
        <v>67.637542850208334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5.1801327297775986E-4</v>
      </c>
      <c r="E40" s="99">
        <v>1.3077473932117356E-2</v>
      </c>
      <c r="F40" s="99">
        <v>2.0998484513400403E-2</v>
      </c>
      <c r="G40" s="99">
        <v>2.9061053182483023E-4</v>
      </c>
      <c r="H40" s="99">
        <v>2.9061053182483023E-4</v>
      </c>
      <c r="I40" s="99">
        <v>1.7797304568052269E-5</v>
      </c>
      <c r="J40" s="99">
        <v>3.253716600900516E-4</v>
      </c>
      <c r="K40" s="49">
        <v>199.06094903671308</v>
      </c>
      <c r="L40" s="100">
        <v>1.453052659124151</v>
      </c>
      <c r="M40" s="49" t="s">
        <v>238</v>
      </c>
      <c r="N40" s="99">
        <v>4.8979391094500213E-4</v>
      </c>
      <c r="O40" s="99">
        <v>1.2365063670420808E-2</v>
      </c>
      <c r="P40" s="99">
        <v>1.9854568194004583E-2</v>
      </c>
      <c r="Q40" s="99">
        <v>2.7477919267601789E-4</v>
      </c>
      <c r="R40" s="99">
        <v>2.7477919267601789E-4</v>
      </c>
      <c r="S40" s="99">
        <v>1.6827776165959212E-5</v>
      </c>
      <c r="T40" s="99">
        <v>3.0764666895517225E-4</v>
      </c>
      <c r="U40" s="49">
        <v>188.21687750325538</v>
      </c>
      <c r="V40" s="100">
        <v>1.3738959633800893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1.6529542124667396E-3</v>
      </c>
      <c r="E41" s="99">
        <v>2.5898776476134141E-2</v>
      </c>
      <c r="F41" s="99">
        <v>6.7005104391085743E-2</v>
      </c>
      <c r="G41" s="99">
        <v>1.0585330984795973E-3</v>
      </c>
      <c r="H41" s="99">
        <v>1.0585330984795973E-3</v>
      </c>
      <c r="I41" s="99">
        <v>5.6790300733430376E-5</v>
      </c>
      <c r="J41" s="99">
        <v>1.0382445474254047E-3</v>
      </c>
      <c r="K41" s="49">
        <v>579.57721334738414</v>
      </c>
      <c r="L41" s="100">
        <v>4.6366177067790737</v>
      </c>
      <c r="M41" s="49" t="s">
        <v>238</v>
      </c>
      <c r="N41" s="99">
        <v>1.3797824856421185E-3</v>
      </c>
      <c r="O41" s="99">
        <v>2.1618673954678008E-2</v>
      </c>
      <c r="P41" s="99">
        <v>5.5931657870591046E-2</v>
      </c>
      <c r="Q41" s="99">
        <v>8.8359702812035475E-4</v>
      </c>
      <c r="R41" s="99">
        <v>8.8359702812035475E-4</v>
      </c>
      <c r="S41" s="99">
        <v>4.7404980558657039E-5</v>
      </c>
      <c r="T41" s="99">
        <v>8.6666141841471435E-4</v>
      </c>
      <c r="U41" s="49">
        <v>483.79470043552573</v>
      </c>
      <c r="V41" s="100">
        <v>3.8703576034842051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6.264033437799896E-4</v>
      </c>
      <c r="E42" s="99">
        <v>1.0705802602785279E-2</v>
      </c>
      <c r="F42" s="99">
        <v>6.8334910230544326E-5</v>
      </c>
      <c r="G42" s="99">
        <v>5.6412746225655285E-6</v>
      </c>
      <c r="H42" s="99">
        <v>5.6412746225655285E-6</v>
      </c>
      <c r="I42" s="99">
        <v>2.2778303410181423E-3</v>
      </c>
      <c r="J42" s="99">
        <v>4.5556606820362847E-3</v>
      </c>
      <c r="K42" s="49">
        <v>281.18883333333326</v>
      </c>
      <c r="L42" s="100">
        <v>277.0333333333337</v>
      </c>
      <c r="M42" s="49" t="s">
        <v>239</v>
      </c>
      <c r="N42" s="99">
        <v>6.264033437799896E-4</v>
      </c>
      <c r="O42" s="99">
        <v>1.0705802602785279E-2</v>
      </c>
      <c r="P42" s="99">
        <v>6.8334910230544326E-5</v>
      </c>
      <c r="Q42" s="99">
        <v>5.6412746225655285E-6</v>
      </c>
      <c r="R42" s="99">
        <v>5.6412746225655285E-6</v>
      </c>
      <c r="S42" s="99">
        <v>2.2778303410181423E-3</v>
      </c>
      <c r="T42" s="99">
        <v>4.5556606820362847E-3</v>
      </c>
      <c r="U42" s="49">
        <v>281.18883333333326</v>
      </c>
      <c r="V42" s="100">
        <v>277.0333333333337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9.7086916666666665E-3</v>
      </c>
      <c r="E43" s="99">
        <v>0.17652166666666663</v>
      </c>
      <c r="F43" s="99">
        <v>1.0591299999999999E-3</v>
      </c>
      <c r="G43" s="99">
        <v>1.341564666666667E-2</v>
      </c>
      <c r="H43" s="99">
        <v>1.341564666666667E-2</v>
      </c>
      <c r="I43" s="99">
        <v>3.5304333333333313E-2</v>
      </c>
      <c r="J43" s="99">
        <v>7.0608666666666625E-2</v>
      </c>
      <c r="K43" s="49">
        <v>3583.3898333333341</v>
      </c>
      <c r="L43" s="100">
        <v>3530.4333333333325</v>
      </c>
      <c r="M43" s="49" t="s">
        <v>239</v>
      </c>
      <c r="N43" s="99">
        <v>9.7086916666666665E-3</v>
      </c>
      <c r="O43" s="99">
        <v>0.17652166666666663</v>
      </c>
      <c r="P43" s="99">
        <v>1.0591299999999999E-3</v>
      </c>
      <c r="Q43" s="99">
        <v>1.341564666666667E-2</v>
      </c>
      <c r="R43" s="99">
        <v>1.341564666666667E-2</v>
      </c>
      <c r="S43" s="99">
        <v>3.5304333333333313E-2</v>
      </c>
      <c r="T43" s="99">
        <v>7.0608666666666625E-2</v>
      </c>
      <c r="U43" s="49">
        <v>3583.3898333333341</v>
      </c>
      <c r="V43" s="100">
        <v>3530.4333333333325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0.11599909678973605</v>
      </c>
      <c r="E44" s="99">
        <v>5.475157368475541E-2</v>
      </c>
      <c r="F44" s="99">
        <v>0.10787916001445448</v>
      </c>
      <c r="G44" s="99">
        <v>9.2683278334999092E-2</v>
      </c>
      <c r="H44" s="99">
        <v>9.2683278334999092E-2</v>
      </c>
      <c r="I44" s="99">
        <v>1.4684905658096638E-2</v>
      </c>
      <c r="J44" s="99">
        <v>1.514658206331978</v>
      </c>
      <c r="K44" s="49">
        <v>352.63725424079746</v>
      </c>
      <c r="L44" s="100">
        <v>23.199819357947213</v>
      </c>
      <c r="M44" s="49" t="s">
        <v>237</v>
      </c>
      <c r="N44" s="99">
        <v>0.1019198990230827</v>
      </c>
      <c r="O44" s="99">
        <v>4.8106192338895036E-2</v>
      </c>
      <c r="P44" s="99">
        <v>9.4785506091466895E-2</v>
      </c>
      <c r="Q44" s="99">
        <v>8.1433999319443076E-2</v>
      </c>
      <c r="R44" s="99">
        <v>8.1433999319443076E-2</v>
      </c>
      <c r="S44" s="99">
        <v>1.2902549616827158E-2</v>
      </c>
      <c r="T44" s="99">
        <v>1.330819081493902</v>
      </c>
      <c r="U44" s="49">
        <v>309.83649303017143</v>
      </c>
      <c r="V44" s="100">
        <v>20.383979804616541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2.8532244230068833E-4</v>
      </c>
      <c r="E45" s="99">
        <v>1.346721927659249E-4</v>
      </c>
      <c r="F45" s="99">
        <v>2.6534987133964015E-4</v>
      </c>
      <c r="G45" s="99">
        <v>2.2797263139825007E-4</v>
      </c>
      <c r="H45" s="99">
        <v>2.2797263139825007E-4</v>
      </c>
      <c r="I45" s="99">
        <v>3.6120394583055649E-5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2.6963315214105564E-4</v>
      </c>
      <c r="O45" s="99">
        <v>1.2726684781057826E-4</v>
      </c>
      <c r="P45" s="99">
        <v>2.5075883149118169E-4</v>
      </c>
      <c r="Q45" s="99">
        <v>2.1543688856070348E-4</v>
      </c>
      <c r="R45" s="99">
        <v>2.1543688856070348E-4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8.7184102008962044E-4</v>
      </c>
      <c r="E46" s="99">
        <v>3.4664180803309314E-5</v>
      </c>
      <c r="F46" s="99">
        <v>7.5569431662724826E-6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1.7439048949549688E-3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2.9083381335906241E-5</v>
      </c>
      <c r="P46" s="99">
        <v>6.1727592489711029E-6</v>
      </c>
      <c r="Q46" s="99">
        <v>2.1102851649953142E-4</v>
      </c>
      <c r="R46" s="99">
        <v>2.1102851649953142E-4</v>
      </c>
      <c r="S46" s="99">
        <v>8.1341904248124664E-6</v>
      </c>
      <c r="T46" s="99">
        <v>1.5343025389261339E-3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1.9434212261993555E-2</v>
      </c>
      <c r="F47" s="101">
        <v>1.3760960594379904E-2</v>
      </c>
      <c r="G47" s="101">
        <v>1.9373489384817268E-3</v>
      </c>
      <c r="H47" s="101">
        <v>1.9373489384817268E-3</v>
      </c>
      <c r="I47" s="101">
        <v>1.3544093175893139E-5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1.9434212261993555E-2</v>
      </c>
      <c r="P47" s="101">
        <v>1.3760960594379904E-2</v>
      </c>
      <c r="Q47" s="101">
        <v>1.9373489384817268E-3</v>
      </c>
      <c r="R47" s="101">
        <v>1.9373489384817268E-3</v>
      </c>
      <c r="S47" s="101">
        <v>1.3544093175893139E-5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8.7657030010406345</v>
      </c>
      <c r="E48" s="103">
        <v>2.540531089627398</v>
      </c>
      <c r="F48" s="103">
        <v>3.8772785862690728</v>
      </c>
      <c r="G48" s="103">
        <v>2.5609587432425527</v>
      </c>
      <c r="H48" s="103">
        <v>2.5609587432425527</v>
      </c>
      <c r="I48" s="103">
        <v>0.14405853086630302</v>
      </c>
      <c r="J48" s="103">
        <v>27.200909933638222</v>
      </c>
      <c r="K48" s="93">
        <v>50692.815460879043</v>
      </c>
      <c r="L48" s="93"/>
      <c r="M48" s="93"/>
      <c r="N48" s="103">
        <v>7.9057242049083341</v>
      </c>
      <c r="O48" s="103">
        <v>2.3777351287882329</v>
      </c>
      <c r="P48" s="103">
        <v>3.597225785738408</v>
      </c>
      <c r="Q48" s="103">
        <v>2.2822777034508803</v>
      </c>
      <c r="R48" s="103">
        <v>2.2822777034508803</v>
      </c>
      <c r="S48" s="103">
        <v>0.13264013006099176</v>
      </c>
      <c r="T48" s="103">
        <v>24.044174407277158</v>
      </c>
      <c r="U48" s="93">
        <v>47350.991180981757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5.0058170588995567</v>
      </c>
      <c r="E50" s="99">
        <v>5.6834604162178365E-2</v>
      </c>
      <c r="F50" s="99">
        <v>8.7437852557197496E-3</v>
      </c>
      <c r="G50" s="99">
        <v>0.75633742461975839</v>
      </c>
      <c r="H50" s="99">
        <v>0.75633742461975839</v>
      </c>
      <c r="I50" s="99">
        <v>3.9347033650738876E-2</v>
      </c>
      <c r="J50" s="99">
        <v>5.5217003889870222</v>
      </c>
      <c r="K50" s="49">
        <v>702.04156711388055</v>
      </c>
      <c r="L50" s="100">
        <v>62.456124862364391</v>
      </c>
      <c r="M50" s="49" t="s">
        <v>237</v>
      </c>
      <c r="N50" s="99">
        <v>4.6183463528826909</v>
      </c>
      <c r="O50" s="99">
        <v>5.2435373438842775E-2</v>
      </c>
      <c r="P50" s="99">
        <v>8.0669805290527318E-3</v>
      </c>
      <c r="Q50" s="99">
        <v>0.69779381576306154</v>
      </c>
      <c r="R50" s="99">
        <v>0.69779381576306154</v>
      </c>
      <c r="S50" s="99">
        <v>3.6301412380737294E-2</v>
      </c>
      <c r="T50" s="99">
        <v>5.0942982040967992</v>
      </c>
      <c r="U50" s="49">
        <v>647.69759802457781</v>
      </c>
      <c r="V50" s="100">
        <v>57.621765453948875</v>
      </c>
      <c r="W50" t="s">
        <v>237</v>
      </c>
      <c r="Y50" s="14">
        <f>N50/$U50*2000</f>
        <v>14.260810498505018</v>
      </c>
      <c r="Z50" s="6">
        <f t="shared" ref="Z50:AE65" si="0">O50/$U50*2000</f>
        <v>0.16191313229743687</v>
      </c>
      <c r="AA50" s="249">
        <f t="shared" si="0"/>
        <v>2.4909712661144126E-2</v>
      </c>
      <c r="AB50" s="6">
        <f t="shared" si="0"/>
        <v>2.1546901451889675</v>
      </c>
      <c r="AC50" s="250">
        <f t="shared" si="0"/>
        <v>2.1546901451889675</v>
      </c>
      <c r="AD50" s="6">
        <f t="shared" si="0"/>
        <v>0.11209370697514856</v>
      </c>
      <c r="AE50" s="14">
        <f t="shared" si="0"/>
        <v>15.730483545512509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0.10837219510140556</v>
      </c>
      <c r="E51" s="99">
        <v>5.7253235147912383E-3</v>
      </c>
      <c r="F51" s="99">
        <v>8.1790335925589091E-4</v>
      </c>
      <c r="G51" s="99">
        <v>6.2569606983075662E-2</v>
      </c>
      <c r="H51" s="99">
        <v>6.2569606983075662E-2</v>
      </c>
      <c r="I51" s="99">
        <v>3.476089276837535E-3</v>
      </c>
      <c r="J51" s="99">
        <v>0.47193023829064901</v>
      </c>
      <c r="K51" s="49">
        <v>65.658094929335732</v>
      </c>
      <c r="L51" s="100">
        <v>5.8422151090246857</v>
      </c>
      <c r="M51" s="49" t="s">
        <v>237</v>
      </c>
      <c r="N51" s="99">
        <v>9.4323834632460468E-2</v>
      </c>
      <c r="O51" s="99">
        <v>4.9831459805828177E-3</v>
      </c>
      <c r="P51" s="99">
        <v>7.1187799722611654E-4</v>
      </c>
      <c r="Q51" s="99">
        <v>5.4458666787797955E-2</v>
      </c>
      <c r="R51" s="99">
        <v>5.4458666787797955E-2</v>
      </c>
      <c r="S51" s="99">
        <v>3.0254814882109968E-3</v>
      </c>
      <c r="T51" s="99">
        <v>0.41075360439946945</v>
      </c>
      <c r="U51" s="49">
        <v>57.146477529973339</v>
      </c>
      <c r="V51" s="100">
        <v>5.0848848389134433</v>
      </c>
      <c r="W51" t="s">
        <v>237</v>
      </c>
      <c r="Y51" s="14">
        <f t="shared" ref="Y51:AE70" si="1">N51/$U51*2000</f>
        <v>3.3011250634997618</v>
      </c>
      <c r="Z51" s="6">
        <f t="shared" si="0"/>
        <v>0.17439905995847799</v>
      </c>
      <c r="AA51" s="249">
        <f t="shared" si="0"/>
        <v>2.4914151422639703E-2</v>
      </c>
      <c r="AB51" s="6">
        <f t="shared" si="0"/>
        <v>1.9059325838319388</v>
      </c>
      <c r="AC51" s="250">
        <f t="shared" si="0"/>
        <v>1.9059325838319388</v>
      </c>
      <c r="AD51" s="6">
        <f t="shared" si="0"/>
        <v>0.10588514354621879</v>
      </c>
      <c r="AE51" s="14">
        <f t="shared" si="0"/>
        <v>14.375465370863116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5.166081210992645E-2</v>
      </c>
      <c r="E52" s="99">
        <v>8.6101353516544101E-3</v>
      </c>
      <c r="F52" s="99">
        <v>1.7220270703308821E-3</v>
      </c>
      <c r="G52" s="99">
        <v>5.166081210992645E-2</v>
      </c>
      <c r="H52" s="99">
        <v>5.166081210992645E-2</v>
      </c>
      <c r="I52" s="99">
        <v>3.8745609082444852E-3</v>
      </c>
      <c r="J52" s="99">
        <v>0.60615352875647044</v>
      </c>
      <c r="K52" s="49">
        <v>138.2376237671096</v>
      </c>
      <c r="L52" s="100">
        <v>12.300294960995583</v>
      </c>
      <c r="M52" s="49" t="s">
        <v>237</v>
      </c>
      <c r="N52" s="99">
        <v>4.4963986323943307E-2</v>
      </c>
      <c r="O52" s="99">
        <v>7.4939977206572193E-3</v>
      </c>
      <c r="P52" s="99">
        <v>1.4987995441314442E-3</v>
      </c>
      <c r="Q52" s="99">
        <v>4.4963986323943307E-2</v>
      </c>
      <c r="R52" s="99">
        <v>4.4963986323943307E-2</v>
      </c>
      <c r="S52" s="99">
        <v>3.3722989742957479E-3</v>
      </c>
      <c r="T52" s="99">
        <v>0.52757743953426806</v>
      </c>
      <c r="U52" s="49">
        <v>120.31712569342992</v>
      </c>
      <c r="V52" s="100">
        <v>10.705799460330271</v>
      </c>
      <c r="W52" t="s">
        <v>237</v>
      </c>
      <c r="Y52" s="14">
        <f t="shared" si="1"/>
        <v>0.74742454267919123</v>
      </c>
      <c r="Z52" s="6">
        <f t="shared" si="0"/>
        <v>0.12457075711319857</v>
      </c>
      <c r="AA52" s="249">
        <f t="shared" si="0"/>
        <v>2.4914151422639714E-2</v>
      </c>
      <c r="AB52" s="6">
        <f t="shared" si="0"/>
        <v>0.74742454267919123</v>
      </c>
      <c r="AC52" s="250">
        <f t="shared" si="0"/>
        <v>0.74742454267919123</v>
      </c>
      <c r="AD52" s="6">
        <f t="shared" si="0"/>
        <v>5.6056840700939338E-2</v>
      </c>
      <c r="AE52" s="14">
        <f t="shared" si="0"/>
        <v>8.7697813007691749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3.8879489239790614E-2</v>
      </c>
      <c r="E53" s="99">
        <v>5.1839318986387477E-3</v>
      </c>
      <c r="F53" s="99">
        <v>1.0367863797277497E-3</v>
      </c>
      <c r="G53" s="99">
        <v>3.3695557341151858E-2</v>
      </c>
      <c r="H53" s="99">
        <v>3.3695557341151858E-2</v>
      </c>
      <c r="I53" s="99">
        <v>2.3327693543874367E-3</v>
      </c>
      <c r="J53" s="99">
        <v>0.27734035657717304</v>
      </c>
      <c r="K53" s="49">
        <v>83.229170990981771</v>
      </c>
      <c r="L53" s="100">
        <v>7.4056781695909617</v>
      </c>
      <c r="M53" s="49" t="s">
        <v>237</v>
      </c>
      <c r="N53" s="99">
        <v>3.3839514925549145E-2</v>
      </c>
      <c r="O53" s="99">
        <v>4.5119353234065514E-3</v>
      </c>
      <c r="P53" s="99">
        <v>9.0238706468131048E-4</v>
      </c>
      <c r="Q53" s="99">
        <v>2.9327579602142582E-2</v>
      </c>
      <c r="R53" s="99">
        <v>2.9327579602142582E-2</v>
      </c>
      <c r="S53" s="99">
        <v>2.0303708955329491E-3</v>
      </c>
      <c r="T53" s="99">
        <v>0.24138853980225064</v>
      </c>
      <c r="U53" s="49">
        <v>72.439719047489106</v>
      </c>
      <c r="V53" s="100">
        <v>6.4456751324091304</v>
      </c>
      <c r="W53" t="s">
        <v>237</v>
      </c>
      <c r="Y53" s="14">
        <f t="shared" si="1"/>
        <v>0.93428067834898887</v>
      </c>
      <c r="Z53" s="6">
        <f t="shared" si="0"/>
        <v>0.12457075711319848</v>
      </c>
      <c r="AA53" s="249">
        <f t="shared" si="0"/>
        <v>2.4914151422639703E-2</v>
      </c>
      <c r="AB53" s="6">
        <f t="shared" si="0"/>
        <v>0.80970992123579011</v>
      </c>
      <c r="AC53" s="250">
        <f t="shared" si="0"/>
        <v>0.80970992123579011</v>
      </c>
      <c r="AD53" s="6">
        <f t="shared" si="0"/>
        <v>5.6056840700939345E-2</v>
      </c>
      <c r="AE53" s="14">
        <f t="shared" si="0"/>
        <v>6.6645355055561222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2.1993292422591173</v>
      </c>
      <c r="E54" s="99">
        <v>6.0259240703873347E-2</v>
      </c>
      <c r="F54" s="99">
        <v>1.659871126233296E-2</v>
      </c>
      <c r="G54" s="99">
        <v>0.50385509976641962</v>
      </c>
      <c r="H54" s="99">
        <v>0.50385509976641962</v>
      </c>
      <c r="I54" s="99">
        <v>1.6475405463114795E-2</v>
      </c>
      <c r="J54" s="99">
        <v>5.0281912375696507</v>
      </c>
      <c r="K54" s="49">
        <v>1332.4798674973072</v>
      </c>
      <c r="L54" s="100">
        <v>118.56320264458115</v>
      </c>
      <c r="M54" s="49" t="s">
        <v>237</v>
      </c>
      <c r="N54" s="99">
        <v>1.9142287148015242</v>
      </c>
      <c r="O54" s="99">
        <v>5.2447794841760667E-2</v>
      </c>
      <c r="P54" s="99">
        <v>1.4447009168313388E-2</v>
      </c>
      <c r="Q54" s="99">
        <v>0.43854002463103442</v>
      </c>
      <c r="R54" s="99">
        <v>0.43854002463103442</v>
      </c>
      <c r="S54" s="99">
        <v>1.4339687582700081E-2</v>
      </c>
      <c r="T54" s="99">
        <v>4.3763834288778325</v>
      </c>
      <c r="U54" s="49">
        <v>1159.7432257062767</v>
      </c>
      <c r="V54" s="100">
        <v>103.193775020225</v>
      </c>
      <c r="W54" t="s">
        <v>237</v>
      </c>
      <c r="Y54" s="14">
        <f t="shared" si="1"/>
        <v>3.3011250634997595</v>
      </c>
      <c r="Z54" s="6">
        <f t="shared" si="0"/>
        <v>9.0447253632062005E-2</v>
      </c>
      <c r="AA54" s="249">
        <f t="shared" si="0"/>
        <v>2.491415142263969E-2</v>
      </c>
      <c r="AB54" s="6">
        <f t="shared" si="0"/>
        <v>0.75627089671330672</v>
      </c>
      <c r="AC54" s="250">
        <f t="shared" si="0"/>
        <v>0.75627089671330672</v>
      </c>
      <c r="AD54" s="6">
        <f t="shared" si="0"/>
        <v>2.4729073237685518E-2</v>
      </c>
      <c r="AE54" s="14">
        <f t="shared" si="0"/>
        <v>7.5471592881478422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1.048415921130877</v>
      </c>
      <c r="E55" s="99">
        <v>0.14056109076482151</v>
      </c>
      <c r="F55" s="99">
        <v>3.4947197371029221E-2</v>
      </c>
      <c r="G55" s="99">
        <v>0.69240229170382162</v>
      </c>
      <c r="H55" s="99">
        <v>0.69240229170382162</v>
      </c>
      <c r="I55" s="99">
        <v>2.1819434382289372E-2</v>
      </c>
      <c r="J55" s="99">
        <v>10.802261575237942</v>
      </c>
      <c r="K55" s="49">
        <v>2805.4248421094785</v>
      </c>
      <c r="L55" s="100">
        <v>249.62490028753871</v>
      </c>
      <c r="M55" s="49" t="s">
        <v>237</v>
      </c>
      <c r="N55" s="99">
        <v>0.91250906081817484</v>
      </c>
      <c r="O55" s="99">
        <v>0.12234006212251519</v>
      </c>
      <c r="P55" s="99">
        <v>3.0416968693939152E-2</v>
      </c>
      <c r="Q55" s="99">
        <v>0.60264571738808392</v>
      </c>
      <c r="R55" s="99">
        <v>0.60264571738808392</v>
      </c>
      <c r="S55" s="99">
        <v>1.899096644229727E-2</v>
      </c>
      <c r="T55" s="99">
        <v>9.4019571489339597</v>
      </c>
      <c r="U55" s="49">
        <v>2441.7422996232572</v>
      </c>
      <c r="V55" s="100">
        <v>217.26585673414002</v>
      </c>
      <c r="W55" t="s">
        <v>237</v>
      </c>
      <c r="Y55" s="14">
        <f t="shared" si="1"/>
        <v>0.74742454267919123</v>
      </c>
      <c r="Z55" s="6">
        <f t="shared" si="0"/>
        <v>0.10020718577991737</v>
      </c>
      <c r="AA55" s="249">
        <f t="shared" si="0"/>
        <v>2.49141514226397E-2</v>
      </c>
      <c r="AB55" s="6">
        <f t="shared" si="0"/>
        <v>0.49361942698135486</v>
      </c>
      <c r="AC55" s="250">
        <f t="shared" si="0"/>
        <v>0.49361942698135486</v>
      </c>
      <c r="AD55" s="6">
        <f t="shared" si="0"/>
        <v>1.5555258591561802E-2</v>
      </c>
      <c r="AE55" s="14">
        <f t="shared" si="0"/>
        <v>7.701023281928328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0.78902893430513499</v>
      </c>
      <c r="E56" s="99">
        <v>8.4628068243225094E-2</v>
      </c>
      <c r="F56" s="99">
        <v>2.1040771581470264E-2</v>
      </c>
      <c r="G56" s="99">
        <v>0.46256201300815086</v>
      </c>
      <c r="H56" s="99">
        <v>0.46256201300815086</v>
      </c>
      <c r="I56" s="99">
        <v>1.3136897073618139E-2</v>
      </c>
      <c r="J56" s="99">
        <v>6.5037523883472685</v>
      </c>
      <c r="K56" s="49">
        <v>1689.0711625631393</v>
      </c>
      <c r="L56" s="100">
        <v>150.29246701057298</v>
      </c>
      <c r="M56" s="49" t="s">
        <v>237</v>
      </c>
      <c r="N56" s="99">
        <v>0.68674658338316574</v>
      </c>
      <c r="O56" s="99">
        <v>7.3657674893170239E-2</v>
      </c>
      <c r="P56" s="99">
        <v>1.8313242223551081E-2</v>
      </c>
      <c r="Q56" s="99">
        <v>0.40259978845508276</v>
      </c>
      <c r="R56" s="99">
        <v>0.40259978845508276</v>
      </c>
      <c r="S56" s="99">
        <v>1.1433952278959977E-2</v>
      </c>
      <c r="T56" s="99">
        <v>5.6606665962142273</v>
      </c>
      <c r="U56" s="49">
        <v>1470.1076438758159</v>
      </c>
      <c r="V56" s="100">
        <v>130.80995352677832</v>
      </c>
      <c r="W56" t="s">
        <v>237</v>
      </c>
      <c r="Y56" s="14">
        <f t="shared" si="1"/>
        <v>0.9342806783489892</v>
      </c>
      <c r="Z56" s="6">
        <f t="shared" si="0"/>
        <v>0.10020718577991736</v>
      </c>
      <c r="AA56" s="249">
        <f t="shared" si="0"/>
        <v>2.4914151422639703E-2</v>
      </c>
      <c r="AB56" s="6">
        <f t="shared" si="0"/>
        <v>0.54771470665054445</v>
      </c>
      <c r="AC56" s="250">
        <f t="shared" si="0"/>
        <v>0.54771470665054445</v>
      </c>
      <c r="AD56" s="6">
        <f t="shared" si="0"/>
        <v>1.5555258591561795E-2</v>
      </c>
      <c r="AE56" s="14">
        <f t="shared" si="0"/>
        <v>7.7010232819283253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1.3220917532721798E-2</v>
      </c>
      <c r="E57" s="99">
        <v>2.3087840479532506E-2</v>
      </c>
      <c r="F57" s="99">
        <v>1.8451820563062933E-3</v>
      </c>
      <c r="G57" s="99">
        <v>1.706793402083322E-2</v>
      </c>
      <c r="H57" s="99">
        <v>1.706793402083322E-2</v>
      </c>
      <c r="I57" s="99">
        <v>4.1447401939780152E-4</v>
      </c>
      <c r="J57" s="99">
        <v>5.7269838072606598E-2</v>
      </c>
      <c r="K57" s="49">
        <v>176.88729126590781</v>
      </c>
      <c r="L57" s="100">
        <v>15.739317547064742</v>
      </c>
      <c r="M57" s="49" t="s">
        <v>237</v>
      </c>
      <c r="N57" s="99">
        <v>1.1507081109494608E-2</v>
      </c>
      <c r="O57" s="99">
        <v>2.009494820488145E-2</v>
      </c>
      <c r="P57" s="99">
        <v>1.6059898665239918E-3</v>
      </c>
      <c r="Q57" s="99">
        <v>1.4855406265346921E-2</v>
      </c>
      <c r="R57" s="99">
        <v>1.4855406265346921E-2</v>
      </c>
      <c r="S57" s="99">
        <v>3.6074547376795178E-4</v>
      </c>
      <c r="T57" s="99">
        <v>4.9845910482238381E-2</v>
      </c>
      <c r="U57" s="49">
        <v>153.95642573157608</v>
      </c>
      <c r="V57" s="100">
        <v>13.699019237803219</v>
      </c>
      <c r="W57" t="s">
        <v>237</v>
      </c>
      <c r="Y57" s="14">
        <f t="shared" si="1"/>
        <v>0.14948490853583818</v>
      </c>
      <c r="Z57" s="6">
        <f t="shared" si="0"/>
        <v>0.26104721656655122</v>
      </c>
      <c r="AA57" s="249">
        <f t="shared" si="0"/>
        <v>2.0862914410913185E-2</v>
      </c>
      <c r="AB57" s="6">
        <f t="shared" si="0"/>
        <v>0.19298195830094689</v>
      </c>
      <c r="AC57" s="250">
        <f t="shared" si="0"/>
        <v>0.19298195830094689</v>
      </c>
      <c r="AD57" s="6">
        <f t="shared" si="0"/>
        <v>4.6863321495513753E-3</v>
      </c>
      <c r="AE57" s="14">
        <f t="shared" si="0"/>
        <v>0.64753270602871771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4.4594565725432508E-2</v>
      </c>
      <c r="E58" s="99">
        <v>7.7876003475142355E-2</v>
      </c>
      <c r="F58" s="99">
        <v>6.223856421589802E-3</v>
      </c>
      <c r="G58" s="99">
        <v>5.7570671899705647E-2</v>
      </c>
      <c r="H58" s="99">
        <v>5.7570671899705647E-2</v>
      </c>
      <c r="I58" s="99">
        <v>1.3980337486996094E-3</v>
      </c>
      <c r="J58" s="99">
        <v>0.19317294368509355</v>
      </c>
      <c r="K58" s="49">
        <v>596.64633084866523</v>
      </c>
      <c r="L58" s="100">
        <v>53.089207242149243</v>
      </c>
      <c r="M58" s="49" t="s">
        <v>237</v>
      </c>
      <c r="N58" s="99">
        <v>3.8813742206256475E-2</v>
      </c>
      <c r="O58" s="99">
        <v>6.7780884817852882E-2</v>
      </c>
      <c r="P58" s="99">
        <v>5.417053731696533E-3</v>
      </c>
      <c r="Q58" s="99">
        <v>5.0107747018192914E-2</v>
      </c>
      <c r="R58" s="99">
        <v>5.0107747018192914E-2</v>
      </c>
      <c r="S58" s="99">
        <v>1.2168056944823337E-3</v>
      </c>
      <c r="T58" s="99">
        <v>0.16813180519753113</v>
      </c>
      <c r="U58" s="49">
        <v>519.29980874224611</v>
      </c>
      <c r="V58" s="100">
        <v>46.207217635402145</v>
      </c>
      <c r="W58" t="s">
        <v>237</v>
      </c>
      <c r="Y58" s="14">
        <f t="shared" si="1"/>
        <v>0.14948490853583823</v>
      </c>
      <c r="Z58" s="6">
        <f t="shared" si="0"/>
        <v>0.26104721656655122</v>
      </c>
      <c r="AA58" s="249">
        <f t="shared" si="0"/>
        <v>2.0862914410913185E-2</v>
      </c>
      <c r="AB58" s="6">
        <f t="shared" si="0"/>
        <v>0.19298195830094686</v>
      </c>
      <c r="AC58" s="250">
        <f t="shared" si="0"/>
        <v>0.19298195830094686</v>
      </c>
      <c r="AD58" s="6">
        <f t="shared" si="0"/>
        <v>4.6863321495513735E-3</v>
      </c>
      <c r="AE58" s="14">
        <f t="shared" si="0"/>
        <v>0.64753270602871782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1.2524294847458737</v>
      </c>
      <c r="E59" s="99">
        <v>4.4489757676938933E-2</v>
      </c>
      <c r="F59" s="99">
        <v>1.1034621010976868E-2</v>
      </c>
      <c r="G59" s="99">
        <v>0.27228346878961568</v>
      </c>
      <c r="H59" s="99">
        <v>0.27228346878961568</v>
      </c>
      <c r="I59" s="99">
        <v>6.7244585838176158E-3</v>
      </c>
      <c r="J59" s="99">
        <v>1.6709358726658627</v>
      </c>
      <c r="K59" s="49">
        <v>885.50771434702722</v>
      </c>
      <c r="L59" s="100">
        <v>78.819372561741901</v>
      </c>
      <c r="M59" s="49" t="s">
        <v>237</v>
      </c>
      <c r="N59" s="99">
        <v>1.1451222722357819</v>
      </c>
      <c r="O59" s="99">
        <v>4.0677908834582367E-2</v>
      </c>
      <c r="P59" s="99">
        <v>1.0089183015293234E-2</v>
      </c>
      <c r="Q59" s="99">
        <v>0.2489544267922367</v>
      </c>
      <c r="R59" s="99">
        <v>0.2489544267922367</v>
      </c>
      <c r="S59" s="99">
        <v>6.1483120501742913E-3</v>
      </c>
      <c r="T59" s="99">
        <v>1.5277713488641309</v>
      </c>
      <c r="U59" s="49">
        <v>809.63782689745676</v>
      </c>
      <c r="V59" s="100">
        <v>72.066188239263965</v>
      </c>
      <c r="W59" t="s">
        <v>237</v>
      </c>
      <c r="Y59" s="14">
        <f t="shared" si="1"/>
        <v>2.8287272017017933</v>
      </c>
      <c r="Z59" s="6">
        <f t="shared" si="0"/>
        <v>0.10048421030539216</v>
      </c>
      <c r="AA59" s="249">
        <f t="shared" si="0"/>
        <v>2.4922706622923292E-2</v>
      </c>
      <c r="AB59" s="6">
        <f t="shared" si="0"/>
        <v>0.61497726149044551</v>
      </c>
      <c r="AC59" s="250">
        <f t="shared" si="0"/>
        <v>0.61497726149044551</v>
      </c>
      <c r="AD59" s="6">
        <f t="shared" si="0"/>
        <v>1.5187808291355919E-2</v>
      </c>
      <c r="AE59" s="14">
        <f t="shared" si="0"/>
        <v>3.7739623770262112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9.1396780581480888E-2</v>
      </c>
      <c r="E60" s="99">
        <v>1.432020786217441</v>
      </c>
      <c r="F60" s="99">
        <v>3.7049125606039799</v>
      </c>
      <c r="G60" s="99">
        <v>5.8529459927143368E-2</v>
      </c>
      <c r="H60" s="99">
        <v>5.8529459927143368E-2</v>
      </c>
      <c r="I60" s="99">
        <v>3.1401055250912407E-3</v>
      </c>
      <c r="J60" s="99">
        <v>5.7407645278539768E-2</v>
      </c>
      <c r="K60" s="49">
        <v>34407.91678067037</v>
      </c>
      <c r="L60" s="100">
        <v>256.37245604903489</v>
      </c>
      <c r="M60" s="49" t="s">
        <v>238</v>
      </c>
      <c r="N60" s="99">
        <v>8.4417496278128945E-2</v>
      </c>
      <c r="O60" s="99">
        <v>1.3226681358096837</v>
      </c>
      <c r="P60" s="99">
        <v>3.4219962706099079</v>
      </c>
      <c r="Q60" s="99">
        <v>5.4060005550804521E-2</v>
      </c>
      <c r="R60" s="99">
        <v>5.4060005550804521E-2</v>
      </c>
      <c r="S60" s="99">
        <v>2.9003192978006632E-3</v>
      </c>
      <c r="T60" s="99">
        <v>5.3023855444414111E-2</v>
      </c>
      <c r="U60" s="49">
        <v>31780.443121636126</v>
      </c>
      <c r="V60" s="100">
        <v>236.79522097651883</v>
      </c>
      <c r="W60" t="s">
        <v>238</v>
      </c>
      <c r="Y60" s="14">
        <f t="shared" si="1"/>
        <v>5.3125436895281996E-3</v>
      </c>
      <c r="Z60" s="6">
        <f t="shared" si="0"/>
        <v>8.3237866177467562E-2</v>
      </c>
      <c r="AA60" s="249">
        <f t="shared" si="0"/>
        <v>0.21535233209383495</v>
      </c>
      <c r="AB60" s="6">
        <f t="shared" si="0"/>
        <v>3.4020926230572584E-3</v>
      </c>
      <c r="AC60" s="250">
        <f t="shared" si="0"/>
        <v>3.4020926230572584E-3</v>
      </c>
      <c r="AD60" s="6">
        <f t="shared" si="0"/>
        <v>1.8252226922702193E-4</v>
      </c>
      <c r="AE60" s="14">
        <f t="shared" si="0"/>
        <v>3.3368858477819947E-3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2.9002043658771775E-2</v>
      </c>
      <c r="E61" s="99">
        <v>0.73216940513028284</v>
      </c>
      <c r="F61" s="99">
        <v>0.51752987640853465</v>
      </c>
      <c r="G61" s="99">
        <v>1.8572579267363082E-2</v>
      </c>
      <c r="H61" s="99">
        <v>1.8572579267363082E-2</v>
      </c>
      <c r="I61" s="99">
        <v>9.9641887769402965E-4</v>
      </c>
      <c r="J61" s="99">
        <v>1.8216604831405293E-2</v>
      </c>
      <c r="K61" s="49">
        <v>11267.273623393803</v>
      </c>
      <c r="L61" s="100">
        <v>83.952150611708632</v>
      </c>
      <c r="M61" s="49" t="s">
        <v>238</v>
      </c>
      <c r="N61" s="99">
        <v>2.8530019571051432E-2</v>
      </c>
      <c r="O61" s="99">
        <v>0.72025294849779187</v>
      </c>
      <c r="P61" s="99">
        <v>0.50910679524039493</v>
      </c>
      <c r="Q61" s="99">
        <v>1.8270300404244443E-2</v>
      </c>
      <c r="R61" s="99">
        <v>1.8270300404244443E-2</v>
      </c>
      <c r="S61" s="99">
        <v>9.8020161668771477E-4</v>
      </c>
      <c r="T61" s="99">
        <v>1.7920119646496428E-2</v>
      </c>
      <c r="U61" s="49">
        <v>11083.892596327138</v>
      </c>
      <c r="V61" s="100">
        <v>82.585783545618582</v>
      </c>
      <c r="W61" t="s">
        <v>238</v>
      </c>
      <c r="Y61" s="14">
        <f t="shared" si="1"/>
        <v>5.148014440433211E-3</v>
      </c>
      <c r="Z61" s="6">
        <f t="shared" si="0"/>
        <v>0.12996389891696741</v>
      </c>
      <c r="AA61" s="249">
        <f t="shared" si="0"/>
        <v>9.1864259927797801E-2</v>
      </c>
      <c r="AB61" s="6">
        <f t="shared" si="0"/>
        <v>3.2967299611507714E-3</v>
      </c>
      <c r="AC61" s="250">
        <f t="shared" si="0"/>
        <v>3.2967299611507714E-3</v>
      </c>
      <c r="AD61" s="6">
        <f t="shared" si="0"/>
        <v>1.7686956241573897E-4</v>
      </c>
      <c r="AE61" s="14">
        <f t="shared" si="0"/>
        <v>3.2335426368953822E-3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6.1087228924611267E-4</v>
      </c>
      <c r="E62" s="99">
        <v>1.5421740822482514E-2</v>
      </c>
      <c r="F62" s="99">
        <v>2.4762671102349695E-2</v>
      </c>
      <c r="G62" s="99">
        <v>3.4270535161072259E-4</v>
      </c>
      <c r="H62" s="99">
        <v>3.4270535161072259E-4</v>
      </c>
      <c r="I62" s="99">
        <v>2.0987647906008694E-5</v>
      </c>
      <c r="J62" s="99">
        <v>3.8369775684020255E-4</v>
      </c>
      <c r="K62" s="49">
        <v>234.74459821955466</v>
      </c>
      <c r="L62" s="100">
        <v>1.7135267580536127</v>
      </c>
      <c r="M62" s="49" t="s">
        <v>238</v>
      </c>
      <c r="N62" s="99">
        <v>5.7679763140343202E-4</v>
      </c>
      <c r="O62" s="99">
        <v>1.4561511031222687E-2</v>
      </c>
      <c r="P62" s="99">
        <v>2.338140113817317E-2</v>
      </c>
      <c r="Q62" s="99">
        <v>3.2358913402717087E-4</v>
      </c>
      <c r="R62" s="99">
        <v>3.2358913402717087E-4</v>
      </c>
      <c r="S62" s="99">
        <v>1.9816949981238735E-5</v>
      </c>
      <c r="T62" s="99">
        <v>3.6229496936809549E-4</v>
      </c>
      <c r="U62" s="49">
        <v>221.65046708026134</v>
      </c>
      <c r="V62" s="100">
        <v>1.6179456701358543</v>
      </c>
      <c r="W62" t="s">
        <v>238</v>
      </c>
      <c r="Y62" s="14">
        <f t="shared" si="1"/>
        <v>5.2045695098361256E-3</v>
      </c>
      <c r="Z62" s="6">
        <f t="shared" si="0"/>
        <v>0.13139165662980401</v>
      </c>
      <c r="AA62" s="249">
        <f t="shared" si="0"/>
        <v>0.21097542853096343</v>
      </c>
      <c r="AB62" s="6">
        <f t="shared" si="0"/>
        <v>2.919814591773423E-3</v>
      </c>
      <c r="AC62" s="250">
        <f t="shared" si="0"/>
        <v>2.919814591773423E-3</v>
      </c>
      <c r="AD62" s="6">
        <f t="shared" si="0"/>
        <v>1.7881261647928644E-4</v>
      </c>
      <c r="AE62" s="14">
        <f t="shared" si="0"/>
        <v>3.2690656973612935E-3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2.3540940980857255E-3</v>
      </c>
      <c r="E63" s="99">
        <v>3.6884359161482583E-2</v>
      </c>
      <c r="F63" s="99">
        <v>9.5426914792321779E-2</v>
      </c>
      <c r="G63" s="99">
        <v>1.5075351155919309E-3</v>
      </c>
      <c r="H63" s="99">
        <v>1.5075351155919309E-3</v>
      </c>
      <c r="I63" s="99">
        <v>8.0879258951507124E-5</v>
      </c>
      <c r="J63" s="99">
        <v>1.4786406925430863E-3</v>
      </c>
      <c r="K63" s="49">
        <v>825.41868796834694</v>
      </c>
      <c r="L63" s="100">
        <v>6.6033495037467773</v>
      </c>
      <c r="M63" s="49" t="s">
        <v>238</v>
      </c>
      <c r="N63" s="99">
        <v>1.9514151591966265E-3</v>
      </c>
      <c r="O63" s="99">
        <v>3.057511492998485E-2</v>
      </c>
      <c r="P63" s="99">
        <v>7.9103689301344288E-2</v>
      </c>
      <c r="Q63" s="99">
        <v>1.2496640979557847E-3</v>
      </c>
      <c r="R63" s="99">
        <v>1.2496640979557847E-3</v>
      </c>
      <c r="S63" s="99">
        <v>6.704447885532783E-5</v>
      </c>
      <c r="T63" s="99">
        <v>1.225712202744965E-3</v>
      </c>
      <c r="U63" s="49">
        <v>684.22691416431519</v>
      </c>
      <c r="V63" s="100">
        <v>5.4738153133145229</v>
      </c>
      <c r="W63" t="s">
        <v>238</v>
      </c>
      <c r="Y63" s="14">
        <f t="shared" si="1"/>
        <v>5.703999999999999E-3</v>
      </c>
      <c r="Z63" s="6">
        <f t="shared" si="0"/>
        <v>8.9371272298833668E-2</v>
      </c>
      <c r="AA63" s="249">
        <f t="shared" si="0"/>
        <v>0.23122063065279469</v>
      </c>
      <c r="AB63" s="6">
        <f t="shared" si="0"/>
        <v>3.6527767969550561E-3</v>
      </c>
      <c r="AC63" s="250">
        <f t="shared" si="0"/>
        <v>3.6527767969550561E-3</v>
      </c>
      <c r="AD63" s="6">
        <f t="shared" si="0"/>
        <v>1.9597147515663872E-4</v>
      </c>
      <c r="AE63" s="14">
        <f t="shared" si="0"/>
        <v>3.582765241680083E-3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6.4990552711092803E-4</v>
      </c>
      <c r="E64" s="99">
        <v>1.1107476281532224E-2</v>
      </c>
      <c r="F64" s="99">
        <v>7.0898784775737638E-5</v>
      </c>
      <c r="G64" s="99">
        <v>5.8529310125197205E-6</v>
      </c>
      <c r="H64" s="99">
        <v>5.8529310125197205E-6</v>
      </c>
      <c r="I64" s="99">
        <v>2.3632928258579197E-3</v>
      </c>
      <c r="J64" s="99">
        <v>4.7265856517158394E-3</v>
      </c>
      <c r="K64" s="49">
        <v>291.73882732240446</v>
      </c>
      <c r="L64" s="100">
        <v>287.42741608118689</v>
      </c>
      <c r="M64" s="49" t="s">
        <v>239</v>
      </c>
      <c r="N64" s="99">
        <v>6.4990552711092803E-4</v>
      </c>
      <c r="O64" s="99">
        <v>1.1107476281532224E-2</v>
      </c>
      <c r="P64" s="99">
        <v>7.0898784775737638E-5</v>
      </c>
      <c r="Q64" s="99">
        <v>5.8529310125197205E-6</v>
      </c>
      <c r="R64" s="99">
        <v>5.8529310125197205E-6</v>
      </c>
      <c r="S64" s="99">
        <v>2.3632928258579197E-3</v>
      </c>
      <c r="T64" s="99">
        <v>4.7265856517158394E-3</v>
      </c>
      <c r="U64" s="49">
        <v>291.73882732240446</v>
      </c>
      <c r="V64" s="100">
        <v>287.42741608118689</v>
      </c>
      <c r="W64" t="s">
        <v>239</v>
      </c>
      <c r="Y64" s="14">
        <f t="shared" si="1"/>
        <v>4.455392743405449E-3</v>
      </c>
      <c r="Z64" s="6">
        <f t="shared" si="0"/>
        <v>7.6146712341838577E-2</v>
      </c>
      <c r="AA64" s="249">
        <f t="shared" si="0"/>
        <v>4.8604284473514008E-4</v>
      </c>
      <c r="AB64" s="6">
        <f t="shared" si="0"/>
        <v>4.0124456975701546E-5</v>
      </c>
      <c r="AC64" s="250">
        <f t="shared" si="0"/>
        <v>4.0124456975701546E-5</v>
      </c>
      <c r="AD64" s="6">
        <f t="shared" si="0"/>
        <v>1.6201428157837993E-2</v>
      </c>
      <c r="AE64" s="14">
        <f t="shared" si="0"/>
        <v>3.2402856315675986E-2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0.13262524434035905</v>
      </c>
      <c r="F65" s="99">
        <v>7.9575146604215412E-4</v>
      </c>
      <c r="G65" s="99">
        <v>1.0079518569867293E-2</v>
      </c>
      <c r="H65" s="99">
        <v>1.0079518569867293E-2</v>
      </c>
      <c r="I65" s="99">
        <v>2.6525048868071801E-2</v>
      </c>
      <c r="J65" s="99">
        <v>5.3050097736143602E-2</v>
      </c>
      <c r="K65" s="49">
        <v>2692.2924601092905</v>
      </c>
      <c r="L65" s="100">
        <v>2652.5048868071813</v>
      </c>
      <c r="M65" s="49" t="s">
        <v>239</v>
      </c>
      <c r="N65" s="99">
        <v>7.2943884387197469E-3</v>
      </c>
      <c r="O65" s="99">
        <v>0.13262524434035905</v>
      </c>
      <c r="P65" s="99">
        <v>7.9575146604215412E-4</v>
      </c>
      <c r="Q65" s="99">
        <v>1.0079518569867293E-2</v>
      </c>
      <c r="R65" s="99">
        <v>1.0079518569867293E-2</v>
      </c>
      <c r="S65" s="99">
        <v>2.6525048868071801E-2</v>
      </c>
      <c r="T65" s="99">
        <v>5.3050097736143602E-2</v>
      </c>
      <c r="U65" s="49">
        <v>2692.2924601092905</v>
      </c>
      <c r="V65" s="100">
        <v>2652.5048868071813</v>
      </c>
      <c r="W65" t="s">
        <v>239</v>
      </c>
      <c r="Y65" s="14">
        <f t="shared" si="1"/>
        <v>5.4187192118226556E-3</v>
      </c>
      <c r="Z65" s="6">
        <f t="shared" si="0"/>
        <v>9.8522167487684664E-2</v>
      </c>
      <c r="AA65" s="249">
        <f t="shared" si="0"/>
        <v>5.9113300492610779E-4</v>
      </c>
      <c r="AB65" s="6">
        <f t="shared" si="0"/>
        <v>7.4876847290640388E-3</v>
      </c>
      <c r="AC65" s="250">
        <f t="shared" si="0"/>
        <v>7.4876847290640388E-3</v>
      </c>
      <c r="AD65" s="6">
        <f t="shared" si="0"/>
        <v>1.9704433497536925E-2</v>
      </c>
      <c r="AE65" s="14">
        <f t="shared" si="0"/>
        <v>3.940886699507385E-2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0.13784951766528067</v>
      </c>
      <c r="E66" s="99">
        <v>6.5064972338012506E-2</v>
      </c>
      <c r="F66" s="99">
        <v>0.12820005142871108</v>
      </c>
      <c r="G66" s="99">
        <v>0.1101417646145593</v>
      </c>
      <c r="H66" s="99">
        <v>0.1101417646145593</v>
      </c>
      <c r="I66" s="99">
        <v>1.7451059688836219E-2</v>
      </c>
      <c r="J66" s="99">
        <v>1.7999700769144029</v>
      </c>
      <c r="K66" s="49">
        <v>419.06253370245332</v>
      </c>
      <c r="L66" s="100">
        <v>27.569903533056145</v>
      </c>
      <c r="M66" s="49" t="s">
        <v>237</v>
      </c>
      <c r="N66" s="99">
        <v>0.12085260759876917</v>
      </c>
      <c r="O66" s="99">
        <v>5.7042430786619039E-2</v>
      </c>
      <c r="P66" s="99">
        <v>0.11239292506685528</v>
      </c>
      <c r="Q66" s="99">
        <v>9.6561233471416555E-2</v>
      </c>
      <c r="R66" s="99">
        <v>9.6561233471416555E-2</v>
      </c>
      <c r="S66" s="99">
        <v>1.5299335858966184E-2</v>
      </c>
      <c r="T66" s="99">
        <v>1.5780329237209278</v>
      </c>
      <c r="U66" s="49">
        <v>367.3919271002581</v>
      </c>
      <c r="V66" s="100">
        <v>24.170521519753827</v>
      </c>
      <c r="W66" t="s">
        <v>237</v>
      </c>
      <c r="Y66" s="14">
        <f t="shared" si="1"/>
        <v>0.65789473684210553</v>
      </c>
      <c r="Z66" s="6">
        <f t="shared" si="1"/>
        <v>0.31052631578947376</v>
      </c>
      <c r="AA66" s="249">
        <f t="shared" si="1"/>
        <v>0.61184210526315796</v>
      </c>
      <c r="AB66" s="6">
        <f t="shared" si="1"/>
        <v>0.52565789473684221</v>
      </c>
      <c r="AC66" s="250">
        <f t="shared" si="1"/>
        <v>0.52565789473684221</v>
      </c>
      <c r="AD66" s="6">
        <f t="shared" si="1"/>
        <v>8.3286184210526359E-2</v>
      </c>
      <c r="AE66" s="14">
        <f t="shared" si="1"/>
        <v>8.5904605263157912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3.2399354138048429E-4</v>
      </c>
      <c r="G67" s="99">
        <v>2.7835574146559887E-4</v>
      </c>
      <c r="H67" s="99">
        <v>2.7835574146559887E-4</v>
      </c>
      <c r="I67" s="99">
        <v>4.4103185345228465E-5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3.2922344900610862E-4</v>
      </c>
      <c r="O67" s="99">
        <v>1.5539346793088334E-4</v>
      </c>
      <c r="P67" s="99">
        <v>3.0617780757568117E-4</v>
      </c>
      <c r="Q67" s="99">
        <v>2.6304953575588086E-4</v>
      </c>
      <c r="R67" s="99">
        <v>2.6304953575588086E-4</v>
      </c>
      <c r="S67" s="99">
        <v>4.1678042526928352E-5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1.0645223161162029E-3</v>
      </c>
      <c r="E68" s="99">
        <v>4.2325140919862258E-5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8.7269646582558813E-4</v>
      </c>
      <c r="O68" s="99">
        <v>3.5510956409239786E-5</v>
      </c>
      <c r="P68" s="99">
        <v>7.5369704121824456E-6</v>
      </c>
      <c r="Q68" s="99">
        <v>2.5766689106639573E-4</v>
      </c>
      <c r="R68" s="99">
        <v>2.5766689106639573E-4</v>
      </c>
      <c r="S68" s="99">
        <v>9.931887845632114E-6</v>
      </c>
      <c r="T68" s="99">
        <v>1.8733911971619828E-3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4.5454071442014882E-4</v>
      </c>
      <c r="E69" s="101">
        <v>2.3729271934124715E-2</v>
      </c>
      <c r="F69" s="101">
        <v>1.6802202817214625E-2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5.648986028061233E-3</v>
      </c>
      <c r="K69" s="94">
        <v>125.9077778943812</v>
      </c>
      <c r="L69" s="102">
        <v>0.90908142884029708</v>
      </c>
      <c r="M69" s="94" t="s">
        <v>238</v>
      </c>
      <c r="N69" s="101">
        <v>4.5454071442014882E-4</v>
      </c>
      <c r="O69" s="101">
        <v>2.3729271934124715E-2</v>
      </c>
      <c r="P69" s="101">
        <v>1.6802202817214625E-2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5.648986028061233E-3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7.2202166064981961E-3</v>
      </c>
      <c r="Z69" s="252">
        <f t="shared" si="1"/>
        <v>0.37693099395384794</v>
      </c>
      <c r="AA69" s="253">
        <f t="shared" si="1"/>
        <v>0.26689697964980835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8.9732121756607178E-2</v>
      </c>
    </row>
    <row r="70" spans="1:31" x14ac:dyDescent="0.25">
      <c r="A70" s="17" t="s">
        <v>236</v>
      </c>
      <c r="B70" s="17" t="s">
        <v>219</v>
      </c>
      <c r="C70" s="17"/>
      <c r="D70" s="103">
        <v>10.82277366649109</v>
      </c>
      <c r="E70" s="103">
        <v>2.9564860130691883</v>
      </c>
      <c r="F70" s="103">
        <v>4.5928449897800583</v>
      </c>
      <c r="G70" s="103">
        <v>3.1121275353028244</v>
      </c>
      <c r="H70" s="103">
        <v>3.1121275353028244</v>
      </c>
      <c r="I70" s="103">
        <v>0.15964855157155552</v>
      </c>
      <c r="J70" s="103">
        <v>33.080268993653469</v>
      </c>
      <c r="K70" s="93">
        <v>58765.220076355523</v>
      </c>
      <c r="L70" s="93"/>
      <c r="M70" s="93"/>
      <c r="N70" s="103">
        <v>9.7463302341526692</v>
      </c>
      <c r="O70" s="103">
        <v>2.7591767642139109</v>
      </c>
      <c r="P70" s="103">
        <v>4.2554331410371038</v>
      </c>
      <c r="Q70" s="103">
        <v>2.7676835525123242</v>
      </c>
      <c r="R70" s="103">
        <v>2.7676835525123242</v>
      </c>
      <c r="S70" s="103">
        <v>0.14544324049434942</v>
      </c>
      <c r="T70" s="103">
        <v>29.178936828185144</v>
      </c>
      <c r="U70" s="93">
        <v>54722.657785349467</v>
      </c>
      <c r="Y70" s="14">
        <f t="shared" si="1"/>
        <v>0.3562082189934126</v>
      </c>
      <c r="Z70" s="6">
        <f t="shared" si="1"/>
        <v>0.10084220598483455</v>
      </c>
      <c r="AA70" s="249">
        <f t="shared" si="1"/>
        <v>0.15552728296674151</v>
      </c>
      <c r="AB70" s="6">
        <f t="shared" si="1"/>
        <v>0.10115311150889669</v>
      </c>
      <c r="AC70" s="250">
        <f t="shared" si="1"/>
        <v>0.10115311150889669</v>
      </c>
      <c r="AD70" s="6">
        <f t="shared" si="1"/>
        <v>5.3156497283027787E-3</v>
      </c>
      <c r="AE70" s="14">
        <f t="shared" si="1"/>
        <v>1.0664298120401974</v>
      </c>
    </row>
    <row r="71" spans="1:31" x14ac:dyDescent="0.25">
      <c r="R71" s="99"/>
      <c r="T71" s="1" t="s">
        <v>33</v>
      </c>
      <c r="U71" s="49">
        <f>SUM(U50:U60,U62:U64,U66)</f>
        <v>40797.539408175464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7.8928737821512263</v>
      </c>
      <c r="O74" s="99">
        <f t="shared" si="2"/>
        <v>0.20758665388238767</v>
      </c>
      <c r="P74" s="99">
        <f t="shared" si="2"/>
        <v>0.14570797577674074</v>
      </c>
      <c r="Q74" s="99">
        <f>SUM(Q50,Q51,Q54, Q59,Q66)</f>
        <v>1.5363081674455472</v>
      </c>
      <c r="R74" s="99">
        <f t="shared" ref="R74:U74" si="3">SUM(R50,R51,R54, R59,R66)</f>
        <v>1.5363081674455472</v>
      </c>
      <c r="S74" s="99">
        <f t="shared" si="3"/>
        <v>7.5114229360788848E-2</v>
      </c>
      <c r="T74" s="99">
        <f t="shared" si="3"/>
        <v>12.987239509959162</v>
      </c>
      <c r="U74" s="49">
        <f t="shared" si="3"/>
        <v>3041.6170552585431</v>
      </c>
      <c r="Y74" s="14">
        <f t="shared" ref="Y74:AE81" si="4">N74/$U74*2000</f>
        <v>5.1899194663611707</v>
      </c>
      <c r="Z74" s="6">
        <f t="shared" si="4"/>
        <v>0.13649756041675168</v>
      </c>
      <c r="AA74" s="249">
        <f t="shared" si="4"/>
        <v>9.5809546783564639E-2</v>
      </c>
      <c r="AB74" s="6">
        <f t="shared" si="4"/>
        <v>1.0101917102216922</v>
      </c>
      <c r="AC74" s="250">
        <f t="shared" si="4"/>
        <v>1.0101917102216922</v>
      </c>
      <c r="AD74" s="6">
        <f t="shared" si="4"/>
        <v>4.9390983806410826E-2</v>
      </c>
      <c r="AE74" s="14">
        <f t="shared" si="4"/>
        <v>8.5396940338074359</v>
      </c>
    </row>
    <row r="75" spans="1:31" x14ac:dyDescent="0.25">
      <c r="M75" s="1" t="s">
        <v>588</v>
      </c>
      <c r="N75" s="99">
        <f t="shared" ref="N75:U75" si="5">SUM(N52:N53,N55:N56)</f>
        <v>1.6780591454508329</v>
      </c>
      <c r="O75" s="99">
        <f t="shared" si="5"/>
        <v>0.20800367005974921</v>
      </c>
      <c r="P75" s="99">
        <f t="shared" si="5"/>
        <v>5.1131397526302989E-2</v>
      </c>
      <c r="Q75" s="99">
        <f t="shared" si="5"/>
        <v>1.0795370717692525</v>
      </c>
      <c r="R75" s="99">
        <f t="shared" si="5"/>
        <v>1.0795370717692525</v>
      </c>
      <c r="S75" s="99">
        <f t="shared" si="5"/>
        <v>3.5827588591085945E-2</v>
      </c>
      <c r="T75" s="99">
        <f t="shared" si="5"/>
        <v>15.831589724484706</v>
      </c>
      <c r="U75" s="49">
        <f t="shared" si="5"/>
        <v>4104.6067882399921</v>
      </c>
      <c r="Y75" s="14">
        <f t="shared" si="4"/>
        <v>0.81764672331517796</v>
      </c>
      <c r="Z75" s="6">
        <f t="shared" si="4"/>
        <v>0.10135132585937118</v>
      </c>
      <c r="AA75" s="249">
        <f t="shared" si="4"/>
        <v>2.4914151422639703E-2</v>
      </c>
      <c r="AB75" s="6">
        <f t="shared" si="4"/>
        <v>0.52601241846707836</v>
      </c>
      <c r="AC75" s="250">
        <f t="shared" si="4"/>
        <v>0.52601241846707836</v>
      </c>
      <c r="AD75" s="6">
        <f t="shared" si="4"/>
        <v>1.745725738881234E-2</v>
      </c>
      <c r="AE75" s="14">
        <f t="shared" si="4"/>
        <v>7.7140591249049262</v>
      </c>
    </row>
    <row r="76" spans="1:31" x14ac:dyDescent="0.25">
      <c r="M76" s="1" t="s">
        <v>589</v>
      </c>
      <c r="N76" s="99">
        <f t="shared" ref="N76:V76" si="6">SUM(N60,N62:N63)</f>
        <v>8.6945709068729005E-2</v>
      </c>
      <c r="O76" s="99">
        <f t="shared" si="6"/>
        <v>1.3678047617708913</v>
      </c>
      <c r="P76" s="99">
        <f t="shared" si="6"/>
        <v>3.5244813610494252</v>
      </c>
      <c r="Q76" s="99">
        <f t="shared" si="6"/>
        <v>5.5633258782787479E-2</v>
      </c>
      <c r="R76" s="99">
        <f t="shared" si="6"/>
        <v>5.5633258782787479E-2</v>
      </c>
      <c r="S76" s="99">
        <f t="shared" si="6"/>
        <v>2.9871807266372299E-3</v>
      </c>
      <c r="T76" s="99">
        <f t="shared" si="6"/>
        <v>5.4611862616527174E-2</v>
      </c>
      <c r="U76" s="49">
        <f t="shared" si="6"/>
        <v>32686.320502880702</v>
      </c>
      <c r="V76" s="100">
        <f t="shared" si="6"/>
        <v>243.88698195996923</v>
      </c>
      <c r="W76" t="s">
        <v>238</v>
      </c>
      <c r="Y76" s="14">
        <f t="shared" si="4"/>
        <v>5.3200059065116453E-3</v>
      </c>
      <c r="Z76" s="6">
        <f t="shared" si="4"/>
        <v>8.3692795073115944E-2</v>
      </c>
      <c r="AA76" s="249">
        <f t="shared" si="4"/>
        <v>0.21565482482121573</v>
      </c>
      <c r="AB76" s="6">
        <f t="shared" si="4"/>
        <v>3.4040698326925126E-3</v>
      </c>
      <c r="AC76" s="250">
        <f t="shared" si="4"/>
        <v>3.4040698326925126E-3</v>
      </c>
      <c r="AD76" s="6">
        <f t="shared" si="4"/>
        <v>1.8277864750019593E-4</v>
      </c>
      <c r="AE76" s="14">
        <f t="shared" si="4"/>
        <v>3.3415729746463286E-3</v>
      </c>
    </row>
    <row r="77" spans="1:31" x14ac:dyDescent="0.25">
      <c r="M77" s="1" t="s">
        <v>590</v>
      </c>
      <c r="N77" s="99">
        <f t="shared" ref="N77:U77" si="7">SUM(N64,N66)</f>
        <v>0.1215025131258801</v>
      </c>
      <c r="O77" s="99">
        <f t="shared" si="7"/>
        <v>6.8149907068151258E-2</v>
      </c>
      <c r="P77" s="99">
        <f t="shared" si="7"/>
        <v>0.11246382385163102</v>
      </c>
      <c r="Q77" s="99">
        <f t="shared" si="7"/>
        <v>9.6567086402429073E-2</v>
      </c>
      <c r="R77" s="99">
        <f t="shared" si="7"/>
        <v>9.6567086402429073E-2</v>
      </c>
      <c r="S77" s="99">
        <f t="shared" si="7"/>
        <v>1.7662628684824103E-2</v>
      </c>
      <c r="T77" s="99">
        <f t="shared" si="7"/>
        <v>1.5827595093726436</v>
      </c>
      <c r="U77" s="49">
        <f t="shared" si="7"/>
        <v>659.13075442266256</v>
      </c>
      <c r="Y77" s="14">
        <f t="shared" si="4"/>
        <v>0.36867499296798867</v>
      </c>
      <c r="Z77" s="6">
        <f t="shared" si="4"/>
        <v>0.20678721668159533</v>
      </c>
      <c r="AA77" s="249">
        <f t="shared" si="4"/>
        <v>0.34124890424856263</v>
      </c>
      <c r="AB77" s="6">
        <f t="shared" si="4"/>
        <v>0.2930134446146816</v>
      </c>
      <c r="AC77" s="250">
        <f t="shared" si="4"/>
        <v>0.2930134446146816</v>
      </c>
      <c r="AD77" s="6">
        <f t="shared" si="4"/>
        <v>5.3593702209495379E-2</v>
      </c>
      <c r="AE77" s="14">
        <f t="shared" si="4"/>
        <v>4.8025661031671758</v>
      </c>
    </row>
    <row r="78" spans="1:31" x14ac:dyDescent="0.25">
      <c r="M78" s="1" t="s">
        <v>591</v>
      </c>
      <c r="N78" s="99">
        <f t="shared" ref="N78:V78" si="8">N61</f>
        <v>2.8530019571051432E-2</v>
      </c>
      <c r="O78" s="99">
        <f t="shared" si="8"/>
        <v>0.72025294849779187</v>
      </c>
      <c r="P78" s="99">
        <f t="shared" si="8"/>
        <v>0.50910679524039493</v>
      </c>
      <c r="Q78" s="99">
        <f t="shared" si="8"/>
        <v>1.8270300404244443E-2</v>
      </c>
      <c r="R78" s="99">
        <f t="shared" si="8"/>
        <v>1.8270300404244443E-2</v>
      </c>
      <c r="S78" s="99">
        <f t="shared" si="8"/>
        <v>9.8020161668771477E-4</v>
      </c>
      <c r="T78" s="99">
        <f t="shared" si="8"/>
        <v>1.7920119646496428E-2</v>
      </c>
      <c r="U78" s="49">
        <f t="shared" si="8"/>
        <v>11083.892596327138</v>
      </c>
      <c r="V78" s="100">
        <f t="shared" si="8"/>
        <v>82.585783545618582</v>
      </c>
      <c r="W78" t="s">
        <v>238</v>
      </c>
      <c r="Y78" s="14">
        <f t="shared" si="4"/>
        <v>5.148014440433211E-3</v>
      </c>
      <c r="Z78" s="6">
        <f t="shared" si="4"/>
        <v>0.12996389891696741</v>
      </c>
      <c r="AA78" s="249">
        <f t="shared" si="4"/>
        <v>9.1864259927797801E-2</v>
      </c>
      <c r="AB78" s="6">
        <f t="shared" si="4"/>
        <v>3.2967299611507714E-3</v>
      </c>
      <c r="AC78" s="250">
        <f t="shared" si="4"/>
        <v>3.2967299611507714E-3</v>
      </c>
      <c r="AD78" s="6">
        <f t="shared" si="4"/>
        <v>1.7686956241573897E-4</v>
      </c>
      <c r="AE78" s="14">
        <f t="shared" si="4"/>
        <v>3.2335426368953822E-3</v>
      </c>
    </row>
    <row r="79" spans="1:31" x14ac:dyDescent="0.25">
      <c r="M79" s="1" t="s">
        <v>592</v>
      </c>
      <c r="N79" s="99">
        <f t="shared" ref="N79:V79" si="9">SUM(N50:N59,N68)</f>
        <v>9.5012738397848651</v>
      </c>
      <c r="O79" s="99">
        <f t="shared" si="9"/>
        <v>0.44645923713466146</v>
      </c>
      <c r="P79" s="99">
        <f t="shared" si="9"/>
        <v>9.1477028804821156E-2</v>
      </c>
      <c r="Q79" s="99">
        <f t="shared" si="9"/>
        <v>2.584504825917989</v>
      </c>
      <c r="R79" s="99">
        <f t="shared" si="9"/>
        <v>2.584504825917989</v>
      </c>
      <c r="S79" s="99">
        <f t="shared" si="9"/>
        <v>9.7229965149004519E-2</v>
      </c>
      <c r="T79" s="99">
        <f t="shared" si="9"/>
        <v>27.460647417599869</v>
      </c>
      <c r="U79" s="49">
        <f t="shared" si="9"/>
        <v>7459.9831752192995</v>
      </c>
      <c r="V79" s="100">
        <f t="shared" si="9"/>
        <v>663.75208321986827</v>
      </c>
      <c r="W79" t="s">
        <v>743</v>
      </c>
      <c r="Y79" s="14">
        <f t="shared" si="4"/>
        <v>2.5472641470147974</v>
      </c>
      <c r="Z79" s="6">
        <f t="shared" si="4"/>
        <v>0.11969443540240611</v>
      </c>
      <c r="AA79" s="249">
        <f t="shared" si="4"/>
        <v>2.4524727913245468E-2</v>
      </c>
      <c r="AB79" s="6">
        <f t="shared" si="4"/>
        <v>0.69289829888711851</v>
      </c>
      <c r="AC79" s="250">
        <f t="shared" si="4"/>
        <v>0.69289829888711851</v>
      </c>
      <c r="AD79" s="6">
        <f t="shared" si="4"/>
        <v>2.6067073575174991E-2</v>
      </c>
      <c r="AE79" s="14">
        <f t="shared" si="4"/>
        <v>7.3621204693380866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0.15650990974241466</v>
      </c>
      <c r="P80" s="99">
        <f t="shared" si="10"/>
        <v>1.7904132090832459E-2</v>
      </c>
      <c r="Q80" s="99">
        <f t="shared" si="10"/>
        <v>1.2708081004873814E-2</v>
      </c>
      <c r="R80" s="99">
        <f t="shared" si="10"/>
        <v>1.2708081004873814E-2</v>
      </c>
      <c r="S80" s="99">
        <f t="shared" si="10"/>
        <v>2.6583264317195879E-2</v>
      </c>
      <c r="T80" s="99">
        <f t="shared" si="10"/>
        <v>6.2997918949602105E-2</v>
      </c>
      <c r="U80" s="49">
        <f t="shared" si="10"/>
        <v>2833.3307564996644</v>
      </c>
      <c r="Y80" s="14">
        <f t="shared" si="4"/>
        <v>5.7022305522323588E-3</v>
      </c>
      <c r="Z80" s="6">
        <f t="shared" si="4"/>
        <v>0.110477683823804</v>
      </c>
      <c r="AA80" s="249">
        <f t="shared" si="4"/>
        <v>1.2638222381739483E-2</v>
      </c>
      <c r="AB80" s="6">
        <f t="shared" si="4"/>
        <v>8.9704182794200504E-3</v>
      </c>
      <c r="AC80" s="250">
        <f t="shared" si="4"/>
        <v>8.9704182794200504E-3</v>
      </c>
      <c r="AD80" s="6">
        <f t="shared" si="4"/>
        <v>1.8764674231000977E-2</v>
      </c>
      <c r="AE80" s="14">
        <f t="shared" si="4"/>
        <v>4.4469159701940764E-2</v>
      </c>
    </row>
    <row r="81" spans="13:31" x14ac:dyDescent="0.25">
      <c r="M81" s="1" t="s">
        <v>594</v>
      </c>
      <c r="N81" s="99">
        <f>SUM(N76:N80)</f>
        <v>9.746330234152671</v>
      </c>
      <c r="O81" s="99">
        <f t="shared" ref="O81:U81" si="11">SUM(O76:O80)</f>
        <v>2.7591767642139104</v>
      </c>
      <c r="P81" s="99">
        <f t="shared" si="11"/>
        <v>4.2554331410371038</v>
      </c>
      <c r="Q81" s="99">
        <f t="shared" si="11"/>
        <v>2.7676835525123238</v>
      </c>
      <c r="R81" s="99">
        <f t="shared" si="11"/>
        <v>2.7676835525123238</v>
      </c>
      <c r="S81" s="99">
        <f t="shared" si="11"/>
        <v>0.14544324049434945</v>
      </c>
      <c r="T81" s="99">
        <f t="shared" si="11"/>
        <v>29.17893682818514</v>
      </c>
      <c r="U81" s="49">
        <f t="shared" si="11"/>
        <v>54722.657785349467</v>
      </c>
      <c r="Y81" s="14">
        <f t="shared" si="4"/>
        <v>0.35620821899341265</v>
      </c>
      <c r="Z81" s="6">
        <f t="shared" si="4"/>
        <v>0.10084220598483454</v>
      </c>
      <c r="AA81" s="249">
        <f t="shared" si="4"/>
        <v>0.15552728296674151</v>
      </c>
      <c r="AB81" s="6">
        <f t="shared" si="4"/>
        <v>0.10115311150889668</v>
      </c>
      <c r="AC81" s="250">
        <f t="shared" si="4"/>
        <v>0.10115311150889668</v>
      </c>
      <c r="AD81" s="6">
        <f t="shared" si="4"/>
        <v>5.3156497283027796E-3</v>
      </c>
      <c r="AE81" s="14">
        <f t="shared" si="4"/>
        <v>1.0664298120401974</v>
      </c>
    </row>
    <row r="83" spans="13:31" x14ac:dyDescent="0.25">
      <c r="V83" s="42">
        <f>V79/Lookup!B37</f>
        <v>394.44355777515182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74585.904970659205</v>
      </c>
      <c r="W84" t="s">
        <v>746</v>
      </c>
    </row>
  </sheetData>
  <sheetProtection algorithmName="SHA-512" hashValue="pIbvJ3OtV2moAtoGmAptJ0ksa3kYk8kfZu0hex7nB0Rhl57CIYfHpFML98+DlgCrMSCuGO1rR2dpMY2XcULb5w==" saltValue="BbtmX4LKvdblwElHXBk66A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686EF-0000-4167-8CDC-79D9C230A1A4}">
  <sheetPr codeName="Sheet27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6.0703407026507179</v>
      </c>
      <c r="E6" s="99">
        <v>6.8920898807388054E-2</v>
      </c>
      <c r="F6" s="99">
        <v>1.0603215201136619E-2</v>
      </c>
      <c r="G6" s="99">
        <v>0.91717811489831791</v>
      </c>
      <c r="H6" s="99">
        <v>0.91717811489831791</v>
      </c>
      <c r="I6" s="99">
        <v>4.7714468405114813E-2</v>
      </c>
      <c r="J6" s="99">
        <v>6.6959303995177768</v>
      </c>
      <c r="K6" s="49">
        <v>853.02941716645</v>
      </c>
      <c r="L6" s="100">
        <v>75.737877038037638</v>
      </c>
      <c r="M6" s="49" t="s">
        <v>237</v>
      </c>
      <c r="N6" s="99">
        <v>5.593375876855049</v>
      </c>
      <c r="O6" s="99">
        <v>6.3505577641149016E-2</v>
      </c>
      <c r="P6" s="99">
        <v>9.7700888678690784E-3</v>
      </c>
      <c r="Q6" s="99">
        <v>0.84511268707067522</v>
      </c>
      <c r="R6" s="99">
        <v>0.84511268707067522</v>
      </c>
      <c r="S6" s="99">
        <v>4.3965399905410853E-2</v>
      </c>
      <c r="T6" s="99">
        <v>6.1698111200593244</v>
      </c>
      <c r="U6" s="49">
        <v>786.00434439257549</v>
      </c>
      <c r="V6" s="100">
        <v>69.786925502186094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0.12520935549814913</v>
      </c>
      <c r="E7" s="99">
        <v>6.6148338753739154E-3</v>
      </c>
      <c r="F7" s="99">
        <v>9.4497626791055923E-4</v>
      </c>
      <c r="G7" s="99">
        <v>7.229068449515777E-2</v>
      </c>
      <c r="H7" s="99">
        <v>7.229068449515777E-2</v>
      </c>
      <c r="I7" s="99">
        <v>4.016149138619877E-3</v>
      </c>
      <c r="J7" s="99">
        <v>0.54525130658439269</v>
      </c>
      <c r="K7" s="49">
        <v>76.023407972089544</v>
      </c>
      <c r="L7" s="100">
        <v>6.7498862397135566</v>
      </c>
      <c r="M7" s="49" t="s">
        <v>237</v>
      </c>
      <c r="N7" s="99">
        <v>0.10881081488120713</v>
      </c>
      <c r="O7" s="99">
        <v>5.7484958805166008E-3</v>
      </c>
      <c r="P7" s="99">
        <v>8.2121369721665713E-4</v>
      </c>
      <c r="Q7" s="99">
        <v>6.2822847837074272E-2</v>
      </c>
      <c r="R7" s="99">
        <v>6.2822847837074272E-2</v>
      </c>
      <c r="S7" s="99">
        <v>3.4901582131707945E-3</v>
      </c>
      <c r="T7" s="99">
        <v>0.47384030329401128</v>
      </c>
      <c r="U7" s="49">
        <v>66.066700356203029</v>
      </c>
      <c r="V7" s="100">
        <v>5.865860575486594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5.9687053332658536E-2</v>
      </c>
      <c r="E8" s="99">
        <v>9.9478422221097543E-3</v>
      </c>
      <c r="F8" s="99">
        <v>1.9895684444219512E-3</v>
      </c>
      <c r="G8" s="99">
        <v>5.9687053332658536E-2</v>
      </c>
      <c r="H8" s="99">
        <v>5.9687053332658536E-2</v>
      </c>
      <c r="I8" s="99">
        <v>4.4765289999493876E-3</v>
      </c>
      <c r="J8" s="99">
        <v>0.70032809243652683</v>
      </c>
      <c r="K8" s="49">
        <v>160.06092287706161</v>
      </c>
      <c r="L8" s="100">
        <v>14.211320561166827</v>
      </c>
      <c r="M8" s="49" t="s">
        <v>237</v>
      </c>
      <c r="N8" s="99">
        <v>5.1869901295679519E-2</v>
      </c>
      <c r="O8" s="99">
        <v>8.6449835492799169E-3</v>
      </c>
      <c r="P8" s="99">
        <v>1.7289967098559835E-3</v>
      </c>
      <c r="Q8" s="99">
        <v>5.1869901295679519E-2</v>
      </c>
      <c r="R8" s="99">
        <v>5.1869901295679519E-2</v>
      </c>
      <c r="S8" s="99">
        <v>3.8902425971759644E-3</v>
      </c>
      <c r="T8" s="99">
        <v>0.60860684186930636</v>
      </c>
      <c r="U8" s="49">
        <v>139.09790829606635</v>
      </c>
      <c r="V8" s="100">
        <v>12.350078511676985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4.4919970341620118E-2</v>
      </c>
      <c r="E9" s="99">
        <v>5.9893293788826811E-3</v>
      </c>
      <c r="F9" s="99">
        <v>1.1978658757765361E-3</v>
      </c>
      <c r="G9" s="99">
        <v>3.893064096273742E-2</v>
      </c>
      <c r="H9" s="99">
        <v>3.893064096273742E-2</v>
      </c>
      <c r="I9" s="99">
        <v>2.6951982204972071E-3</v>
      </c>
      <c r="J9" s="99">
        <v>0.32042912177022342</v>
      </c>
      <c r="K9" s="49">
        <v>96.368394913620435</v>
      </c>
      <c r="L9" s="100">
        <v>8.5562555023781233</v>
      </c>
      <c r="M9" s="49" t="s">
        <v>237</v>
      </c>
      <c r="N9" s="99">
        <v>3.9036847988436388E-2</v>
      </c>
      <c r="O9" s="99">
        <v>5.2049130651248519E-3</v>
      </c>
      <c r="P9" s="99">
        <v>1.0409826130249702E-3</v>
      </c>
      <c r="Q9" s="99">
        <v>3.3831934923311532E-2</v>
      </c>
      <c r="R9" s="99">
        <v>3.3831934923311532E-2</v>
      </c>
      <c r="S9" s="99">
        <v>2.3422108793061838E-3</v>
      </c>
      <c r="T9" s="99">
        <v>0.2784628489841795</v>
      </c>
      <c r="U9" s="49">
        <v>83.747125265731597</v>
      </c>
      <c r="V9" s="100">
        <v>7.435651512153485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2.5410262908656831</v>
      </c>
      <c r="E10" s="99">
        <v>6.9621369985906623E-2</v>
      </c>
      <c r="F10" s="99">
        <v>1.917755691219384E-2</v>
      </c>
      <c r="G10" s="99">
        <v>0.58213614891879939</v>
      </c>
      <c r="H10" s="99">
        <v>0.58213614891879939</v>
      </c>
      <c r="I10" s="99">
        <v>1.9035093804984055E-2</v>
      </c>
      <c r="J10" s="99">
        <v>5.8093921931583283</v>
      </c>
      <c r="K10" s="49">
        <v>1542.8358177368225</v>
      </c>
      <c r="L10" s="100">
        <v>136.98368086974287</v>
      </c>
      <c r="M10" s="49" t="s">
        <v>237</v>
      </c>
      <c r="N10" s="99">
        <v>2.2082306888621694</v>
      </c>
      <c r="O10" s="99">
        <v>6.0503130705951917E-2</v>
      </c>
      <c r="P10" s="99">
        <v>1.666589199141261E-2</v>
      </c>
      <c r="Q10" s="99">
        <v>0.50589437573295926</v>
      </c>
      <c r="R10" s="99">
        <v>0.50589437573295926</v>
      </c>
      <c r="S10" s="99">
        <v>1.6542087130950445E-2</v>
      </c>
      <c r="T10" s="99">
        <v>5.0485420677005628</v>
      </c>
      <c r="U10" s="49">
        <v>1340.7721961985405</v>
      </c>
      <c r="V10" s="100">
        <v>119.04306895888689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1.2113022316837143</v>
      </c>
      <c r="E11" s="99">
        <v>0.16239925348298018</v>
      </c>
      <c r="F11" s="99">
        <v>4.0376741056123801E-2</v>
      </c>
      <c r="G11" s="99">
        <v>0.79997682623808464</v>
      </c>
      <c r="H11" s="99">
        <v>0.79997682623808464</v>
      </c>
      <c r="I11" s="99">
        <v>2.5209393551401577E-2</v>
      </c>
      <c r="J11" s="99">
        <v>12.480546402999101</v>
      </c>
      <c r="K11" s="49">
        <v>3248.3116900705586</v>
      </c>
      <c r="L11" s="100">
        <v>288.40767553011472</v>
      </c>
      <c r="M11" s="49" t="s">
        <v>237</v>
      </c>
      <c r="N11" s="99">
        <v>1.0526592232069911</v>
      </c>
      <c r="O11" s="99">
        <v>0.14112999014553665</v>
      </c>
      <c r="P11" s="99">
        <v>3.5088640773566382E-2</v>
      </c>
      <c r="Q11" s="99">
        <v>0.69520468340989539</v>
      </c>
      <c r="R11" s="99">
        <v>0.69520468340989539</v>
      </c>
      <c r="S11" s="99">
        <v>2.1907745184660765E-2</v>
      </c>
      <c r="T11" s="99">
        <v>10.845982066357053</v>
      </c>
      <c r="U11" s="49">
        <v>2822.8836461821215</v>
      </c>
      <c r="V11" s="100">
        <v>250.63521865097735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0.91161579075974686</v>
      </c>
      <c r="E12" s="99">
        <v>9.7776241146287954E-2</v>
      </c>
      <c r="F12" s="99">
        <v>2.430975442025992E-2</v>
      </c>
      <c r="G12" s="99">
        <v>0.53442759438879206</v>
      </c>
      <c r="H12" s="99">
        <v>0.53442759438879206</v>
      </c>
      <c r="I12" s="99">
        <v>1.5177900699474845E-2</v>
      </c>
      <c r="J12" s="99">
        <v>7.514202735328257</v>
      </c>
      <c r="K12" s="49">
        <v>1955.7214723276502</v>
      </c>
      <c r="L12" s="100">
        <v>173.6425373040785</v>
      </c>
      <c r="M12" s="49" t="s">
        <v>237</v>
      </c>
      <c r="N12" s="99">
        <v>0.7922224074750579</v>
      </c>
      <c r="O12" s="99">
        <v>8.4970587324093974E-2</v>
      </c>
      <c r="P12" s="99">
        <v>2.1125930866001532E-2</v>
      </c>
      <c r="Q12" s="99">
        <v>0.46443416156157202</v>
      </c>
      <c r="R12" s="99">
        <v>0.46443416156157202</v>
      </c>
      <c r="S12" s="99">
        <v>1.3190066642586583E-2</v>
      </c>
      <c r="T12" s="99">
        <v>6.5300753251281574</v>
      </c>
      <c r="U12" s="49">
        <v>1699.5826409136941</v>
      </c>
      <c r="V12" s="100">
        <v>150.90075263885916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1.5274974930768065E-2</v>
      </c>
      <c r="E13" s="99">
        <v>2.6674864558952266E-2</v>
      </c>
      <c r="F13" s="99">
        <v>2.1318573074087716E-3</v>
      </c>
      <c r="G13" s="99">
        <v>1.9719680093531144E-2</v>
      </c>
      <c r="H13" s="99">
        <v>1.9719680093531144E-2</v>
      </c>
      <c r="I13" s="99">
        <v>4.788684476766956E-4</v>
      </c>
      <c r="J13" s="99">
        <v>6.616752117869977E-2</v>
      </c>
      <c r="K13" s="49">
        <v>204.8121366216738</v>
      </c>
      <c r="L13" s="100">
        <v>18.184644171917544</v>
      </c>
      <c r="M13" s="49" t="s">
        <v>237</v>
      </c>
      <c r="N13" s="99">
        <v>1.3274427161566639E-2</v>
      </c>
      <c r="O13" s="99">
        <v>2.3181284960358511E-2</v>
      </c>
      <c r="P13" s="99">
        <v>1.852650146681999E-3</v>
      </c>
      <c r="Q13" s="99">
        <v>1.7137013856808488E-2</v>
      </c>
      <c r="R13" s="99">
        <v>1.7137013856808488E-2</v>
      </c>
      <c r="S13" s="99">
        <v>4.1615153919844405E-4</v>
      </c>
      <c r="T13" s="99">
        <v>5.7501628927642552E-2</v>
      </c>
      <c r="U13" s="49">
        <v>177.98810156558056</v>
      </c>
      <c r="V13" s="100">
        <v>15.803020012353556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5.1522965166263722E-2</v>
      </c>
      <c r="E14" s="99">
        <v>8.9975147174699344E-2</v>
      </c>
      <c r="F14" s="99">
        <v>7.1908209530229267E-3</v>
      </c>
      <c r="G14" s="99">
        <v>6.6515093815462084E-2</v>
      </c>
      <c r="H14" s="99">
        <v>6.6515093815462084E-2</v>
      </c>
      <c r="I14" s="99">
        <v>1.6152381565727753E-3</v>
      </c>
      <c r="J14" s="99">
        <v>0.22318510532944905</v>
      </c>
      <c r="K14" s="49">
        <v>690.83770209866634</v>
      </c>
      <c r="L14" s="100">
        <v>61.337369945097322</v>
      </c>
      <c r="M14" s="49" t="s">
        <v>237</v>
      </c>
      <c r="N14" s="99">
        <v>4.4775055366530321E-2</v>
      </c>
      <c r="O14" s="99">
        <v>7.8191194613091805E-2</v>
      </c>
      <c r="P14" s="99">
        <v>6.2490465225248206E-3</v>
      </c>
      <c r="Q14" s="99">
        <v>5.780368033335459E-2</v>
      </c>
      <c r="R14" s="99">
        <v>5.780368033335459E-2</v>
      </c>
      <c r="S14" s="99">
        <v>1.4036920751221381E-3</v>
      </c>
      <c r="T14" s="99">
        <v>0.19395478144286413</v>
      </c>
      <c r="U14" s="49">
        <v>600.35939820110059</v>
      </c>
      <c r="V14" s="100">
        <v>53.304077637351632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1.3061068297836378</v>
      </c>
      <c r="E15" s="99">
        <v>4.6396525365305911E-2</v>
      </c>
      <c r="F15" s="99">
        <v>1.1507549161089314E-2</v>
      </c>
      <c r="G15" s="99">
        <v>0.28395315070010269</v>
      </c>
      <c r="H15" s="99">
        <v>0.28395315070010269</v>
      </c>
      <c r="I15" s="99">
        <v>7.0126593072850655E-3</v>
      </c>
      <c r="J15" s="99">
        <v>1.7425498057978033</v>
      </c>
      <c r="K15" s="49">
        <v>925.78314857233329</v>
      </c>
      <c r="L15" s="100">
        <v>82.197458680111353</v>
      </c>
      <c r="M15" s="49" t="s">
        <v>237</v>
      </c>
      <c r="N15" s="99">
        <v>1.1940841055609026</v>
      </c>
      <c r="O15" s="99">
        <v>4.241716851074312E-2</v>
      </c>
      <c r="P15" s="99">
        <v>1.0520564806703984E-2</v>
      </c>
      <c r="Q15" s="99">
        <v>0.25959893650590576</v>
      </c>
      <c r="R15" s="99">
        <v>0.25959893650590576</v>
      </c>
      <c r="S15" s="99">
        <v>6.4111945712204662E-3</v>
      </c>
      <c r="T15" s="99">
        <v>1.5930940554043964</v>
      </c>
      <c r="U15" s="49">
        <v>846.38018705520085</v>
      </c>
      <c r="V15" s="100">
        <v>75.147512201340476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0.10352312296701367</v>
      </c>
      <c r="E16" s="99">
        <v>1.6220184452858737</v>
      </c>
      <c r="F16" s="99">
        <v>4.1964729627594188</v>
      </c>
      <c r="G16" s="99">
        <v>6.6295031823673314E-2</v>
      </c>
      <c r="H16" s="99">
        <v>6.6295031823673314E-2</v>
      </c>
      <c r="I16" s="99">
        <v>3.5567284573400733E-3</v>
      </c>
      <c r="J16" s="99">
        <v>6.502437704705287E-2</v>
      </c>
      <c r="K16" s="49">
        <v>38973.090488111338</v>
      </c>
      <c r="L16" s="100">
        <v>290.3874417027032</v>
      </c>
      <c r="M16" s="49" t="s">
        <v>238</v>
      </c>
      <c r="N16" s="99">
        <v>9.5546575181374951E-2</v>
      </c>
      <c r="O16" s="99">
        <v>1.4970404957495878</v>
      </c>
      <c r="P16" s="99">
        <v>3.8731310256227531</v>
      </c>
      <c r="Q16" s="99">
        <v>6.1186941243171158E-2</v>
      </c>
      <c r="R16" s="99">
        <v>6.1186941243171158E-2</v>
      </c>
      <c r="S16" s="99">
        <v>3.2826793976961327E-3</v>
      </c>
      <c r="T16" s="99">
        <v>6.0014191536010376E-2</v>
      </c>
      <c r="U16" s="49">
        <v>35970.179546837906</v>
      </c>
      <c r="V16" s="100">
        <v>268.01283360834498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3.3847428726853382E-2</v>
      </c>
      <c r="E17" s="99">
        <v>0.85449329184202139</v>
      </c>
      <c r="F17" s="99">
        <v>0.60399383615357793</v>
      </c>
      <c r="G17" s="99">
        <v>2.1675508816626946E-2</v>
      </c>
      <c r="H17" s="99">
        <v>2.1675508816626946E-2</v>
      </c>
      <c r="I17" s="99">
        <v>1.1628910480120356E-3</v>
      </c>
      <c r="J17" s="99">
        <v>2.1260061564308257E-2</v>
      </c>
      <c r="K17" s="49">
        <v>13149.702324457772</v>
      </c>
      <c r="L17" s="100">
        <v>97.978075880746744</v>
      </c>
      <c r="M17" s="49" t="s">
        <v>238</v>
      </c>
      <c r="N17" s="99">
        <v>3.3300717250738972E-2</v>
      </c>
      <c r="O17" s="99">
        <v>0.84069131909298978</v>
      </c>
      <c r="P17" s="99">
        <v>0.59423798839355157</v>
      </c>
      <c r="Q17" s="99">
        <v>2.1325400998502851E-2</v>
      </c>
      <c r="R17" s="99">
        <v>2.1325400998502851E-2</v>
      </c>
      <c r="S17" s="99">
        <v>1.1441077635696785E-3</v>
      </c>
      <c r="T17" s="99">
        <v>2.0916664146031549E-2</v>
      </c>
      <c r="U17" s="49">
        <v>12937.305299375454</v>
      </c>
      <c r="V17" s="100">
        <v>96.39551139929425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6.9387355370469116E-4</v>
      </c>
      <c r="E18" s="99">
        <v>1.7517144413302158E-2</v>
      </c>
      <c r="F18" s="99">
        <v>2.8127258183887539E-2</v>
      </c>
      <c r="G18" s="99">
        <v>3.8926987585115915E-4</v>
      </c>
      <c r="H18" s="99">
        <v>3.8926987585115915E-4</v>
      </c>
      <c r="I18" s="99">
        <v>2.3839309938935401E-5</v>
      </c>
      <c r="J18" s="99">
        <v>4.3583205651020443E-4</v>
      </c>
      <c r="K18" s="49">
        <v>266.64013321114777</v>
      </c>
      <c r="L18" s="100">
        <v>1.9463493792557964</v>
      </c>
      <c r="M18" s="49" t="s">
        <v>238</v>
      </c>
      <c r="N18" s="99">
        <v>6.5459617418994699E-4</v>
      </c>
      <c r="O18" s="99">
        <v>1.652556961489347E-2</v>
      </c>
      <c r="P18" s="99">
        <v>2.6535087696196735E-2</v>
      </c>
      <c r="Q18" s="99">
        <v>3.6723488033096608E-4</v>
      </c>
      <c r="R18" s="99">
        <v>3.6723488033096608E-4</v>
      </c>
      <c r="S18" s="99">
        <v>2.2489862883572216E-5</v>
      </c>
      <c r="T18" s="99">
        <v>4.1116136399447806E-4</v>
      </c>
      <c r="U18" s="49">
        <v>251.54671215470353</v>
      </c>
      <c r="V18" s="100">
        <v>1.8361744016548305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2.9650569611207023E-3</v>
      </c>
      <c r="E19" s="99">
        <v>4.6457032442824439E-2</v>
      </c>
      <c r="F19" s="99">
        <v>0.12019325744596561</v>
      </c>
      <c r="G19" s="99">
        <v>1.898788791941054E-3</v>
      </c>
      <c r="H19" s="99">
        <v>1.898788791941054E-3</v>
      </c>
      <c r="I19" s="99">
        <v>1.0187001868763752E-4</v>
      </c>
      <c r="J19" s="99">
        <v>1.8623953400955166E-3</v>
      </c>
      <c r="K19" s="49">
        <v>1039.6412907155341</v>
      </c>
      <c r="L19" s="100">
        <v>8.317130325724273</v>
      </c>
      <c r="M19" s="49" t="s">
        <v>238</v>
      </c>
      <c r="N19" s="99">
        <v>2.4497514775959042E-3</v>
      </c>
      <c r="O19" s="99">
        <v>3.8383135758887396E-2</v>
      </c>
      <c r="P19" s="99">
        <v>9.9304537446062519E-2</v>
      </c>
      <c r="Q19" s="99">
        <v>1.5687930146684223E-3</v>
      </c>
      <c r="R19" s="99">
        <v>1.5687930146684223E-3</v>
      </c>
      <c r="S19" s="99">
        <v>8.4165745236960892E-5</v>
      </c>
      <c r="T19" s="99">
        <v>1.5387244818872775E-3</v>
      </c>
      <c r="U19" s="49">
        <v>858.95914361707753</v>
      </c>
      <c r="V19" s="100">
        <v>6.8716731489366198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6.6969683938961338E-4</v>
      </c>
      <c r="E20" s="99">
        <v>1.1445727800477036E-2</v>
      </c>
      <c r="F20" s="99">
        <v>7.3057837024321479E-5</v>
      </c>
      <c r="G20" s="99">
        <v>6.0311679724811488E-6</v>
      </c>
      <c r="H20" s="99">
        <v>6.0311679724811488E-6</v>
      </c>
      <c r="I20" s="99">
        <v>2.4352612341440498E-3</v>
      </c>
      <c r="J20" s="99">
        <v>4.8705224682880997E-3</v>
      </c>
      <c r="K20" s="49">
        <v>300.62303278688512</v>
      </c>
      <c r="L20" s="100">
        <v>296.18032786885277</v>
      </c>
      <c r="M20" s="49" t="s">
        <v>239</v>
      </c>
      <c r="N20" s="99">
        <v>6.6969683938961338E-4</v>
      </c>
      <c r="O20" s="99">
        <v>1.1445727800477036E-2</v>
      </c>
      <c r="P20" s="99">
        <v>7.3057837024321479E-5</v>
      </c>
      <c r="Q20" s="99">
        <v>6.0311679724811488E-6</v>
      </c>
      <c r="R20" s="99">
        <v>6.0311679724811488E-6</v>
      </c>
      <c r="S20" s="99">
        <v>2.4352612341440498E-3</v>
      </c>
      <c r="T20" s="99">
        <v>4.8705224682880997E-3</v>
      </c>
      <c r="U20" s="49">
        <v>300.62303278688512</v>
      </c>
      <c r="V20" s="100">
        <v>296.18032786885277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5.2612909836065591E-3</v>
      </c>
      <c r="E21" s="99">
        <v>9.5659836065573781E-2</v>
      </c>
      <c r="F21" s="99">
        <v>5.7395901639344224E-4</v>
      </c>
      <c r="G21" s="99">
        <v>7.2701475409836062E-3</v>
      </c>
      <c r="H21" s="99">
        <v>7.2701475409836062E-3</v>
      </c>
      <c r="I21" s="99">
        <v>1.9131967213114755E-2</v>
      </c>
      <c r="J21" s="99">
        <v>3.8263934426229509E-2</v>
      </c>
      <c r="K21" s="49">
        <v>1941.8946721311484</v>
      </c>
      <c r="L21" s="100">
        <v>1913.1967213114763</v>
      </c>
      <c r="M21" s="49" t="s">
        <v>239</v>
      </c>
      <c r="N21" s="99">
        <v>5.2612909836065591E-3</v>
      </c>
      <c r="O21" s="99">
        <v>9.5659836065573781E-2</v>
      </c>
      <c r="P21" s="99">
        <v>5.7395901639344224E-4</v>
      </c>
      <c r="Q21" s="99">
        <v>7.2701475409836062E-3</v>
      </c>
      <c r="R21" s="99">
        <v>7.2701475409836062E-3</v>
      </c>
      <c r="S21" s="99">
        <v>1.9131967213114755E-2</v>
      </c>
      <c r="T21" s="99">
        <v>3.8263934426229509E-2</v>
      </c>
      <c r="U21" s="49">
        <v>1941.8946721311484</v>
      </c>
      <c r="V21" s="100">
        <v>1913.1967213114763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0.15733924768708488</v>
      </c>
      <c r="E22" s="99">
        <v>7.4264124908304086E-2</v>
      </c>
      <c r="F22" s="99">
        <v>0.14632550034898889</v>
      </c>
      <c r="G22" s="99">
        <v>0.12571405890198081</v>
      </c>
      <c r="H22" s="99">
        <v>0.12571405890198081</v>
      </c>
      <c r="I22" s="99">
        <v>1.9918362060946517E-2</v>
      </c>
      <c r="J22" s="99">
        <v>2.0544572266741108</v>
      </c>
      <c r="K22" s="49">
        <v>478.31131296873804</v>
      </c>
      <c r="L22" s="100">
        <v>31.467849537416981</v>
      </c>
      <c r="M22" s="49" t="s">
        <v>237</v>
      </c>
      <c r="N22" s="99">
        <v>0.13774968374411981</v>
      </c>
      <c r="O22" s="99">
        <v>6.5017850727224547E-2</v>
      </c>
      <c r="P22" s="99">
        <v>0.12810720588203134</v>
      </c>
      <c r="Q22" s="99">
        <v>0.1100619973115517</v>
      </c>
      <c r="R22" s="99">
        <v>0.1100619973115517</v>
      </c>
      <c r="S22" s="99">
        <v>1.7438421213586849E-2</v>
      </c>
      <c r="T22" s="99">
        <v>1.7986664954888438</v>
      </c>
      <c r="U22" s="49">
        <v>418.75903858212416</v>
      </c>
      <c r="V22" s="100">
        <v>27.549936748823956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3.7337768457277432E-4</v>
      </c>
      <c r="G23" s="99">
        <v>3.2078362362757709E-4</v>
      </c>
      <c r="H23" s="99">
        <v>3.2078362362757709E-4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3.7940475162931154E-4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4.8030744532512702E-5</v>
      </c>
      <c r="T23" s="99">
        <v>4.9540775443997339E-3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1.2267802496122727E-3</v>
      </c>
      <c r="E24" s="99">
        <v>4.8776475754854209E-5</v>
      </c>
      <c r="F24" s="99">
        <v>1.0633485245822149E-5</v>
      </c>
      <c r="G24" s="99">
        <v>3.4500168382878613E-4</v>
      </c>
      <c r="H24" s="99">
        <v>3.4500168382878613E-4</v>
      </c>
      <c r="I24" s="99">
        <v>1.2632663031087653E-5</v>
      </c>
      <c r="J24" s="99">
        <v>2.4538740814386123E-3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2.9694131175428135E-4</v>
      </c>
      <c r="R24" s="99">
        <v>2.9694131175428135E-4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5.2382327984415976E-4</v>
      </c>
      <c r="E25" s="101">
        <v>2.7346164289603576E-2</v>
      </c>
      <c r="F25" s="101">
        <v>1.9363248899601768E-2</v>
      </c>
      <c r="G25" s="101">
        <v>2.7260720241086738E-3</v>
      </c>
      <c r="H25" s="101">
        <v>2.7260720241086738E-3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5.2382327984415976E-4</v>
      </c>
      <c r="O25" s="101">
        <v>2.7346164289603576E-2</v>
      </c>
      <c r="P25" s="101">
        <v>1.9363248899601768E-2</v>
      </c>
      <c r="Q25" s="101">
        <v>2.7260720241086738E-3</v>
      </c>
      <c r="R25" s="101">
        <v>2.7260720241086738E-3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12.643457967642446</v>
      </c>
      <c r="E26" s="103">
        <v>3.3337563487335768</v>
      </c>
      <c r="F26" s="103">
        <v>5.2349369974140219</v>
      </c>
      <c r="G26" s="103">
        <v>3.6014556820942381</v>
      </c>
      <c r="H26" s="103">
        <v>3.6014556820942381</v>
      </c>
      <c r="I26" s="103">
        <v>0.17384493436383561</v>
      </c>
      <c r="J26" s="103">
        <v>38.298363273638543</v>
      </c>
      <c r="K26" s="93">
        <v>66078.381934497549</v>
      </c>
      <c r="L26" s="93"/>
      <c r="M26" s="93"/>
      <c r="N26" s="103">
        <v>11.375880604019043</v>
      </c>
      <c r="O26" s="103">
        <v>3.1058274281890603</v>
      </c>
      <c r="P26" s="103">
        <v>4.846551649987302</v>
      </c>
      <c r="Q26" s="103">
        <v>3.1988229264168311</v>
      </c>
      <c r="R26" s="103">
        <v>3.1988229264168311</v>
      </c>
      <c r="S26" s="103">
        <v>0.15717657574345592</v>
      </c>
      <c r="T26" s="103">
        <v>33.738175772908264</v>
      </c>
      <c r="U26" s="93">
        <v>61413.783912964107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3.8187061752945852</v>
      </c>
      <c r="E28" s="99">
        <v>4.3356489326488751E-2</v>
      </c>
      <c r="F28" s="99">
        <v>6.670229127152115E-3</v>
      </c>
      <c r="G28" s="99">
        <v>0.57697481949865781</v>
      </c>
      <c r="H28" s="99">
        <v>0.57697481949865781</v>
      </c>
      <c r="I28" s="99">
        <v>3.0016031072184514E-2</v>
      </c>
      <c r="J28" s="99">
        <v>4.2122496937965597</v>
      </c>
      <c r="K28" s="49">
        <v>533.54390652147254</v>
      </c>
      <c r="L28" s="100">
        <v>47.644887316219879</v>
      </c>
      <c r="M28" s="49" t="s">
        <v>237</v>
      </c>
      <c r="N28" s="99">
        <v>3.5315487746501626</v>
      </c>
      <c r="O28" s="99">
        <v>4.0096186961093565E-2</v>
      </c>
      <c r="P28" s="99">
        <v>6.1686441478605468E-3</v>
      </c>
      <c r="Q28" s="99">
        <v>0.53358771878993727</v>
      </c>
      <c r="R28" s="99">
        <v>0.53358771878993727</v>
      </c>
      <c r="S28" s="99">
        <v>2.7758898665372466E-2</v>
      </c>
      <c r="T28" s="99">
        <v>3.8954987793739355</v>
      </c>
      <c r="U28" s="49">
        <v>493.42270465535671</v>
      </c>
      <c r="V28" s="100">
        <v>44.062107870072346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9.0045296451564116E-2</v>
      </c>
      <c r="E29" s="99">
        <v>4.7571100012147056E-3</v>
      </c>
      <c r="F29" s="99">
        <v>6.7958714303067232E-4</v>
      </c>
      <c r="G29" s="99">
        <v>5.1988416441846465E-2</v>
      </c>
      <c r="H29" s="99">
        <v>5.1988416441846465E-2</v>
      </c>
      <c r="I29" s="99">
        <v>2.8882453578803584E-3</v>
      </c>
      <c r="J29" s="99">
        <v>0.39212178152869798</v>
      </c>
      <c r="K29" s="49">
        <v>54.359388890912193</v>
      </c>
      <c r="L29" s="100">
        <v>4.8542339751786754</v>
      </c>
      <c r="M29" s="49" t="s">
        <v>237</v>
      </c>
      <c r="N29" s="99">
        <v>7.8571650851193914E-2</v>
      </c>
      <c r="O29" s="99">
        <v>4.1509551393083578E-3</v>
      </c>
      <c r="P29" s="99">
        <v>5.9299359132976553E-4</v>
      </c>
      <c r="Q29" s="99">
        <v>4.5364009736727072E-2</v>
      </c>
      <c r="R29" s="99">
        <v>4.5364009736727072E-2</v>
      </c>
      <c r="S29" s="99">
        <v>2.5202227631515028E-3</v>
      </c>
      <c r="T29" s="99">
        <v>0.34215730219727464</v>
      </c>
      <c r="U29" s="49">
        <v>47.432870929782275</v>
      </c>
      <c r="V29" s="100">
        <v>4.2357034967717828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4.2924415594000898E-2</v>
      </c>
      <c r="E30" s="99">
        <v>7.1540692656668174E-3</v>
      </c>
      <c r="F30" s="99">
        <v>1.4308138531333634E-3</v>
      </c>
      <c r="G30" s="99">
        <v>4.2924415594000898E-2</v>
      </c>
      <c r="H30" s="99">
        <v>4.2924415594000898E-2</v>
      </c>
      <c r="I30" s="99">
        <v>3.2193311695500673E-3</v>
      </c>
      <c r="J30" s="99">
        <v>0.5036464763029439</v>
      </c>
      <c r="K30" s="49">
        <v>114.44914382300284</v>
      </c>
      <c r="L30" s="100">
        <v>10.220183370542083</v>
      </c>
      <c r="M30" s="49" t="s">
        <v>237</v>
      </c>
      <c r="N30" s="99">
        <v>3.7454951318390585E-2</v>
      </c>
      <c r="O30" s="99">
        <v>6.2424918863984305E-3</v>
      </c>
      <c r="P30" s="99">
        <v>1.2484983772796862E-3</v>
      </c>
      <c r="Q30" s="99">
        <v>3.7454951318390585E-2</v>
      </c>
      <c r="R30" s="99">
        <v>3.7454951318390585E-2</v>
      </c>
      <c r="S30" s="99">
        <v>2.8091213488792939E-3</v>
      </c>
      <c r="T30" s="99">
        <v>0.43947142880244955</v>
      </c>
      <c r="U30" s="49">
        <v>99.865939955188566</v>
      </c>
      <c r="V30" s="100">
        <v>8.9179192147738444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3.2304551284639771E-2</v>
      </c>
      <c r="E31" s="99">
        <v>4.3072735046186337E-3</v>
      </c>
      <c r="F31" s="99">
        <v>8.6145470092372726E-4</v>
      </c>
      <c r="G31" s="99">
        <v>2.7997277780021129E-2</v>
      </c>
      <c r="H31" s="99">
        <v>2.7997277780021129E-2</v>
      </c>
      <c r="I31" s="99">
        <v>1.9382730770783859E-3</v>
      </c>
      <c r="J31" s="99">
        <v>0.23043913249709702</v>
      </c>
      <c r="K31" s="49">
        <v>68.906764319559528</v>
      </c>
      <c r="L31" s="100">
        <v>6.1532986905148155</v>
      </c>
      <c r="M31" s="49" t="s">
        <v>237</v>
      </c>
      <c r="N31" s="99">
        <v>2.8188278838157065E-2</v>
      </c>
      <c r="O31" s="99">
        <v>3.7584371784209428E-3</v>
      </c>
      <c r="P31" s="99">
        <v>7.5168743568418839E-4</v>
      </c>
      <c r="Q31" s="99">
        <v>2.4429841659736124E-2</v>
      </c>
      <c r="R31" s="99">
        <v>2.4429841659736124E-2</v>
      </c>
      <c r="S31" s="99">
        <v>1.6912967302894241E-3</v>
      </c>
      <c r="T31" s="99">
        <v>0.20107638904552036</v>
      </c>
      <c r="U31" s="49">
        <v>60.126607838025421</v>
      </c>
      <c r="V31" s="100">
        <v>5.369240319557421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1.8273991167984336</v>
      </c>
      <c r="E32" s="99">
        <v>5.0068757840045428E-2</v>
      </c>
      <c r="F32" s="99">
        <v>1.3791691447535353E-2</v>
      </c>
      <c r="G32" s="99">
        <v>0.41864780707492782</v>
      </c>
      <c r="H32" s="99">
        <v>0.41864780707492782</v>
      </c>
      <c r="I32" s="99">
        <v>1.3689237979333404E-2</v>
      </c>
      <c r="J32" s="99">
        <v>4.1778702570198645</v>
      </c>
      <c r="K32" s="49">
        <v>1103.1814338285747</v>
      </c>
      <c r="L32" s="100">
        <v>98.512895493059148</v>
      </c>
      <c r="M32" s="49" t="s">
        <v>237</v>
      </c>
      <c r="N32" s="99">
        <v>1.5945504210550314</v>
      </c>
      <c r="O32" s="99">
        <v>4.3688955609992822E-2</v>
      </c>
      <c r="P32" s="99">
        <v>1.2034342800415331E-2</v>
      </c>
      <c r="Q32" s="99">
        <v>0.36530335979073614</v>
      </c>
      <c r="R32" s="99">
        <v>0.36530335979073614</v>
      </c>
      <c r="S32" s="99">
        <v>1.1944944037245202E-2</v>
      </c>
      <c r="T32" s="99">
        <v>3.6455225988703015</v>
      </c>
      <c r="U32" s="49">
        <v>962.61314982646843</v>
      </c>
      <c r="V32" s="100">
        <v>85.960301470986437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0.87111756234551951</v>
      </c>
      <c r="E33" s="99">
        <v>0.11679070517700904</v>
      </c>
      <c r="F33" s="99">
        <v>2.9037252078183987E-2</v>
      </c>
      <c r="G33" s="99">
        <v>0.57530964987719735</v>
      </c>
      <c r="H33" s="99">
        <v>0.57530964987719735</v>
      </c>
      <c r="I33" s="99">
        <v>1.8129534383983473E-2</v>
      </c>
      <c r="J33" s="99">
        <v>8.9754834713782117</v>
      </c>
      <c r="K33" s="49">
        <v>2322.6561806367345</v>
      </c>
      <c r="L33" s="100">
        <v>207.41065664537808</v>
      </c>
      <c r="M33" s="49" t="s">
        <v>237</v>
      </c>
      <c r="N33" s="99">
        <v>0.76011904737047942</v>
      </c>
      <c r="O33" s="99">
        <v>0.10190913763906301</v>
      </c>
      <c r="P33" s="99">
        <v>2.5337301579015974E-2</v>
      </c>
      <c r="Q33" s="99">
        <v>0.50200322196494473</v>
      </c>
      <c r="R33" s="99">
        <v>0.50200322196494473</v>
      </c>
      <c r="S33" s="99">
        <v>1.5819454228564771E-2</v>
      </c>
      <c r="T33" s="99">
        <v>7.8318199986507011</v>
      </c>
      <c r="U33" s="49">
        <v>2026.7014232167271</v>
      </c>
      <c r="V33" s="100">
        <v>180.9822204930332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0.65559569252875716</v>
      </c>
      <c r="E34" s="99">
        <v>7.0316555699124803E-2</v>
      </c>
      <c r="F34" s="99">
        <v>1.7482551800766865E-2</v>
      </c>
      <c r="G34" s="99">
        <v>0.38433782345718098</v>
      </c>
      <c r="H34" s="99">
        <v>0.38433782345718098</v>
      </c>
      <c r="I34" s="99">
        <v>1.0915307107517362E-2</v>
      </c>
      <c r="J34" s="99">
        <v>5.4038982167733387</v>
      </c>
      <c r="K34" s="49">
        <v>1398.4090809977411</v>
      </c>
      <c r="L34" s="100">
        <v>124.87640149524339</v>
      </c>
      <c r="M34" s="49" t="s">
        <v>237</v>
      </c>
      <c r="N34" s="99">
        <v>0.57205915114760497</v>
      </c>
      <c r="O34" s="99">
        <v>6.1356762442578365E-2</v>
      </c>
      <c r="P34" s="99">
        <v>1.5254910697269468E-2</v>
      </c>
      <c r="Q34" s="99">
        <v>0.3353651824538012</v>
      </c>
      <c r="R34" s="99">
        <v>0.3353651824538012</v>
      </c>
      <c r="S34" s="99">
        <v>9.5244697144923687E-3</v>
      </c>
      <c r="T34" s="99">
        <v>4.7153290694322427</v>
      </c>
      <c r="U34" s="49">
        <v>1220.2226478136595</v>
      </c>
      <c r="V34" s="100">
        <v>108.96454789413201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1.0985118807288743E-2</v>
      </c>
      <c r="E35" s="99">
        <v>1.9183439427988131E-2</v>
      </c>
      <c r="F35" s="99">
        <v>1.5331420122268239E-3</v>
      </c>
      <c r="G35" s="99">
        <v>1.4181563613098126E-2</v>
      </c>
      <c r="H35" s="99">
        <v>1.4181563613098126E-2</v>
      </c>
      <c r="I35" s="99">
        <v>3.4438202449645056E-4</v>
      </c>
      <c r="J35" s="99">
        <v>4.7584895204490066E-2</v>
      </c>
      <c r="K35" s="49">
        <v>146.44782286376358</v>
      </c>
      <c r="L35" s="100">
        <v>13.077630411976109</v>
      </c>
      <c r="M35" s="49" t="s">
        <v>237</v>
      </c>
      <c r="N35" s="99">
        <v>9.5853859501639996E-3</v>
      </c>
      <c r="O35" s="99">
        <v>1.6739069826614245E-2</v>
      </c>
      <c r="P35" s="99">
        <v>1.3377877983308084E-3</v>
      </c>
      <c r="Q35" s="99">
        <v>1.2374537134559979E-2</v>
      </c>
      <c r="R35" s="99">
        <v>1.2374537134559979E-2</v>
      </c>
      <c r="S35" s="99">
        <v>3.0050058420005794E-4</v>
      </c>
      <c r="T35" s="99">
        <v>4.1521588790692475E-2</v>
      </c>
      <c r="U35" s="49">
        <v>127.78732104190054</v>
      </c>
      <c r="V35" s="100">
        <v>11.411268008245795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3.70531471390603E-2</v>
      </c>
      <c r="E36" s="99">
        <v>6.4706337384978219E-2</v>
      </c>
      <c r="F36" s="99">
        <v>5.1713356551431151E-3</v>
      </c>
      <c r="G36" s="99">
        <v>4.7834854810073824E-2</v>
      </c>
      <c r="H36" s="99">
        <v>4.7834854810073824E-2</v>
      </c>
      <c r="I36" s="99">
        <v>1.1616112715365221E-3</v>
      </c>
      <c r="J36" s="99">
        <v>0.16050533039650444</v>
      </c>
      <c r="K36" s="49">
        <v>493.97305791227552</v>
      </c>
      <c r="L36" s="100">
        <v>44.111253813994701</v>
      </c>
      <c r="M36" s="49" t="s">
        <v>237</v>
      </c>
      <c r="N36" s="99">
        <v>3.2331804710245812E-2</v>
      </c>
      <c r="O36" s="99">
        <v>5.6461402751967434E-2</v>
      </c>
      <c r="P36" s="99">
        <v>4.5123998203370581E-3</v>
      </c>
      <c r="Q36" s="99">
        <v>4.1739698338117789E-2</v>
      </c>
      <c r="R36" s="99">
        <v>4.1739698338117789E-2</v>
      </c>
      <c r="S36" s="99">
        <v>1.0135978096432118E-3</v>
      </c>
      <c r="T36" s="99">
        <v>0.14005360942371139</v>
      </c>
      <c r="U36" s="49">
        <v>431.03060532492401</v>
      </c>
      <c r="V36" s="100">
        <v>38.490561638007506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1.207955376418925</v>
      </c>
      <c r="E37" s="99">
        <v>4.2909914399163203E-2</v>
      </c>
      <c r="F37" s="99">
        <v>1.0642778646862781E-2</v>
      </c>
      <c r="G37" s="99">
        <v>0.26261460947731363</v>
      </c>
      <c r="H37" s="99">
        <v>0.26261460947731363</v>
      </c>
      <c r="I37" s="99">
        <v>6.4856712483713653E-3</v>
      </c>
      <c r="J37" s="99">
        <v>1.6116004897852809</v>
      </c>
      <c r="K37" s="49">
        <v>851.30354403805768</v>
      </c>
      <c r="L37" s="100">
        <v>76.020475413225498</v>
      </c>
      <c r="M37" s="49" t="s">
        <v>237</v>
      </c>
      <c r="N37" s="99">
        <v>1.1045969887477651</v>
      </c>
      <c r="O37" s="99">
        <v>3.9238338731729883E-2</v>
      </c>
      <c r="P37" s="99">
        <v>9.7321320594516755E-3</v>
      </c>
      <c r="Q37" s="99">
        <v>0.24014405870669248</v>
      </c>
      <c r="R37" s="99">
        <v>0.24014405870669248</v>
      </c>
      <c r="S37" s="99">
        <v>5.9307264745137771E-3</v>
      </c>
      <c r="T37" s="99">
        <v>1.4737043129512697</v>
      </c>
      <c r="U37" s="49">
        <v>778.46197766217972</v>
      </c>
      <c r="V37" s="100">
        <v>69.515803202568407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7.8390666057734232E-2</v>
      </c>
      <c r="E38" s="99">
        <v>1.2282387030036295</v>
      </c>
      <c r="F38" s="99">
        <v>3.17768920812797</v>
      </c>
      <c r="G38" s="99">
        <v>5.0200491948377265E-2</v>
      </c>
      <c r="H38" s="99">
        <v>5.0200491948377265E-2</v>
      </c>
      <c r="I38" s="99">
        <v>2.6932563930304409E-3</v>
      </c>
      <c r="J38" s="99">
        <v>4.9238315852700026E-2</v>
      </c>
      <c r="K38" s="49">
        <v>29511.537462648539</v>
      </c>
      <c r="L38" s="100">
        <v>219.8896663611059</v>
      </c>
      <c r="M38" s="49" t="s">
        <v>238</v>
      </c>
      <c r="N38" s="99">
        <v>7.2489189184072753E-2</v>
      </c>
      <c r="O38" s="99">
        <v>1.1357733284171518</v>
      </c>
      <c r="P38" s="99">
        <v>2.9384635411379816</v>
      </c>
      <c r="Q38" s="99">
        <v>4.6421253205060714E-2</v>
      </c>
      <c r="R38" s="99">
        <v>4.6421253205060714E-2</v>
      </c>
      <c r="S38" s="99">
        <v>2.4905002344515069E-3</v>
      </c>
      <c r="T38" s="99">
        <v>4.5531512518630385E-2</v>
      </c>
      <c r="U38" s="49">
        <v>27289.823263744474</v>
      </c>
      <c r="V38" s="100">
        <v>203.33573403666969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2.4054492887342439E-2</v>
      </c>
      <c r="E39" s="99">
        <v>0.60726630010121163</v>
      </c>
      <c r="F39" s="99">
        <v>0.42924281052487434</v>
      </c>
      <c r="G39" s="99">
        <v>1.540422396237813E-2</v>
      </c>
      <c r="H39" s="99">
        <v>1.540422396237813E-2</v>
      </c>
      <c r="I39" s="99">
        <v>8.2643661558158728E-4</v>
      </c>
      <c r="J39" s="99">
        <v>1.5108976336432552E-2</v>
      </c>
      <c r="K39" s="49">
        <v>9345.1536182242053</v>
      </c>
      <c r="L39" s="100">
        <v>69.630486510755375</v>
      </c>
      <c r="M39" s="49" t="s">
        <v>238</v>
      </c>
      <c r="N39" s="99">
        <v>2.366595916976675E-2</v>
      </c>
      <c r="O39" s="99">
        <v>0.59745759474866977</v>
      </c>
      <c r="P39" s="99">
        <v>0.42230958163923749</v>
      </c>
      <c r="Q39" s="99">
        <v>1.5155411383767477E-2</v>
      </c>
      <c r="R39" s="99">
        <v>1.5155411383767477E-2</v>
      </c>
      <c r="S39" s="99">
        <v>8.1308782073912531E-4</v>
      </c>
      <c r="T39" s="99">
        <v>1.48649326655786E-2</v>
      </c>
      <c r="U39" s="49">
        <v>9194.2085414100857</v>
      </c>
      <c r="V39" s="100">
        <v>68.505798831520892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5.2162486646371376E-4</v>
      </c>
      <c r="E40" s="99">
        <v>1.3168650205255046E-2</v>
      </c>
      <c r="F40" s="99">
        <v>2.1144886147952267E-2</v>
      </c>
      <c r="G40" s="99">
        <v>2.9263667122788998E-4</v>
      </c>
      <c r="H40" s="99">
        <v>2.9263667122788998E-4</v>
      </c>
      <c r="I40" s="99">
        <v>1.7921387545455593E-5</v>
      </c>
      <c r="J40" s="99">
        <v>3.2764015441132685E-4</v>
      </c>
      <c r="K40" s="49">
        <v>200.44880387432389</v>
      </c>
      <c r="L40" s="100">
        <v>1.4631833561394496</v>
      </c>
      <c r="M40" s="49" t="s">
        <v>238</v>
      </c>
      <c r="N40" s="99">
        <v>4.9320875876938367E-4</v>
      </c>
      <c r="O40" s="99">
        <v>1.2451273012410806E-2</v>
      </c>
      <c r="P40" s="99">
        <v>1.9992994433053815E-2</v>
      </c>
      <c r="Q40" s="99">
        <v>2.7669495583135126E-4</v>
      </c>
      <c r="R40" s="99">
        <v>2.7669495583135126E-4</v>
      </c>
      <c r="S40" s="99">
        <v>1.6945099582084652E-5</v>
      </c>
      <c r="T40" s="99">
        <v>3.0979158446899085E-4</v>
      </c>
      <c r="U40" s="49">
        <v>189.5291273705798</v>
      </c>
      <c r="V40" s="100">
        <v>1.3834747791567559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1.6644786250208969E-3</v>
      </c>
      <c r="E41" s="99">
        <v>2.6079342993045374E-2</v>
      </c>
      <c r="F41" s="99">
        <v>6.7472264618763739E-2</v>
      </c>
      <c r="G41" s="99">
        <v>1.0659132013506288E-3</v>
      </c>
      <c r="H41" s="99">
        <v>1.0659132013506288E-3</v>
      </c>
      <c r="I41" s="99">
        <v>5.7186243252461235E-5</v>
      </c>
      <c r="J41" s="99">
        <v>1.0454831983247414E-3</v>
      </c>
      <c r="K41" s="49">
        <v>583.6180312134984</v>
      </c>
      <c r="L41" s="100">
        <v>4.6689442497079856</v>
      </c>
      <c r="M41" s="49" t="s">
        <v>238</v>
      </c>
      <c r="N41" s="99">
        <v>1.3894023423082092E-3</v>
      </c>
      <c r="O41" s="99">
        <v>2.1769399555936937E-2</v>
      </c>
      <c r="P41" s="99">
        <v>5.6321613923382592E-2</v>
      </c>
      <c r="Q41" s="99">
        <v>8.8975747503829453E-4</v>
      </c>
      <c r="R41" s="99">
        <v>8.8975747503829453E-4</v>
      </c>
      <c r="S41" s="99">
        <v>4.7735488535804505E-5</v>
      </c>
      <c r="T41" s="99">
        <v>8.7270379010006053E-4</v>
      </c>
      <c r="U41" s="49">
        <v>487.16772170694583</v>
      </c>
      <c r="V41" s="100">
        <v>3.8973417736555667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6.2640334377998927E-4</v>
      </c>
      <c r="E42" s="99">
        <v>1.0705802602785277E-2</v>
      </c>
      <c r="F42" s="99">
        <v>6.8334910230544285E-5</v>
      </c>
      <c r="G42" s="99">
        <v>5.6412746225655276E-6</v>
      </c>
      <c r="H42" s="99">
        <v>5.6412746225655276E-6</v>
      </c>
      <c r="I42" s="99">
        <v>2.2778303410181415E-3</v>
      </c>
      <c r="J42" s="99">
        <v>4.5556606820362829E-3</v>
      </c>
      <c r="K42" s="49">
        <v>281.18883333333321</v>
      </c>
      <c r="L42" s="100">
        <v>277.03333333333364</v>
      </c>
      <c r="M42" s="49" t="s">
        <v>239</v>
      </c>
      <c r="N42" s="99">
        <v>6.2640334377998927E-4</v>
      </c>
      <c r="O42" s="99">
        <v>1.0705802602785277E-2</v>
      </c>
      <c r="P42" s="99">
        <v>6.8334910230544285E-5</v>
      </c>
      <c r="Q42" s="99">
        <v>5.6412746225655276E-6</v>
      </c>
      <c r="R42" s="99">
        <v>5.6412746225655276E-6</v>
      </c>
      <c r="S42" s="99">
        <v>2.2778303410181415E-3</v>
      </c>
      <c r="T42" s="99">
        <v>4.5556606820362829E-3</v>
      </c>
      <c r="U42" s="49">
        <v>281.18883333333321</v>
      </c>
      <c r="V42" s="100">
        <v>277.03333333333364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9.7086916666666596E-3</v>
      </c>
      <c r="E43" s="99">
        <v>0.17652166666666669</v>
      </c>
      <c r="F43" s="99">
        <v>1.0591299999999997E-3</v>
      </c>
      <c r="G43" s="99">
        <v>1.3415646666666664E-2</v>
      </c>
      <c r="H43" s="99">
        <v>1.3415646666666664E-2</v>
      </c>
      <c r="I43" s="99">
        <v>3.5304333333333347E-2</v>
      </c>
      <c r="J43" s="99">
        <v>7.0608666666666695E-2</v>
      </c>
      <c r="K43" s="49">
        <v>3583.389833333335</v>
      </c>
      <c r="L43" s="100">
        <v>3530.4333333333338</v>
      </c>
      <c r="M43" s="49" t="s">
        <v>239</v>
      </c>
      <c r="N43" s="99">
        <v>9.7086916666666596E-3</v>
      </c>
      <c r="O43" s="99">
        <v>0.17652166666666669</v>
      </c>
      <c r="P43" s="99">
        <v>1.0591299999999997E-3</v>
      </c>
      <c r="Q43" s="99">
        <v>1.3415646666666664E-2</v>
      </c>
      <c r="R43" s="99">
        <v>1.3415646666666664E-2</v>
      </c>
      <c r="S43" s="99">
        <v>3.5304333333333347E-2</v>
      </c>
      <c r="T43" s="99">
        <v>7.0608666666666695E-2</v>
      </c>
      <c r="U43" s="49">
        <v>3583.389833333335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0.11680784360028415</v>
      </c>
      <c r="E44" s="99">
        <v>5.5133302179334147E-2</v>
      </c>
      <c r="F44" s="99">
        <v>0.10863129454826426</v>
      </c>
      <c r="G44" s="99">
        <v>9.3329467036627062E-2</v>
      </c>
      <c r="H44" s="99">
        <v>9.3329467036627062E-2</v>
      </c>
      <c r="I44" s="99">
        <v>1.4787288960577972E-2</v>
      </c>
      <c r="J44" s="99">
        <v>1.5252184178107104</v>
      </c>
      <c r="K44" s="49">
        <v>355.09584454486389</v>
      </c>
      <c r="L44" s="100">
        <v>23.361568720056841</v>
      </c>
      <c r="M44" s="49" t="s">
        <v>237</v>
      </c>
      <c r="N44" s="99">
        <v>0.10263048553235284</v>
      </c>
      <c r="O44" s="99">
        <v>4.8441589171270519E-2</v>
      </c>
      <c r="P44" s="99">
        <v>9.5446351545088085E-2</v>
      </c>
      <c r="Q44" s="99">
        <v>8.2001757940349904E-2</v>
      </c>
      <c r="R44" s="99">
        <v>8.2001757940349904E-2</v>
      </c>
      <c r="S44" s="99">
        <v>1.2992506315968206E-2</v>
      </c>
      <c r="T44" s="99">
        <v>1.340097564838697</v>
      </c>
      <c r="U44" s="49">
        <v>311.99667601835256</v>
      </c>
      <c r="V44" s="100">
        <v>20.526097106470569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2.8532244230068839E-4</v>
      </c>
      <c r="E45" s="99">
        <v>1.3467219276592487E-4</v>
      </c>
      <c r="F45" s="99">
        <v>2.6534987133964015E-4</v>
      </c>
      <c r="G45" s="99">
        <v>2.279726313982501E-4</v>
      </c>
      <c r="H45" s="99">
        <v>2.279726313982501E-4</v>
      </c>
      <c r="I45" s="99">
        <v>3.6120394583055649E-5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2.6963315214105558E-4</v>
      </c>
      <c r="O45" s="99">
        <v>1.2726684781057826E-4</v>
      </c>
      <c r="P45" s="99">
        <v>2.5075883149118169E-4</v>
      </c>
      <c r="Q45" s="99">
        <v>2.1543688856070345E-4</v>
      </c>
      <c r="R45" s="99">
        <v>2.1543688856070345E-4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8.7184102008962055E-4</v>
      </c>
      <c r="E46" s="99">
        <v>3.4664180803309314E-5</v>
      </c>
      <c r="F46" s="99">
        <v>7.5569431662724817E-6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1.7439048949549685E-3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2.9083381335906238E-5</v>
      </c>
      <c r="P46" s="99">
        <v>6.1727592489711029E-6</v>
      </c>
      <c r="Q46" s="99">
        <v>2.1102851649953142E-4</v>
      </c>
      <c r="R46" s="99">
        <v>2.1102851649953142E-4</v>
      </c>
      <c r="S46" s="99">
        <v>8.1341904248124664E-6</v>
      </c>
      <c r="T46" s="99">
        <v>1.5343025389261337E-3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3.72267667979136E-4</v>
      </c>
      <c r="E47" s="101">
        <v>1.9434212261993551E-2</v>
      </c>
      <c r="F47" s="101">
        <v>1.3760960594379902E-2</v>
      </c>
      <c r="G47" s="101">
        <v>1.9373489384817268E-3</v>
      </c>
      <c r="H47" s="101">
        <v>1.9373489384817268E-3</v>
      </c>
      <c r="I47" s="101">
        <v>1.3544093175893139E-5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3.72267667979136E-4</v>
      </c>
      <c r="O47" s="101">
        <v>1.9434212261993551E-2</v>
      </c>
      <c r="P47" s="101">
        <v>1.3760960594379902E-2</v>
      </c>
      <c r="Q47" s="101">
        <v>1.9373489384817268E-3</v>
      </c>
      <c r="R47" s="101">
        <v>1.9373489384817268E-3</v>
      </c>
      <c r="S47" s="101">
        <v>1.3544093175893139E-5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8.8273900848404345</v>
      </c>
      <c r="E48" s="103">
        <v>2.5602679684137883</v>
      </c>
      <c r="F48" s="103">
        <v>3.9066426327518999</v>
      </c>
      <c r="G48" s="103">
        <v>2.5789357637363715</v>
      </c>
      <c r="H48" s="103">
        <v>2.5789357637363715</v>
      </c>
      <c r="I48" s="103">
        <v>0.14481052016118437</v>
      </c>
      <c r="J48" s="103">
        <v>27.391598912997285</v>
      </c>
      <c r="K48" s="93">
        <v>51071.81366715247</v>
      </c>
      <c r="L48" s="93"/>
      <c r="M48" s="93"/>
      <c r="N48" s="103">
        <v>7.9613664316025075</v>
      </c>
      <c r="O48" s="103">
        <v>2.396352954833199</v>
      </c>
      <c r="P48" s="103">
        <v>3.6246501380810687</v>
      </c>
      <c r="Q48" s="103">
        <v>2.2982965571385225</v>
      </c>
      <c r="R48" s="103">
        <v>2.2982965571385225</v>
      </c>
      <c r="S48" s="103">
        <v>0.1333119834824763</v>
      </c>
      <c r="T48" s="103">
        <v>24.212677452635003</v>
      </c>
      <c r="U48" s="93">
        <v>47706.945249170516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5.0410220615736279</v>
      </c>
      <c r="E50" s="99">
        <v>5.7234311616119804E-2</v>
      </c>
      <c r="F50" s="99">
        <v>8.8052787101722731E-3</v>
      </c>
      <c r="G50" s="99">
        <v>0.76165660842990179</v>
      </c>
      <c r="H50" s="99">
        <v>0.76165660842990179</v>
      </c>
      <c r="I50" s="99">
        <v>3.962375419577524E-2</v>
      </c>
      <c r="J50" s="99">
        <v>5.5605335054737921</v>
      </c>
      <c r="K50" s="49">
        <v>706.97889801446036</v>
      </c>
      <c r="L50" s="100">
        <v>62.895367450920936</v>
      </c>
      <c r="M50" s="49" t="s">
        <v>237</v>
      </c>
      <c r="N50" s="99">
        <v>4.6508263444185296</v>
      </c>
      <c r="O50" s="99">
        <v>5.2804141901695092E-2</v>
      </c>
      <c r="P50" s="99">
        <v>8.1237141387223225E-3</v>
      </c>
      <c r="Q50" s="99">
        <v>0.70270127299948071</v>
      </c>
      <c r="R50" s="99">
        <v>0.70270127299948071</v>
      </c>
      <c r="S50" s="99">
        <v>3.6556713624250455E-2</v>
      </c>
      <c r="T50" s="99">
        <v>5.1301254786031469</v>
      </c>
      <c r="U50" s="49">
        <v>652.25273765556108</v>
      </c>
      <c r="V50" s="100">
        <v>58.027008870362664</v>
      </c>
      <c r="W50" t="s">
        <v>237</v>
      </c>
      <c r="Y50" s="14">
        <f>N50/$U50*2000</f>
        <v>14.260810498505011</v>
      </c>
      <c r="Z50" s="6">
        <f t="shared" ref="Z50:AE65" si="0">O50/$U50*2000</f>
        <v>0.16191313229743678</v>
      </c>
      <c r="AA50" s="249">
        <f t="shared" si="0"/>
        <v>2.4909712661144123E-2</v>
      </c>
      <c r="AB50" s="6">
        <f t="shared" si="0"/>
        <v>2.1546901451889657</v>
      </c>
      <c r="AC50" s="250">
        <f t="shared" si="0"/>
        <v>2.1546901451889657</v>
      </c>
      <c r="AD50" s="6">
        <f t="shared" si="0"/>
        <v>0.11209370697514856</v>
      </c>
      <c r="AE50" s="14">
        <f t="shared" si="0"/>
        <v>15.730483545512513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0.10913435707685312</v>
      </c>
      <c r="E51" s="99">
        <v>5.7655886757582752E-3</v>
      </c>
      <c r="F51" s="99">
        <v>8.2365552510832516E-4</v>
      </c>
      <c r="G51" s="99">
        <v>6.3009647670786886E-2</v>
      </c>
      <c r="H51" s="99">
        <v>6.3009647670786886E-2</v>
      </c>
      <c r="I51" s="99">
        <v>3.5005359817103822E-3</v>
      </c>
      <c r="J51" s="99">
        <v>0.47524923798750363</v>
      </c>
      <c r="K51" s="49">
        <v>66.119856392122756</v>
      </c>
      <c r="L51" s="100">
        <v>5.8833023473547534</v>
      </c>
      <c r="M51" s="49" t="s">
        <v>237</v>
      </c>
      <c r="N51" s="99">
        <v>9.4987197038915408E-2</v>
      </c>
      <c r="O51" s="99">
        <v>5.0181915416785466E-3</v>
      </c>
      <c r="P51" s="99">
        <v>7.1688450595407821E-4</v>
      </c>
      <c r="Q51" s="99">
        <v>5.484166470548698E-2</v>
      </c>
      <c r="R51" s="99">
        <v>5.484166470548698E-2</v>
      </c>
      <c r="S51" s="99">
        <v>3.0467591503048328E-3</v>
      </c>
      <c r="T51" s="99">
        <v>0.41364235993550297</v>
      </c>
      <c r="U51" s="49">
        <v>57.548378332696409</v>
      </c>
      <c r="V51" s="100">
        <v>5.1206459109312519</v>
      </c>
      <c r="W51" t="s">
        <v>237</v>
      </c>
      <c r="Y51" s="14">
        <f t="shared" ref="Y51:AE70" si="1">N51/$U51*2000</f>
        <v>3.3011250634997631</v>
      </c>
      <c r="Z51" s="6">
        <f t="shared" si="0"/>
        <v>0.17439905995847793</v>
      </c>
      <c r="AA51" s="249">
        <f t="shared" si="0"/>
        <v>2.4914151422639707E-2</v>
      </c>
      <c r="AB51" s="6">
        <f t="shared" si="0"/>
        <v>1.9059325838319376</v>
      </c>
      <c r="AC51" s="250">
        <f t="shared" si="0"/>
        <v>1.9059325838319376</v>
      </c>
      <c r="AD51" s="6">
        <f t="shared" si="0"/>
        <v>0.10588514354621878</v>
      </c>
      <c r="AE51" s="14">
        <f t="shared" si="0"/>
        <v>14.375465370863106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5.2024133223557915E-2</v>
      </c>
      <c r="E52" s="99">
        <v>8.6706888705929807E-3</v>
      </c>
      <c r="F52" s="99">
        <v>1.7341377741185973E-3</v>
      </c>
      <c r="G52" s="99">
        <v>5.2024133223557915E-2</v>
      </c>
      <c r="H52" s="99">
        <v>5.2024133223557915E-2</v>
      </c>
      <c r="I52" s="99">
        <v>3.9018099917668405E-3</v>
      </c>
      <c r="J52" s="99">
        <v>0.61041649648974605</v>
      </c>
      <c r="K52" s="49">
        <v>139.20982388092048</v>
      </c>
      <c r="L52" s="100">
        <v>12.386800702595517</v>
      </c>
      <c r="M52" s="49" t="s">
        <v>237</v>
      </c>
      <c r="N52" s="99">
        <v>4.5280209877490284E-2</v>
      </c>
      <c r="O52" s="99">
        <v>7.5467016462483789E-3</v>
      </c>
      <c r="P52" s="99">
        <v>1.5093403292496762E-3</v>
      </c>
      <c r="Q52" s="99">
        <v>4.5280209877490284E-2</v>
      </c>
      <c r="R52" s="99">
        <v>4.5280209877490284E-2</v>
      </c>
      <c r="S52" s="99">
        <v>3.3960157408117731E-3</v>
      </c>
      <c r="T52" s="99">
        <v>0.53128779589588604</v>
      </c>
      <c r="U52" s="49">
        <v>121.16329419737937</v>
      </c>
      <c r="V52" s="100">
        <v>10.781091404521268</v>
      </c>
      <c r="W52" t="s">
        <v>237</v>
      </c>
      <c r="Y52" s="14">
        <f t="shared" si="1"/>
        <v>0.74742454267919112</v>
      </c>
      <c r="Z52" s="6">
        <f t="shared" si="0"/>
        <v>0.12457075711319848</v>
      </c>
      <c r="AA52" s="249">
        <f t="shared" si="0"/>
        <v>2.4914151422639703E-2</v>
      </c>
      <c r="AB52" s="6">
        <f t="shared" si="0"/>
        <v>0.74742454267919112</v>
      </c>
      <c r="AC52" s="250">
        <f t="shared" si="0"/>
        <v>0.74742454267919112</v>
      </c>
      <c r="AD52" s="6">
        <f t="shared" si="0"/>
        <v>5.6056840700939366E-2</v>
      </c>
      <c r="AE52" s="14">
        <f t="shared" si="0"/>
        <v>8.7697813007691767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3.9152921629857666E-2</v>
      </c>
      <c r="E53" s="99">
        <v>5.2203895506476887E-3</v>
      </c>
      <c r="F53" s="99">
        <v>1.0440779101295377E-3</v>
      </c>
      <c r="G53" s="99">
        <v>3.3932532079209966E-2</v>
      </c>
      <c r="H53" s="99">
        <v>3.3932532079209966E-2</v>
      </c>
      <c r="I53" s="99">
        <v>2.3491752977914601E-3</v>
      </c>
      <c r="J53" s="99">
        <v>0.2792908409596514</v>
      </c>
      <c r="K53" s="49">
        <v>83.814506642049736</v>
      </c>
      <c r="L53" s="100">
        <v>7.4577609598120391</v>
      </c>
      <c r="M53" s="49" t="s">
        <v>237</v>
      </c>
      <c r="N53" s="99">
        <v>3.4077502091165848E-2</v>
      </c>
      <c r="O53" s="99">
        <v>4.5436669454887802E-3</v>
      </c>
      <c r="P53" s="99">
        <v>9.0873338909775564E-4</v>
      </c>
      <c r="Q53" s="99">
        <v>2.9533835145677052E-2</v>
      </c>
      <c r="R53" s="99">
        <v>2.9533835145677052E-2</v>
      </c>
      <c r="S53" s="99">
        <v>2.0446501254699511E-3</v>
      </c>
      <c r="T53" s="99">
        <v>0.24308618158364961</v>
      </c>
      <c r="U53" s="49">
        <v>72.949174441637368</v>
      </c>
      <c r="V53" s="100">
        <v>6.4910063955381405</v>
      </c>
      <c r="W53" t="s">
        <v>237</v>
      </c>
      <c r="Y53" s="14">
        <f t="shared" si="1"/>
        <v>0.93428067834898909</v>
      </c>
      <c r="Z53" s="6">
        <f t="shared" si="0"/>
        <v>0.12457075711319857</v>
      </c>
      <c r="AA53" s="249">
        <f t="shared" si="0"/>
        <v>2.4914151422639703E-2</v>
      </c>
      <c r="AB53" s="6">
        <f t="shared" si="0"/>
        <v>0.80970992123579011</v>
      </c>
      <c r="AC53" s="250">
        <f t="shared" si="0"/>
        <v>0.80970992123579011</v>
      </c>
      <c r="AD53" s="6">
        <f t="shared" si="0"/>
        <v>5.6056840700939352E-2</v>
      </c>
      <c r="AE53" s="14">
        <f t="shared" si="0"/>
        <v>6.6645355055561195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2.2147967255777972</v>
      </c>
      <c r="E54" s="99">
        <v>6.0683033004941517E-2</v>
      </c>
      <c r="F54" s="99">
        <v>1.6715446985492821E-2</v>
      </c>
      <c r="G54" s="99">
        <v>0.50739862121874379</v>
      </c>
      <c r="H54" s="99">
        <v>0.50739862121874379</v>
      </c>
      <c r="I54" s="99">
        <v>1.6591273998972329E-2</v>
      </c>
      <c r="J54" s="99">
        <v>5.0635535937807443</v>
      </c>
      <c r="K54" s="49">
        <v>1341.8509565216236</v>
      </c>
      <c r="L54" s="100">
        <v>119.39703612611603</v>
      </c>
      <c r="M54" s="49" t="s">
        <v>237</v>
      </c>
      <c r="N54" s="99">
        <v>1.9276911378646207</v>
      </c>
      <c r="O54" s="99">
        <v>5.2816650662084894E-2</v>
      </c>
      <c r="P54" s="99">
        <v>1.4548612361242427E-2</v>
      </c>
      <c r="Q54" s="99">
        <v>0.4416241970165144</v>
      </c>
      <c r="R54" s="99">
        <v>0.4416241970165144</v>
      </c>
      <c r="S54" s="99">
        <v>1.444053600239948E-2</v>
      </c>
      <c r="T54" s="99">
        <v>4.4071617390924427</v>
      </c>
      <c r="U54" s="49">
        <v>1167.8994892855937</v>
      </c>
      <c r="V54" s="100">
        <v>103.91951810727525</v>
      </c>
      <c r="W54" t="s">
        <v>237</v>
      </c>
      <c r="Y54" s="14">
        <f t="shared" si="1"/>
        <v>3.3011250634997586</v>
      </c>
      <c r="Z54" s="6">
        <f t="shared" si="0"/>
        <v>9.0447253632062019E-2</v>
      </c>
      <c r="AA54" s="249">
        <f t="shared" si="0"/>
        <v>2.4914151422639703E-2</v>
      </c>
      <c r="AB54" s="6">
        <f t="shared" si="0"/>
        <v>0.7562708967133065</v>
      </c>
      <c r="AC54" s="250">
        <f t="shared" si="0"/>
        <v>0.7562708967133065</v>
      </c>
      <c r="AD54" s="6">
        <f t="shared" si="0"/>
        <v>2.4729073237685518E-2</v>
      </c>
      <c r="AE54" s="14">
        <f t="shared" si="0"/>
        <v>7.5471592881478387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1.0557892399862538</v>
      </c>
      <c r="E55" s="99">
        <v>0.14154963140025051</v>
      </c>
      <c r="F55" s="99">
        <v>3.5192974666208444E-2</v>
      </c>
      <c r="G55" s="99">
        <v>0.69727183133025061</v>
      </c>
      <c r="H55" s="99">
        <v>0.69727183133025061</v>
      </c>
      <c r="I55" s="99">
        <v>2.1972886503439017E-2</v>
      </c>
      <c r="J55" s="99">
        <v>10.878231919972411</v>
      </c>
      <c r="K55" s="49">
        <v>2825.1548857579528</v>
      </c>
      <c r="L55" s="100">
        <v>251.3804668970923</v>
      </c>
      <c r="M55" s="49" t="s">
        <v>237</v>
      </c>
      <c r="N55" s="99">
        <v>0.91892657139601441</v>
      </c>
      <c r="O55" s="99">
        <v>0.1232004575711487</v>
      </c>
      <c r="P55" s="99">
        <v>3.0630885713200481E-2</v>
      </c>
      <c r="Q55" s="99">
        <v>0.60688401532077529</v>
      </c>
      <c r="R55" s="99">
        <v>0.60688401532077529</v>
      </c>
      <c r="S55" s="99">
        <v>1.9124526461874021E-2</v>
      </c>
      <c r="T55" s="99">
        <v>9.4680794068341481</v>
      </c>
      <c r="U55" s="49">
        <v>2458.9146299693693</v>
      </c>
      <c r="V55" s="100">
        <v>218.79384806448857</v>
      </c>
      <c r="W55" t="s">
        <v>237</v>
      </c>
      <c r="Y55" s="14">
        <f t="shared" si="1"/>
        <v>0.74742454267919134</v>
      </c>
      <c r="Z55" s="6">
        <f t="shared" si="0"/>
        <v>0.10020718577991738</v>
      </c>
      <c r="AA55" s="249">
        <f t="shared" si="0"/>
        <v>2.491415142263971E-2</v>
      </c>
      <c r="AB55" s="6">
        <f t="shared" si="0"/>
        <v>0.49361942698135491</v>
      </c>
      <c r="AC55" s="250">
        <f t="shared" si="0"/>
        <v>0.49361942698135491</v>
      </c>
      <c r="AD55" s="6">
        <f t="shared" si="0"/>
        <v>1.5555258591561802E-2</v>
      </c>
      <c r="AE55" s="14">
        <f t="shared" si="0"/>
        <v>7.7010232819283289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0.79457803156843743</v>
      </c>
      <c r="E56" s="99">
        <v>8.522324208472766E-2</v>
      </c>
      <c r="F56" s="99">
        <v>2.1188747508491659E-2</v>
      </c>
      <c r="G56" s="99">
        <v>0.46581512767719857</v>
      </c>
      <c r="H56" s="99">
        <v>0.46581512767719857</v>
      </c>
      <c r="I56" s="99">
        <v>1.3229286486008565E-2</v>
      </c>
      <c r="J56" s="99">
        <v>6.5494920982745803</v>
      </c>
      <c r="K56" s="49">
        <v>1700.9500934339774</v>
      </c>
      <c r="L56" s="100">
        <v>151.34944664861101</v>
      </c>
      <c r="M56" s="49" t="s">
        <v>237</v>
      </c>
      <c r="N56" s="99">
        <v>0.69157634743965068</v>
      </c>
      <c r="O56" s="99">
        <v>7.4175695949686857E-2</v>
      </c>
      <c r="P56" s="99">
        <v>1.8442035931724016E-2</v>
      </c>
      <c r="Q56" s="99">
        <v>0.40543119968373398</v>
      </c>
      <c r="R56" s="99">
        <v>0.40543119968373398</v>
      </c>
      <c r="S56" s="99">
        <v>1.1514365189743511E-2</v>
      </c>
      <c r="T56" s="99">
        <v>5.7004770368100237</v>
      </c>
      <c r="U56" s="49">
        <v>1480.4466440679639</v>
      </c>
      <c r="V56" s="100">
        <v>131.72991618412672</v>
      </c>
      <c r="W56" t="s">
        <v>237</v>
      </c>
      <c r="Y56" s="14">
        <f t="shared" si="1"/>
        <v>0.93428067834898887</v>
      </c>
      <c r="Z56" s="6">
        <f t="shared" si="0"/>
        <v>0.10020718577991741</v>
      </c>
      <c r="AA56" s="249">
        <f t="shared" si="0"/>
        <v>2.49141514226397E-2</v>
      </c>
      <c r="AB56" s="6">
        <f t="shared" si="0"/>
        <v>0.54771470665054456</v>
      </c>
      <c r="AC56" s="250">
        <f t="shared" si="0"/>
        <v>0.54771470665054456</v>
      </c>
      <c r="AD56" s="6">
        <f t="shared" si="0"/>
        <v>1.5555258591561795E-2</v>
      </c>
      <c r="AE56" s="14">
        <f t="shared" si="0"/>
        <v>7.7010232819283253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1.3313897845748943E-2</v>
      </c>
      <c r="E57" s="99">
        <v>2.3250213070511522E-2</v>
      </c>
      <c r="F57" s="99">
        <v>1.8581588867541672E-3</v>
      </c>
      <c r="G57" s="99">
        <v>1.7187969702476054E-2</v>
      </c>
      <c r="H57" s="99">
        <v>1.7187969702476054E-2</v>
      </c>
      <c r="I57" s="99">
        <v>4.1738893993715489E-4</v>
      </c>
      <c r="J57" s="99">
        <v>5.7672606447632481E-2</v>
      </c>
      <c r="K57" s="49">
        <v>178.13130747520049</v>
      </c>
      <c r="L57" s="100">
        <v>15.850009310230034</v>
      </c>
      <c r="M57" s="49" t="s">
        <v>237</v>
      </c>
      <c r="N57" s="99">
        <v>1.1588008322068293E-2</v>
      </c>
      <c r="O57" s="99">
        <v>2.0236272327789701E-2</v>
      </c>
      <c r="P57" s="99">
        <v>1.6172845017214546E-3</v>
      </c>
      <c r="Q57" s="99">
        <v>1.4959881640923456E-2</v>
      </c>
      <c r="R57" s="99">
        <v>1.4959881640923456E-2</v>
      </c>
      <c r="S57" s="99">
        <v>3.6328253119918179E-4</v>
      </c>
      <c r="T57" s="99">
        <v>5.0196467722179672E-2</v>
      </c>
      <c r="U57" s="49">
        <v>155.039173326184</v>
      </c>
      <c r="V57" s="100">
        <v>13.795361953332865</v>
      </c>
      <c r="W57" t="s">
        <v>237</v>
      </c>
      <c r="Y57" s="14">
        <f t="shared" si="1"/>
        <v>0.14948490853583821</v>
      </c>
      <c r="Z57" s="6">
        <f t="shared" si="0"/>
        <v>0.26104721656655105</v>
      </c>
      <c r="AA57" s="249">
        <f t="shared" si="0"/>
        <v>2.0862914410913175E-2</v>
      </c>
      <c r="AB57" s="6">
        <f t="shared" si="0"/>
        <v>0.19298195830094683</v>
      </c>
      <c r="AC57" s="250">
        <f t="shared" si="0"/>
        <v>0.19298195830094683</v>
      </c>
      <c r="AD57" s="6">
        <f t="shared" si="0"/>
        <v>4.6863321495513718E-3</v>
      </c>
      <c r="AE57" s="14">
        <f t="shared" si="0"/>
        <v>0.64753270602871793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4.4908191210970748E-2</v>
      </c>
      <c r="E58" s="99">
        <v>7.8423691270826809E-2</v>
      </c>
      <c r="F58" s="99">
        <v>6.2676276739921551E-3</v>
      </c>
      <c r="G58" s="99">
        <v>5.7975555984427454E-2</v>
      </c>
      <c r="H58" s="99">
        <v>5.7975555984427454E-2</v>
      </c>
      <c r="I58" s="99">
        <v>1.4078658662704882E-3</v>
      </c>
      <c r="J58" s="99">
        <v>0.19453149393153149</v>
      </c>
      <c r="K58" s="49">
        <v>600.84243618488779</v>
      </c>
      <c r="L58" s="100">
        <v>53.462573999450399</v>
      </c>
      <c r="M58" s="49" t="s">
        <v>237</v>
      </c>
      <c r="N58" s="99">
        <v>3.9086712209371689E-2</v>
      </c>
      <c r="O58" s="99">
        <v>6.8257575476577834E-2</v>
      </c>
      <c r="P58" s="99">
        <v>5.455150887238986E-3</v>
      </c>
      <c r="Q58" s="99">
        <v>5.0460145706960634E-2</v>
      </c>
      <c r="R58" s="99">
        <v>5.0460145706960634E-2</v>
      </c>
      <c r="S58" s="99">
        <v>1.2253632680460575E-3</v>
      </c>
      <c r="T58" s="99">
        <v>0.16931424566268002</v>
      </c>
      <c r="U58" s="49">
        <v>522.9519500291342</v>
      </c>
      <c r="V58" s="100">
        <v>46.532184609080048</v>
      </c>
      <c r="W58" t="s">
        <v>237</v>
      </c>
      <c r="Y58" s="14">
        <f t="shared" si="1"/>
        <v>0.14948490853583823</v>
      </c>
      <c r="Z58" s="6">
        <f t="shared" si="0"/>
        <v>0.26104721656655122</v>
      </c>
      <c r="AA58" s="249">
        <f t="shared" si="0"/>
        <v>2.0862914410913178E-2</v>
      </c>
      <c r="AB58" s="6">
        <f t="shared" si="0"/>
        <v>0.19298195830094694</v>
      </c>
      <c r="AC58" s="250">
        <f t="shared" si="0"/>
        <v>0.19298195830094694</v>
      </c>
      <c r="AD58" s="6">
        <f t="shared" si="0"/>
        <v>4.6863321495513735E-3</v>
      </c>
      <c r="AE58" s="14">
        <f t="shared" si="0"/>
        <v>0.64753270602871771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1.2612375939597689</v>
      </c>
      <c r="E59" s="99">
        <v>4.4802646066497809E-2</v>
      </c>
      <c r="F59" s="99">
        <v>1.1112225497442899E-2</v>
      </c>
      <c r="G59" s="99">
        <v>0.27419838899825633</v>
      </c>
      <c r="H59" s="99">
        <v>0.27419838899825633</v>
      </c>
      <c r="I59" s="99">
        <v>6.7717504803530889E-3</v>
      </c>
      <c r="J59" s="99">
        <v>1.682687261334936</v>
      </c>
      <c r="K59" s="49">
        <v>891.73532935666424</v>
      </c>
      <c r="L59" s="100">
        <v>79.373694900963528</v>
      </c>
      <c r="M59" s="49" t="s">
        <v>237</v>
      </c>
      <c r="N59" s="99">
        <v>1.1531757093034687</v>
      </c>
      <c r="O59" s="99">
        <v>4.0963989183194216E-2</v>
      </c>
      <c r="P59" s="99">
        <v>1.0160138407960075E-2</v>
      </c>
      <c r="Q59" s="99">
        <v>0.25070527808340831</v>
      </c>
      <c r="R59" s="99">
        <v>0.25070527808340831</v>
      </c>
      <c r="S59" s="99">
        <v>6.1915520127259786E-3</v>
      </c>
      <c r="T59" s="99">
        <v>1.5385158874258245</v>
      </c>
      <c r="U59" s="49">
        <v>815.33186276124832</v>
      </c>
      <c r="V59" s="100">
        <v>72.573016659044683</v>
      </c>
      <c r="W59" t="s">
        <v>237</v>
      </c>
      <c r="Y59" s="14">
        <f t="shared" si="1"/>
        <v>2.8287272017017941</v>
      </c>
      <c r="Z59" s="6">
        <f t="shared" si="0"/>
        <v>0.10048421030539219</v>
      </c>
      <c r="AA59" s="249">
        <f t="shared" si="0"/>
        <v>2.4922706622923292E-2</v>
      </c>
      <c r="AB59" s="6">
        <f t="shared" si="0"/>
        <v>0.61497726149044596</v>
      </c>
      <c r="AC59" s="250">
        <f t="shared" si="0"/>
        <v>0.61497726149044596</v>
      </c>
      <c r="AD59" s="6">
        <f t="shared" si="0"/>
        <v>1.5187808291355924E-2</v>
      </c>
      <c r="AE59" s="14">
        <f t="shared" si="0"/>
        <v>3.7739623770262107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9.2033999808485964E-2</v>
      </c>
      <c r="E60" s="99">
        <v>1.4420048488139905</v>
      </c>
      <c r="F60" s="99">
        <v>3.7307432463564711</v>
      </c>
      <c r="G60" s="99">
        <v>5.8937527880680844E-2</v>
      </c>
      <c r="H60" s="99">
        <v>5.8937527880680844E-2</v>
      </c>
      <c r="I60" s="99">
        <v>3.1619983707985269E-3</v>
      </c>
      <c r="J60" s="99">
        <v>5.7807891929634425E-2</v>
      </c>
      <c r="K60" s="49">
        <v>34647.809105042623</v>
      </c>
      <c r="L60" s="100">
        <v>258.15988726083015</v>
      </c>
      <c r="M60" s="49" t="s">
        <v>238</v>
      </c>
      <c r="N60" s="99">
        <v>8.5006055868322522E-2</v>
      </c>
      <c r="O60" s="99">
        <v>1.3318897906833314</v>
      </c>
      <c r="P60" s="99">
        <v>3.4458544612868578</v>
      </c>
      <c r="Q60" s="99">
        <v>5.4436912425749232E-2</v>
      </c>
      <c r="R60" s="99">
        <v>5.4436912425749232E-2</v>
      </c>
      <c r="S60" s="99">
        <v>2.9205403516414474E-3</v>
      </c>
      <c r="T60" s="99">
        <v>5.3393538270922386E-2</v>
      </c>
      <c r="U60" s="49">
        <v>32002.016674566621</v>
      </c>
      <c r="V60" s="100">
        <v>238.44615951843625</v>
      </c>
      <c r="W60" t="s">
        <v>238</v>
      </c>
      <c r="Y60" s="14">
        <f t="shared" si="1"/>
        <v>5.312543689528197E-3</v>
      </c>
      <c r="Z60" s="6">
        <f t="shared" si="0"/>
        <v>8.323786617746759E-2</v>
      </c>
      <c r="AA60" s="249">
        <f t="shared" si="0"/>
        <v>0.21535233209383497</v>
      </c>
      <c r="AB60" s="6">
        <f t="shared" si="0"/>
        <v>3.4020926230572579E-3</v>
      </c>
      <c r="AC60" s="250">
        <f t="shared" si="0"/>
        <v>3.4020926230572579E-3</v>
      </c>
      <c r="AD60" s="6">
        <f t="shared" si="0"/>
        <v>1.8252226922702195E-4</v>
      </c>
      <c r="AE60" s="14">
        <f t="shared" si="0"/>
        <v>3.3368858477819947E-3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2.9370658057362664E-2</v>
      </c>
      <c r="E61" s="99">
        <v>0.74147523847479424</v>
      </c>
      <c r="F61" s="99">
        <v>0.52410765300902773</v>
      </c>
      <c r="G61" s="99">
        <v>1.8808635740398913E-2</v>
      </c>
      <c r="H61" s="99">
        <v>1.8808635740398913E-2</v>
      </c>
      <c r="I61" s="99">
        <v>1.009083307472402E-3</v>
      </c>
      <c r="J61" s="99">
        <v>1.8448136888707937E-2</v>
      </c>
      <c r="K61" s="49">
        <v>11410.480058751004</v>
      </c>
      <c r="L61" s="100">
        <v>85.019177883036406</v>
      </c>
      <c r="M61" s="49" t="s">
        <v>238</v>
      </c>
      <c r="N61" s="99">
        <v>2.88962564137231E-2</v>
      </c>
      <c r="O61" s="99">
        <v>0.72949875939272923</v>
      </c>
      <c r="P61" s="99">
        <v>0.51564214530586516</v>
      </c>
      <c r="Q61" s="99">
        <v>1.8504834317480963E-2</v>
      </c>
      <c r="R61" s="99">
        <v>1.8504834317480963E-2</v>
      </c>
      <c r="S61" s="99">
        <v>9.9278436113285433E-4</v>
      </c>
      <c r="T61" s="99">
        <v>1.8150158326395913E-2</v>
      </c>
      <c r="U61" s="49">
        <v>11226.175352876997</v>
      </c>
      <c r="V61" s="100">
        <v>83.645928511169259</v>
      </c>
      <c r="W61" t="s">
        <v>238</v>
      </c>
      <c r="Y61" s="14">
        <f t="shared" si="1"/>
        <v>5.1480144404332127E-3</v>
      </c>
      <c r="Z61" s="6">
        <f t="shared" si="0"/>
        <v>0.12996389891696755</v>
      </c>
      <c r="AA61" s="249">
        <f t="shared" si="0"/>
        <v>9.1864259927797856E-2</v>
      </c>
      <c r="AB61" s="6">
        <f t="shared" si="0"/>
        <v>3.2967299611507714E-3</v>
      </c>
      <c r="AC61" s="250">
        <f t="shared" si="0"/>
        <v>3.2967299611507714E-3</v>
      </c>
      <c r="AD61" s="6">
        <f t="shared" si="0"/>
        <v>1.76869562415739E-4</v>
      </c>
      <c r="AE61" s="14">
        <f t="shared" si="0"/>
        <v>3.2335426368953818E-3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6.151312966802446E-4</v>
      </c>
      <c r="E62" s="99">
        <v>1.5529261346766342E-2</v>
      </c>
      <c r="F62" s="99">
        <v>2.4935316681745701E-2</v>
      </c>
      <c r="G62" s="99">
        <v>3.4509469659480761E-4</v>
      </c>
      <c r="H62" s="99">
        <v>3.4509469659480761E-4</v>
      </c>
      <c r="I62" s="99">
        <v>2.1133973987630344E-5</v>
      </c>
      <c r="J62" s="99">
        <v>3.8637290126500328E-4</v>
      </c>
      <c r="K62" s="49">
        <v>236.38123980002831</v>
      </c>
      <c r="L62" s="100">
        <v>1.7254734829740381</v>
      </c>
      <c r="M62" s="49" t="s">
        <v>238</v>
      </c>
      <c r="N62" s="99">
        <v>5.8081906999768972E-4</v>
      </c>
      <c r="O62" s="99">
        <v>1.4663034025187113E-2</v>
      </c>
      <c r="P62" s="99">
        <v>2.3544416490188541E-2</v>
      </c>
      <c r="Q62" s="99">
        <v>3.2584520055971365E-4</v>
      </c>
      <c r="R62" s="99">
        <v>3.2584520055971365E-4</v>
      </c>
      <c r="S62" s="99">
        <v>1.9955113945749332E-5</v>
      </c>
      <c r="T62" s="99">
        <v>3.6482089335425534E-4</v>
      </c>
      <c r="U62" s="49">
        <v>223.19581625338978</v>
      </c>
      <c r="V62" s="100">
        <v>1.6292260027985677</v>
      </c>
      <c r="W62" t="s">
        <v>238</v>
      </c>
      <c r="Y62" s="14">
        <f t="shared" si="1"/>
        <v>5.2045695098361282E-3</v>
      </c>
      <c r="Z62" s="6">
        <f t="shared" si="0"/>
        <v>0.13139165662980404</v>
      </c>
      <c r="AA62" s="249">
        <f t="shared" si="0"/>
        <v>0.21097542853096343</v>
      </c>
      <c r="AB62" s="6">
        <f t="shared" si="0"/>
        <v>2.9198145917734234E-3</v>
      </c>
      <c r="AC62" s="250">
        <f t="shared" si="0"/>
        <v>2.9198145917734234E-3</v>
      </c>
      <c r="AD62" s="6">
        <f t="shared" si="0"/>
        <v>1.7881261647928641E-4</v>
      </c>
      <c r="AE62" s="14">
        <f t="shared" si="0"/>
        <v>3.2690656973612931E-3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2.3705068646179342E-3</v>
      </c>
      <c r="E63" s="99">
        <v>3.7141517265782575E-2</v>
      </c>
      <c r="F63" s="99">
        <v>9.6092232153530466E-2</v>
      </c>
      <c r="G63" s="99">
        <v>1.5180456648140024E-3</v>
      </c>
      <c r="H63" s="99">
        <v>1.5180456648140024E-3</v>
      </c>
      <c r="I63" s="99">
        <v>8.1443149917271223E-5</v>
      </c>
      <c r="J63" s="99">
        <v>1.488949789571734E-3</v>
      </c>
      <c r="K63" s="49">
        <v>831.17351494317495</v>
      </c>
      <c r="L63" s="100">
        <v>6.6493881195454003</v>
      </c>
      <c r="M63" s="49" t="s">
        <v>238</v>
      </c>
      <c r="N63" s="99">
        <v>1.9650204443215293E-3</v>
      </c>
      <c r="O63" s="99">
        <v>3.0788284923252897E-2</v>
      </c>
      <c r="P63" s="99">
        <v>7.9655200978551707E-2</v>
      </c>
      <c r="Q63" s="99">
        <v>1.2583767679803641E-3</v>
      </c>
      <c r="R63" s="99">
        <v>1.2583767679803641E-3</v>
      </c>
      <c r="S63" s="99">
        <v>6.7511913602146556E-5</v>
      </c>
      <c r="T63" s="99">
        <v>1.2342578799274067E-3</v>
      </c>
      <c r="U63" s="49">
        <v>688.99735074387445</v>
      </c>
      <c r="V63" s="100">
        <v>5.5119788059509958</v>
      </c>
      <c r="W63" t="s">
        <v>238</v>
      </c>
      <c r="Y63" s="14">
        <f t="shared" si="1"/>
        <v>5.7039999999999981E-3</v>
      </c>
      <c r="Z63" s="6">
        <f t="shared" si="0"/>
        <v>8.937127229883364E-2</v>
      </c>
      <c r="AA63" s="249">
        <f t="shared" si="0"/>
        <v>0.23122063065279466</v>
      </c>
      <c r="AB63" s="6">
        <f t="shared" si="0"/>
        <v>3.6527767969550548E-3</v>
      </c>
      <c r="AC63" s="250">
        <f t="shared" si="0"/>
        <v>3.6527767969550548E-3</v>
      </c>
      <c r="AD63" s="6">
        <f t="shared" si="0"/>
        <v>1.9597147515663875E-4</v>
      </c>
      <c r="AE63" s="14">
        <f t="shared" si="0"/>
        <v>3.5827652416800817E-3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6.4990552711092771E-4</v>
      </c>
      <c r="E64" s="99">
        <v>1.1107476281532223E-2</v>
      </c>
      <c r="F64" s="99">
        <v>7.0898784775737638E-5</v>
      </c>
      <c r="G64" s="99">
        <v>5.8529310125197163E-6</v>
      </c>
      <c r="H64" s="99">
        <v>5.8529310125197163E-6</v>
      </c>
      <c r="I64" s="99">
        <v>2.3632928258579193E-3</v>
      </c>
      <c r="J64" s="99">
        <v>4.7265856517158386E-3</v>
      </c>
      <c r="K64" s="49">
        <v>291.73882732240446</v>
      </c>
      <c r="L64" s="100">
        <v>287.42741608118678</v>
      </c>
      <c r="M64" s="49" t="s">
        <v>239</v>
      </c>
      <c r="N64" s="99">
        <v>6.4990552711092771E-4</v>
      </c>
      <c r="O64" s="99">
        <v>1.1107476281532223E-2</v>
      </c>
      <c r="P64" s="99">
        <v>7.0898784775737638E-5</v>
      </c>
      <c r="Q64" s="99">
        <v>5.8529310125197163E-6</v>
      </c>
      <c r="R64" s="99">
        <v>5.8529310125197163E-6</v>
      </c>
      <c r="S64" s="99">
        <v>2.3632928258579193E-3</v>
      </c>
      <c r="T64" s="99">
        <v>4.7265856517158386E-3</v>
      </c>
      <c r="U64" s="49">
        <v>291.73882732240446</v>
      </c>
      <c r="V64" s="100">
        <v>287.42741608118678</v>
      </c>
      <c r="W64" t="s">
        <v>239</v>
      </c>
      <c r="Y64" s="14">
        <f t="shared" si="1"/>
        <v>4.4553927434054464E-3</v>
      </c>
      <c r="Z64" s="6">
        <f t="shared" si="0"/>
        <v>7.6146712341838563E-2</v>
      </c>
      <c r="AA64" s="249">
        <f t="shared" si="0"/>
        <v>4.8604284473514008E-4</v>
      </c>
      <c r="AB64" s="6">
        <f t="shared" si="0"/>
        <v>4.0124456975701519E-5</v>
      </c>
      <c r="AC64" s="250">
        <f t="shared" si="0"/>
        <v>4.0124456975701519E-5</v>
      </c>
      <c r="AD64" s="6">
        <f t="shared" si="0"/>
        <v>1.620142815783799E-2</v>
      </c>
      <c r="AE64" s="14">
        <f t="shared" si="0"/>
        <v>3.2402856315675979E-2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0.13262524434035913</v>
      </c>
      <c r="F65" s="99">
        <v>7.9575146604215401E-4</v>
      </c>
      <c r="G65" s="99">
        <v>1.0079518569867291E-2</v>
      </c>
      <c r="H65" s="99">
        <v>1.0079518569867291E-2</v>
      </c>
      <c r="I65" s="99">
        <v>2.6525048868071843E-2</v>
      </c>
      <c r="J65" s="99">
        <v>5.3050097736143685E-2</v>
      </c>
      <c r="K65" s="49">
        <v>2692.2924601092905</v>
      </c>
      <c r="L65" s="100">
        <v>2652.5048868071826</v>
      </c>
      <c r="M65" s="49" t="s">
        <v>239</v>
      </c>
      <c r="N65" s="99">
        <v>7.2943884387197469E-3</v>
      </c>
      <c r="O65" s="99">
        <v>0.13262524434035913</v>
      </c>
      <c r="P65" s="99">
        <v>7.9575146604215401E-4</v>
      </c>
      <c r="Q65" s="99">
        <v>1.0079518569867291E-2</v>
      </c>
      <c r="R65" s="99">
        <v>1.0079518569867291E-2</v>
      </c>
      <c r="S65" s="99">
        <v>2.6525048868071843E-2</v>
      </c>
      <c r="T65" s="99">
        <v>5.3050097736143685E-2</v>
      </c>
      <c r="U65" s="49">
        <v>2692.2924601092905</v>
      </c>
      <c r="V65" s="100">
        <v>2652.5048868071826</v>
      </c>
      <c r="W65" t="s">
        <v>239</v>
      </c>
      <c r="Y65" s="14">
        <f t="shared" si="1"/>
        <v>5.4187192118226556E-3</v>
      </c>
      <c r="Z65" s="6">
        <f t="shared" si="0"/>
        <v>9.852216748768472E-2</v>
      </c>
      <c r="AA65" s="249">
        <f t="shared" si="0"/>
        <v>5.9113300492610768E-4</v>
      </c>
      <c r="AB65" s="6">
        <f t="shared" si="0"/>
        <v>7.4876847290640371E-3</v>
      </c>
      <c r="AC65" s="250">
        <f t="shared" si="0"/>
        <v>7.4876847290640371E-3</v>
      </c>
      <c r="AD65" s="6">
        <f t="shared" si="0"/>
        <v>1.9704433497536956E-2</v>
      </c>
      <c r="AE65" s="14">
        <f t="shared" si="0"/>
        <v>3.9408866995073913E-2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0.13881060581883317</v>
      </c>
      <c r="E66" s="99">
        <v>6.5518605946489256E-2</v>
      </c>
      <c r="F66" s="99">
        <v>0.12909386341151474</v>
      </c>
      <c r="G66" s="99">
        <v>0.11090967404924768</v>
      </c>
      <c r="H66" s="99">
        <v>0.11090967404924768</v>
      </c>
      <c r="I66" s="99">
        <v>1.757272864363519E-2</v>
      </c>
      <c r="J66" s="99">
        <v>1.8125194854794136</v>
      </c>
      <c r="K66" s="49">
        <v>421.98424168925277</v>
      </c>
      <c r="L66" s="100">
        <v>27.762121163766626</v>
      </c>
      <c r="M66" s="49" t="s">
        <v>237</v>
      </c>
      <c r="N66" s="99">
        <v>0.12169519313302633</v>
      </c>
      <c r="O66" s="99">
        <v>5.7440131158788418E-2</v>
      </c>
      <c r="P66" s="99">
        <v>0.11317652961371445</v>
      </c>
      <c r="Q66" s="99">
        <v>9.7234459313288044E-2</v>
      </c>
      <c r="R66" s="99">
        <v>9.7234459313288044E-2</v>
      </c>
      <c r="S66" s="99">
        <v>1.5406002974675473E-2</v>
      </c>
      <c r="T66" s="99">
        <v>1.5890349843344911</v>
      </c>
      <c r="U66" s="49">
        <v>369.95338712439997</v>
      </c>
      <c r="V66" s="100">
        <v>24.339038626605269</v>
      </c>
      <c r="W66" t="s">
        <v>237</v>
      </c>
      <c r="Y66" s="14">
        <f t="shared" si="1"/>
        <v>0.65789473684210542</v>
      </c>
      <c r="Z66" s="6">
        <f t="shared" si="1"/>
        <v>0.31052631578947371</v>
      </c>
      <c r="AA66" s="249">
        <f t="shared" si="1"/>
        <v>0.61184210526315785</v>
      </c>
      <c r="AB66" s="6">
        <f t="shared" si="1"/>
        <v>0.52565789473684221</v>
      </c>
      <c r="AC66" s="250">
        <f t="shared" si="1"/>
        <v>0.52565789473684221</v>
      </c>
      <c r="AD66" s="6">
        <f t="shared" si="1"/>
        <v>8.3286184210526346E-2</v>
      </c>
      <c r="AE66" s="14">
        <f t="shared" si="1"/>
        <v>8.5904605263157912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1.6443543175439636E-4</v>
      </c>
      <c r="F67" s="99">
        <v>3.2399354138048429E-4</v>
      </c>
      <c r="G67" s="99">
        <v>2.7835574146559892E-4</v>
      </c>
      <c r="H67" s="99">
        <v>2.7835574146559892E-4</v>
      </c>
      <c r="I67" s="99">
        <v>4.4103185345228465E-5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1.5539346793088334E-4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4.1678042526928359E-5</v>
      </c>
      <c r="T67" s="99">
        <v>4.2988351853972644E-3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1.0645223161162031E-3</v>
      </c>
      <c r="E68" s="99">
        <v>4.2325140919862258E-5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1.0961826058757603E-5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8.7269646582558823E-4</v>
      </c>
      <c r="O68" s="99">
        <v>3.5510956409239786E-5</v>
      </c>
      <c r="P68" s="99">
        <v>7.5369704121824448E-6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4.5454071442014893E-4</v>
      </c>
      <c r="E69" s="101">
        <v>2.3729271934124711E-2</v>
      </c>
      <c r="F69" s="101">
        <v>1.6802202817214628E-2</v>
      </c>
      <c r="G69" s="101">
        <v>2.3655128992506411E-3</v>
      </c>
      <c r="H69" s="101">
        <v>2.3655128992506411E-3</v>
      </c>
      <c r="I69" s="101">
        <v>1.6537406597149251E-5</v>
      </c>
      <c r="J69" s="101">
        <v>5.6489860280612312E-3</v>
      </c>
      <c r="K69" s="94">
        <v>125.9077778943812</v>
      </c>
      <c r="L69" s="102">
        <v>0.90908142884029708</v>
      </c>
      <c r="M69" s="94" t="s">
        <v>238</v>
      </c>
      <c r="N69" s="101">
        <v>4.5454071442014893E-4</v>
      </c>
      <c r="O69" s="101">
        <v>2.3729271934124711E-2</v>
      </c>
      <c r="P69" s="101">
        <v>1.6802202817214628E-2</v>
      </c>
      <c r="Q69" s="101">
        <v>2.3655128992506411E-3</v>
      </c>
      <c r="R69" s="101">
        <v>2.3655128992506411E-3</v>
      </c>
      <c r="S69" s="101">
        <v>1.6537406597149251E-5</v>
      </c>
      <c r="T69" s="101">
        <v>5.6489860280612312E-3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7.2202166064981978E-3</v>
      </c>
      <c r="Z69" s="252">
        <f t="shared" si="1"/>
        <v>0.37693099395384788</v>
      </c>
      <c r="AA69" s="253">
        <f t="shared" si="1"/>
        <v>0.26689697964980841</v>
      </c>
      <c r="AB69" s="252">
        <f t="shared" si="1"/>
        <v>3.757532598557925E-2</v>
      </c>
      <c r="AC69" s="254">
        <f t="shared" si="1"/>
        <v>3.757532598557925E-2</v>
      </c>
      <c r="AD69" s="252">
        <f t="shared" si="1"/>
        <v>2.6269078644246735E-4</v>
      </c>
      <c r="AE69" s="251">
        <f t="shared" si="1"/>
        <v>8.973212175660715E-2</v>
      </c>
    </row>
    <row r="70" spans="1:31" x14ac:dyDescent="0.25">
      <c r="A70" s="17" t="s">
        <v>236</v>
      </c>
      <c r="B70" s="17" t="s">
        <v>219</v>
      </c>
      <c r="C70" s="17"/>
      <c r="D70" s="103">
        <v>10.898969792647243</v>
      </c>
      <c r="E70" s="103">
        <v>2.9801616605873886</v>
      </c>
      <c r="F70" s="103">
        <v>4.6277167164256232</v>
      </c>
      <c r="G70" s="103">
        <v>3.1340180051306423</v>
      </c>
      <c r="H70" s="103">
        <v>3.1340180051306423</v>
      </c>
      <c r="I70" s="103">
        <v>0.16057205929976648</v>
      </c>
      <c r="J70" s="103">
        <v>33.312413851631121</v>
      </c>
      <c r="K70" s="93">
        <v>59218.236440854096</v>
      </c>
      <c r="L70" s="93"/>
      <c r="M70" s="93"/>
      <c r="N70" s="103">
        <v>9.814959839485768</v>
      </c>
      <c r="O70" s="103">
        <v>2.7814962403692385</v>
      </c>
      <c r="P70" s="103">
        <v>4.2879681016873104</v>
      </c>
      <c r="Q70" s="103">
        <v>2.7871537290324624</v>
      </c>
      <c r="R70" s="103">
        <v>2.7871537290324624</v>
      </c>
      <c r="S70" s="103">
        <v>0.14626704785272238</v>
      </c>
      <c r="T70" s="103">
        <v>29.383662255069058</v>
      </c>
      <c r="U70" s="93">
        <v>55147.800523801328</v>
      </c>
      <c r="Y70" s="14">
        <f t="shared" si="1"/>
        <v>0.35595108948179044</v>
      </c>
      <c r="Z70" s="6">
        <f t="shared" si="1"/>
        <v>0.10087424027613823</v>
      </c>
      <c r="AA70" s="249">
        <f t="shared" si="1"/>
        <v>0.15550821831368086</v>
      </c>
      <c r="AB70" s="6">
        <f t="shared" si="1"/>
        <v>0.10107941577215034</v>
      </c>
      <c r="AC70" s="250">
        <f t="shared" si="1"/>
        <v>0.10107941577215034</v>
      </c>
      <c r="AD70" s="6">
        <f t="shared" si="1"/>
        <v>5.3045469252974015E-3</v>
      </c>
      <c r="AE70" s="14">
        <f t="shared" si="1"/>
        <v>1.0656331522192735</v>
      </c>
    </row>
    <row r="71" spans="1:31" x14ac:dyDescent="0.25">
      <c r="R71" s="99"/>
      <c r="T71" s="1" t="s">
        <v>33</v>
      </c>
      <c r="U71" s="49">
        <f>SUM(U50:U60,U62:U64,U66)</f>
        <v>41080.399390077466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7.94837558175856</v>
      </c>
      <c r="O74" s="99">
        <f t="shared" si="2"/>
        <v>0.20904310444744117</v>
      </c>
      <c r="P74" s="99">
        <f t="shared" si="2"/>
        <v>0.14672587902759335</v>
      </c>
      <c r="Q74" s="99">
        <f>SUM(Q50,Q51,Q54, Q59,Q66)</f>
        <v>1.5471068721181784</v>
      </c>
      <c r="R74" s="99">
        <f t="shared" ref="R74:U74" si="3">SUM(R50,R51,R54, R59,R66)</f>
        <v>1.5471068721181784</v>
      </c>
      <c r="S74" s="99">
        <f t="shared" si="3"/>
        <v>7.5641563764356212E-2</v>
      </c>
      <c r="T74" s="99">
        <f t="shared" si="3"/>
        <v>13.078480449391408</v>
      </c>
      <c r="U74" s="49">
        <f t="shared" si="3"/>
        <v>3062.9858551594994</v>
      </c>
      <c r="Y74" s="14">
        <f t="shared" ref="Y74:AE81" si="4">N74/$U74*2000</f>
        <v>5.1899525218960978</v>
      </c>
      <c r="Z74" s="6">
        <f t="shared" si="4"/>
        <v>0.13649629109146222</v>
      </c>
      <c r="AA74" s="249">
        <f t="shared" si="4"/>
        <v>9.5805782962032571E-2</v>
      </c>
      <c r="AB74" s="6">
        <f t="shared" si="4"/>
        <v>1.0101952442987143</v>
      </c>
      <c r="AC74" s="250">
        <f t="shared" si="4"/>
        <v>1.0101952442987143</v>
      </c>
      <c r="AD74" s="6">
        <f t="shared" si="4"/>
        <v>4.9390736582697881E-2</v>
      </c>
      <c r="AE74" s="14">
        <f t="shared" si="4"/>
        <v>8.5396936635284391</v>
      </c>
    </row>
    <row r="75" spans="1:31" x14ac:dyDescent="0.25">
      <c r="M75" s="1" t="s">
        <v>588</v>
      </c>
      <c r="N75" s="99">
        <f t="shared" ref="N75:U75" si="5">SUM(N52:N53,N55:N56)</f>
        <v>1.6898606308043211</v>
      </c>
      <c r="O75" s="99">
        <f t="shared" si="5"/>
        <v>0.20946652211257272</v>
      </c>
      <c r="P75" s="99">
        <f t="shared" si="5"/>
        <v>5.1490995363271924E-2</v>
      </c>
      <c r="Q75" s="99">
        <f t="shared" si="5"/>
        <v>1.0871292600276767</v>
      </c>
      <c r="R75" s="99">
        <f t="shared" si="5"/>
        <v>1.0871292600276767</v>
      </c>
      <c r="S75" s="99">
        <f t="shared" si="5"/>
        <v>3.6079557517899256E-2</v>
      </c>
      <c r="T75" s="99">
        <f t="shared" si="5"/>
        <v>15.942930421123709</v>
      </c>
      <c r="U75" s="49">
        <f t="shared" si="5"/>
        <v>4133.4737426763495</v>
      </c>
      <c r="Y75" s="14">
        <f t="shared" si="4"/>
        <v>0.81764672331517796</v>
      </c>
      <c r="Z75" s="6">
        <f t="shared" si="4"/>
        <v>0.10135132585937122</v>
      </c>
      <c r="AA75" s="249">
        <f t="shared" si="4"/>
        <v>2.4914151422639707E-2</v>
      </c>
      <c r="AB75" s="6">
        <f t="shared" si="4"/>
        <v>0.52601241846707858</v>
      </c>
      <c r="AC75" s="250">
        <f t="shared" si="4"/>
        <v>0.52601241846707858</v>
      </c>
      <c r="AD75" s="6">
        <f t="shared" si="4"/>
        <v>1.7457257388812344E-2</v>
      </c>
      <c r="AE75" s="14">
        <f t="shared" si="4"/>
        <v>7.714059124904928</v>
      </c>
    </row>
    <row r="76" spans="1:31" x14ac:dyDescent="0.25">
      <c r="M76" s="1" t="s">
        <v>589</v>
      </c>
      <c r="N76" s="99">
        <f t="shared" ref="N76:V76" si="6">SUM(N60,N62:N63)</f>
        <v>8.7551895382641742E-2</v>
      </c>
      <c r="O76" s="99">
        <f t="shared" si="6"/>
        <v>1.3773411096317714</v>
      </c>
      <c r="P76" s="99">
        <f t="shared" si="6"/>
        <v>3.549054078755598</v>
      </c>
      <c r="Q76" s="99">
        <f t="shared" si="6"/>
        <v>5.602113439428931E-2</v>
      </c>
      <c r="R76" s="99">
        <f t="shared" si="6"/>
        <v>5.602113439428931E-2</v>
      </c>
      <c r="S76" s="99">
        <f t="shared" si="6"/>
        <v>3.0080073791893436E-3</v>
      </c>
      <c r="T76" s="99">
        <f t="shared" si="6"/>
        <v>5.4992617044204044E-2</v>
      </c>
      <c r="U76" s="49">
        <f t="shared" si="6"/>
        <v>32914.209841563883</v>
      </c>
      <c r="V76" s="100">
        <f t="shared" si="6"/>
        <v>245.58736432718581</v>
      </c>
      <c r="W76" t="s">
        <v>238</v>
      </c>
      <c r="Y76" s="14">
        <f t="shared" si="4"/>
        <v>5.3200059065116427E-3</v>
      </c>
      <c r="Z76" s="6">
        <f t="shared" si="4"/>
        <v>8.3692795073115972E-2</v>
      </c>
      <c r="AA76" s="249">
        <f t="shared" si="4"/>
        <v>0.21565482482121578</v>
      </c>
      <c r="AB76" s="6">
        <f t="shared" si="4"/>
        <v>3.4040698326925126E-3</v>
      </c>
      <c r="AC76" s="250">
        <f t="shared" si="4"/>
        <v>3.4040698326925126E-3</v>
      </c>
      <c r="AD76" s="6">
        <f t="shared" si="4"/>
        <v>1.8277864750019599E-4</v>
      </c>
      <c r="AE76" s="14">
        <f t="shared" si="4"/>
        <v>3.3415729746463286E-3</v>
      </c>
    </row>
    <row r="77" spans="1:31" x14ac:dyDescent="0.25">
      <c r="M77" s="1" t="s">
        <v>590</v>
      </c>
      <c r="N77" s="99">
        <f t="shared" ref="N77:U77" si="7">SUM(N64,N66)</f>
        <v>0.12234509866013726</v>
      </c>
      <c r="O77" s="99">
        <f t="shared" si="7"/>
        <v>6.8547607440320638E-2</v>
      </c>
      <c r="P77" s="99">
        <f t="shared" si="7"/>
        <v>0.1132474283984902</v>
      </c>
      <c r="Q77" s="99">
        <f t="shared" si="7"/>
        <v>9.7240312244300561E-2</v>
      </c>
      <c r="R77" s="99">
        <f t="shared" si="7"/>
        <v>9.7240312244300561E-2</v>
      </c>
      <c r="S77" s="99">
        <f t="shared" si="7"/>
        <v>1.7769295800533391E-2</v>
      </c>
      <c r="T77" s="99">
        <f t="shared" si="7"/>
        <v>1.5937615699862069</v>
      </c>
      <c r="U77" s="49">
        <f t="shared" si="7"/>
        <v>661.69221444680443</v>
      </c>
      <c r="Y77" s="14">
        <f t="shared" si="4"/>
        <v>0.36979458421593076</v>
      </c>
      <c r="Z77" s="6">
        <f t="shared" si="4"/>
        <v>0.20718879848882188</v>
      </c>
      <c r="AA77" s="249">
        <f t="shared" si="4"/>
        <v>0.34229639075674667</v>
      </c>
      <c r="AB77" s="6">
        <f t="shared" si="4"/>
        <v>0.29391402867146177</v>
      </c>
      <c r="AC77" s="250">
        <f t="shared" si="4"/>
        <v>0.29391402867146177</v>
      </c>
      <c r="AD77" s="6">
        <f t="shared" si="4"/>
        <v>5.370864402685796E-2</v>
      </c>
      <c r="AE77" s="14">
        <f t="shared" si="4"/>
        <v>4.8172293256272987</v>
      </c>
    </row>
    <row r="78" spans="1:31" x14ac:dyDescent="0.25">
      <c r="M78" s="1" t="s">
        <v>591</v>
      </c>
      <c r="N78" s="99">
        <f t="shared" ref="N78:V78" si="8">N61</f>
        <v>2.88962564137231E-2</v>
      </c>
      <c r="O78" s="99">
        <f t="shared" si="8"/>
        <v>0.72949875939272923</v>
      </c>
      <c r="P78" s="99">
        <f t="shared" si="8"/>
        <v>0.51564214530586516</v>
      </c>
      <c r="Q78" s="99">
        <f t="shared" si="8"/>
        <v>1.8504834317480963E-2</v>
      </c>
      <c r="R78" s="99">
        <f t="shared" si="8"/>
        <v>1.8504834317480963E-2</v>
      </c>
      <c r="S78" s="99">
        <f t="shared" si="8"/>
        <v>9.9278436113285433E-4</v>
      </c>
      <c r="T78" s="99">
        <f t="shared" si="8"/>
        <v>1.8150158326395913E-2</v>
      </c>
      <c r="U78" s="49">
        <f t="shared" si="8"/>
        <v>11226.175352876997</v>
      </c>
      <c r="V78" s="100">
        <f t="shared" si="8"/>
        <v>83.645928511169259</v>
      </c>
      <c r="W78" t="s">
        <v>238</v>
      </c>
      <c r="Y78" s="14">
        <f t="shared" si="4"/>
        <v>5.1480144404332127E-3</v>
      </c>
      <c r="Z78" s="6">
        <f t="shared" si="4"/>
        <v>0.12996389891696755</v>
      </c>
      <c r="AA78" s="249">
        <f t="shared" si="4"/>
        <v>9.1864259927797856E-2</v>
      </c>
      <c r="AB78" s="6">
        <f t="shared" si="4"/>
        <v>3.2967299611507714E-3</v>
      </c>
      <c r="AC78" s="250">
        <f t="shared" si="4"/>
        <v>3.2967299611507714E-3</v>
      </c>
      <c r="AD78" s="6">
        <f t="shared" si="4"/>
        <v>1.76869562415739E-4</v>
      </c>
      <c r="AE78" s="14">
        <f t="shared" si="4"/>
        <v>3.2335426368953818E-3</v>
      </c>
    </row>
    <row r="79" spans="1:31" x14ac:dyDescent="0.25">
      <c r="M79" s="1" t="s">
        <v>592</v>
      </c>
      <c r="N79" s="99">
        <f t="shared" ref="N79:V79" si="9">SUM(N50:N59,N68)</f>
        <v>9.5680884364271197</v>
      </c>
      <c r="O79" s="99">
        <f t="shared" si="9"/>
        <v>0.44959885416200224</v>
      </c>
      <c r="P79" s="99">
        <f t="shared" si="9"/>
        <v>9.2120317136523452E-2</v>
      </c>
      <c r="Q79" s="99">
        <f t="shared" si="9"/>
        <v>2.6026793670715174</v>
      </c>
      <c r="R79" s="99">
        <f t="shared" si="9"/>
        <v>2.6026793670715174</v>
      </c>
      <c r="S79" s="99">
        <f t="shared" si="9"/>
        <v>9.7913695994670882E-2</v>
      </c>
      <c r="T79" s="99">
        <f t="shared" si="9"/>
        <v>27.653759990762648</v>
      </c>
      <c r="U79" s="49">
        <f t="shared" si="9"/>
        <v>7512.3923584139702</v>
      </c>
      <c r="V79" s="100">
        <f t="shared" si="9"/>
        <v>668.41554609935542</v>
      </c>
      <c r="W79" t="s">
        <v>743</v>
      </c>
      <c r="Y79" s="14">
        <f t="shared" si="4"/>
        <v>2.5472813399344734</v>
      </c>
      <c r="Z79" s="6">
        <f t="shared" si="4"/>
        <v>0.11969525357882728</v>
      </c>
      <c r="AA79" s="249">
        <f t="shared" si="4"/>
        <v>2.4524895064445773E-2</v>
      </c>
      <c r="AB79" s="6">
        <f t="shared" si="4"/>
        <v>0.69290293767909639</v>
      </c>
      <c r="AC79" s="250">
        <f t="shared" si="4"/>
        <v>0.69290293767909639</v>
      </c>
      <c r="AD79" s="6">
        <f t="shared" si="4"/>
        <v>2.6067247641826472E-2</v>
      </c>
      <c r="AE79" s="14">
        <f t="shared" si="4"/>
        <v>7.3621713753515818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0.15650990974241474</v>
      </c>
      <c r="P80" s="99">
        <f t="shared" si="10"/>
        <v>1.7904132090832463E-2</v>
      </c>
      <c r="Q80" s="99">
        <f t="shared" si="10"/>
        <v>1.2708081004873813E-2</v>
      </c>
      <c r="R80" s="99">
        <f t="shared" si="10"/>
        <v>1.2708081004873813E-2</v>
      </c>
      <c r="S80" s="99">
        <f t="shared" si="10"/>
        <v>2.6583264317195921E-2</v>
      </c>
      <c r="T80" s="99">
        <f t="shared" si="10"/>
        <v>6.2997918949602175E-2</v>
      </c>
      <c r="U80" s="49">
        <f t="shared" si="10"/>
        <v>2833.3307564996644</v>
      </c>
      <c r="Y80" s="14">
        <f t="shared" si="4"/>
        <v>5.7022305522323588E-3</v>
      </c>
      <c r="Z80" s="6">
        <f t="shared" si="4"/>
        <v>0.11047768382380405</v>
      </c>
      <c r="AA80" s="249">
        <f t="shared" si="4"/>
        <v>1.2638222381739485E-2</v>
      </c>
      <c r="AB80" s="6">
        <f t="shared" si="4"/>
        <v>8.9704182794200487E-3</v>
      </c>
      <c r="AC80" s="250">
        <f t="shared" si="4"/>
        <v>8.9704182794200487E-3</v>
      </c>
      <c r="AD80" s="6">
        <f t="shared" si="4"/>
        <v>1.8764674231001009E-2</v>
      </c>
      <c r="AE80" s="14">
        <f t="shared" si="4"/>
        <v>4.4469159701940812E-2</v>
      </c>
    </row>
    <row r="81" spans="13:31" x14ac:dyDescent="0.25">
      <c r="M81" s="1" t="s">
        <v>594</v>
      </c>
      <c r="N81" s="99">
        <f>SUM(N76:N80)</f>
        <v>9.814959839485768</v>
      </c>
      <c r="O81" s="99">
        <f t="shared" ref="O81:U81" si="11">SUM(O76:O80)</f>
        <v>2.781496240369238</v>
      </c>
      <c r="P81" s="99">
        <f t="shared" si="11"/>
        <v>4.2879681016873095</v>
      </c>
      <c r="Q81" s="99">
        <f t="shared" si="11"/>
        <v>2.7871537290324619</v>
      </c>
      <c r="R81" s="99">
        <f t="shared" si="11"/>
        <v>2.7871537290324619</v>
      </c>
      <c r="S81" s="99">
        <f t="shared" si="11"/>
        <v>0.1462670478527224</v>
      </c>
      <c r="T81" s="99">
        <f t="shared" si="11"/>
        <v>29.383662255069058</v>
      </c>
      <c r="U81" s="49">
        <f t="shared" si="11"/>
        <v>55147.800523801321</v>
      </c>
      <c r="Y81" s="14">
        <f t="shared" si="4"/>
        <v>0.35595108948179049</v>
      </c>
      <c r="Z81" s="6">
        <f t="shared" si="4"/>
        <v>0.10087424027613823</v>
      </c>
      <c r="AA81" s="249">
        <f t="shared" si="4"/>
        <v>0.15550821831368086</v>
      </c>
      <c r="AB81" s="6">
        <f t="shared" si="4"/>
        <v>0.10107941577215034</v>
      </c>
      <c r="AC81" s="250">
        <f t="shared" si="4"/>
        <v>0.10107941577215034</v>
      </c>
      <c r="AD81" s="6">
        <f t="shared" si="4"/>
        <v>5.3045469252974032E-3</v>
      </c>
      <c r="AE81" s="14">
        <f t="shared" si="4"/>
        <v>1.0656331522192737</v>
      </c>
    </row>
    <row r="83" spans="13:31" x14ac:dyDescent="0.25">
      <c r="V83" s="42">
        <f>V79/Lookup!B37</f>
        <v>397.21488299768669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75109.938880242291</v>
      </c>
      <c r="W84" t="s">
        <v>746</v>
      </c>
    </row>
  </sheetData>
  <sheetProtection algorithmName="SHA-512" hashValue="Vav4uSBTkb/aYb4HS0Xx+VqiqsaHMdbUdZkYVWS2CGWohwLk3uviGDfxPEPVxZGhj+fAVopkW7Dxa0/M23zGlA==" saltValue="hDGWKT8V2aP1VWVJ9wuZ2g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A9274-5D21-4CC7-870B-6E90BFC20B3F}">
  <sheetPr codeName="Sheet28">
    <tabColor rgb="FFFF0000"/>
  </sheetPr>
  <dimension ref="A1:AE84"/>
  <sheetViews>
    <sheetView zoomScale="84" zoomScaleNormal="84" workbookViewId="0">
      <pane ySplit="5" topLeftCell="A6" activePane="bottomLeft" state="frozen"/>
      <selection activeCell="U72" sqref="U72"/>
      <selection pane="bottomLeft" activeCell="U72" sqref="U72"/>
    </sheetView>
  </sheetViews>
  <sheetFormatPr defaultRowHeight="15" x14ac:dyDescent="0.25"/>
  <cols>
    <col min="2" max="3" width="13.42578125" customWidth="1"/>
  </cols>
  <sheetData>
    <row r="1" spans="1:23" ht="15.75" x14ac:dyDescent="0.25">
      <c r="A1" s="505" t="s">
        <v>224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</row>
    <row r="2" spans="1:23" x14ac:dyDescent="0.25">
      <c r="A2" s="522" t="s">
        <v>1546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1:23" x14ac:dyDescent="0.25">
      <c r="D3" s="512" t="s">
        <v>225</v>
      </c>
      <c r="E3" s="512"/>
      <c r="F3" s="512"/>
      <c r="G3" s="512"/>
      <c r="H3" s="512"/>
      <c r="I3" s="512"/>
      <c r="J3" s="512"/>
      <c r="K3" s="512"/>
      <c r="L3" s="321"/>
      <c r="M3" s="321"/>
      <c r="N3" s="512" t="s">
        <v>226</v>
      </c>
      <c r="O3" s="512"/>
      <c r="P3" s="512"/>
      <c r="Q3" s="512"/>
      <c r="R3" s="512"/>
      <c r="S3" s="512"/>
      <c r="T3" s="512"/>
      <c r="U3" s="512"/>
    </row>
    <row r="4" spans="1:23" x14ac:dyDescent="0.25">
      <c r="B4" s="2"/>
      <c r="C4" s="2" t="s">
        <v>80</v>
      </c>
      <c r="D4" s="521" t="s">
        <v>227</v>
      </c>
      <c r="E4" s="521"/>
      <c r="F4" s="521"/>
      <c r="G4" s="521"/>
      <c r="H4" s="521"/>
      <c r="I4" s="521"/>
      <c r="J4" s="521"/>
      <c r="K4" s="521" t="s">
        <v>228</v>
      </c>
      <c r="L4" s="521"/>
      <c r="M4" s="322" t="s">
        <v>229</v>
      </c>
      <c r="N4" s="521" t="s">
        <v>227</v>
      </c>
      <c r="O4" s="521"/>
      <c r="P4" s="521"/>
      <c r="Q4" s="521"/>
      <c r="R4" s="521"/>
      <c r="S4" s="521"/>
      <c r="T4" s="521"/>
      <c r="U4" s="521" t="s">
        <v>228</v>
      </c>
      <c r="V4" s="521"/>
      <c r="W4" s="322" t="s">
        <v>229</v>
      </c>
    </row>
    <row r="5" spans="1:23" ht="15.75" thickBot="1" x14ac:dyDescent="0.3">
      <c r="A5" s="7" t="s">
        <v>230</v>
      </c>
      <c r="B5" s="7" t="s">
        <v>95</v>
      </c>
      <c r="C5" s="7" t="s">
        <v>231</v>
      </c>
      <c r="D5" s="7" t="s">
        <v>99</v>
      </c>
      <c r="E5" s="7" t="s">
        <v>100</v>
      </c>
      <c r="F5" s="7" t="s">
        <v>101</v>
      </c>
      <c r="G5" s="7" t="s">
        <v>102</v>
      </c>
      <c r="H5" s="7" t="s">
        <v>103</v>
      </c>
      <c r="I5" s="7" t="s">
        <v>104</v>
      </c>
      <c r="J5" s="7" t="s">
        <v>105</v>
      </c>
      <c r="K5" s="92" t="s">
        <v>217</v>
      </c>
      <c r="L5" s="92" t="s">
        <v>229</v>
      </c>
      <c r="M5" s="92" t="s">
        <v>28</v>
      </c>
      <c r="N5" s="7" t="s">
        <v>99</v>
      </c>
      <c r="O5" s="7" t="s">
        <v>100</v>
      </c>
      <c r="P5" s="7" t="s">
        <v>101</v>
      </c>
      <c r="Q5" s="7" t="s">
        <v>102</v>
      </c>
      <c r="R5" s="7" t="s">
        <v>103</v>
      </c>
      <c r="S5" s="7" t="s">
        <v>104</v>
      </c>
      <c r="T5" s="7" t="s">
        <v>105</v>
      </c>
      <c r="U5" s="92" t="s">
        <v>217</v>
      </c>
      <c r="V5" s="92" t="s">
        <v>229</v>
      </c>
      <c r="W5" s="92" t="s">
        <v>28</v>
      </c>
    </row>
    <row r="6" spans="1:23" ht="15.75" thickTop="1" x14ac:dyDescent="0.25">
      <c r="A6" s="2" t="s">
        <v>232</v>
      </c>
      <c r="B6" s="2">
        <v>2104008100</v>
      </c>
      <c r="C6" s="2" t="s">
        <v>108</v>
      </c>
      <c r="D6" s="99">
        <v>6.1127341613698079</v>
      </c>
      <c r="E6" s="99">
        <v>6.940222191948256E-2</v>
      </c>
      <c r="F6" s="99">
        <v>1.0677264910689621E-2</v>
      </c>
      <c r="G6" s="99">
        <v>0.92358341477465278</v>
      </c>
      <c r="H6" s="99">
        <v>0.92358341477465278</v>
      </c>
      <c r="I6" s="99">
        <v>4.8047692098103306E-2</v>
      </c>
      <c r="J6" s="99">
        <v>6.742692791100497</v>
      </c>
      <c r="K6" s="49">
        <v>858.98672156734176</v>
      </c>
      <c r="L6" s="100">
        <v>76.266807903859032</v>
      </c>
      <c r="M6" s="49" t="s">
        <v>237</v>
      </c>
      <c r="N6" s="99">
        <v>5.6324383547209571</v>
      </c>
      <c r="O6" s="99">
        <v>6.3949081756657186E-2</v>
      </c>
      <c r="P6" s="99">
        <v>9.838320270254948E-3</v>
      </c>
      <c r="Q6" s="99">
        <v>0.85101470337705287</v>
      </c>
      <c r="R6" s="99">
        <v>0.85101470337705287</v>
      </c>
      <c r="S6" s="99">
        <v>4.4272441216147262E-2</v>
      </c>
      <c r="T6" s="99">
        <v>6.2128992506659966</v>
      </c>
      <c r="U6" s="49">
        <v>791.49356556799978</v>
      </c>
      <c r="V6" s="100">
        <v>70.274296687812878</v>
      </c>
      <c r="W6" t="s">
        <v>237</v>
      </c>
    </row>
    <row r="7" spans="1:23" x14ac:dyDescent="0.25">
      <c r="A7" s="2" t="s">
        <v>232</v>
      </c>
      <c r="B7" s="2">
        <v>2104008210</v>
      </c>
      <c r="C7" s="2" t="s">
        <v>112</v>
      </c>
      <c r="D7" s="99">
        <v>0.12608378049397129</v>
      </c>
      <c r="E7" s="99">
        <v>6.6610299128890505E-3</v>
      </c>
      <c r="F7" s="99">
        <v>9.5157570184129306E-4</v>
      </c>
      <c r="G7" s="99">
        <v>7.2795541190858917E-2</v>
      </c>
      <c r="H7" s="99">
        <v>7.2795541190858917E-2</v>
      </c>
      <c r="I7" s="99">
        <v>4.0441967328254964E-3</v>
      </c>
      <c r="J7" s="99">
        <v>0.54905917996242604</v>
      </c>
      <c r="K7" s="49">
        <v>76.554332901252465</v>
      </c>
      <c r="L7" s="100">
        <v>6.7970254428783621</v>
      </c>
      <c r="M7" s="49" t="s">
        <v>237</v>
      </c>
      <c r="N7" s="99">
        <v>0.1095707173339381</v>
      </c>
      <c r="O7" s="99">
        <v>5.7886416704722001E-3</v>
      </c>
      <c r="P7" s="99">
        <v>8.2694881006745722E-4</v>
      </c>
      <c r="Q7" s="99">
        <v>6.3261583970160504E-2</v>
      </c>
      <c r="R7" s="99">
        <v>6.3261583970160504E-2</v>
      </c>
      <c r="S7" s="99">
        <v>3.5145324427866935E-3</v>
      </c>
      <c r="T7" s="99">
        <v>0.47714946340892289</v>
      </c>
      <c r="U7" s="49">
        <v>66.52809059300381</v>
      </c>
      <c r="V7" s="100">
        <v>5.9068260056559838</v>
      </c>
      <c r="W7" t="s">
        <v>237</v>
      </c>
    </row>
    <row r="8" spans="1:23" x14ac:dyDescent="0.25">
      <c r="A8" s="2" t="s">
        <v>232</v>
      </c>
      <c r="B8" s="2">
        <v>2104008220</v>
      </c>
      <c r="C8" s="2" t="s">
        <v>115</v>
      </c>
      <c r="D8" s="99">
        <v>6.0103890007149843E-2</v>
      </c>
      <c r="E8" s="99">
        <v>1.0017315001191643E-2</v>
      </c>
      <c r="F8" s="99">
        <v>2.0034630002383281E-3</v>
      </c>
      <c r="G8" s="99">
        <v>6.0103890007149843E-2</v>
      </c>
      <c r="H8" s="99">
        <v>6.0103890007149843E-2</v>
      </c>
      <c r="I8" s="99">
        <v>4.5077917505362414E-3</v>
      </c>
      <c r="J8" s="99">
        <v>0.70521897608389161</v>
      </c>
      <c r="K8" s="49">
        <v>161.17874088084611</v>
      </c>
      <c r="L8" s="100">
        <v>14.31056820822073</v>
      </c>
      <c r="M8" s="49" t="s">
        <v>237</v>
      </c>
      <c r="N8" s="99">
        <v>5.2232145299279109E-2</v>
      </c>
      <c r="O8" s="99">
        <v>8.7053575498798538E-3</v>
      </c>
      <c r="P8" s="99">
        <v>1.7410715099759706E-3</v>
      </c>
      <c r="Q8" s="99">
        <v>5.2232145299279109E-2</v>
      </c>
      <c r="R8" s="99">
        <v>5.2232145299279109E-2</v>
      </c>
      <c r="S8" s="99">
        <v>3.917410897445934E-3</v>
      </c>
      <c r="T8" s="99">
        <v>0.61285717151154151</v>
      </c>
      <c r="U8" s="49">
        <v>140.06932682463204</v>
      </c>
      <c r="V8" s="100">
        <v>12.436327796389079</v>
      </c>
      <c r="W8" t="s">
        <v>237</v>
      </c>
    </row>
    <row r="9" spans="1:23" x14ac:dyDescent="0.25">
      <c r="A9" s="2" t="s">
        <v>232</v>
      </c>
      <c r="B9" s="2">
        <v>2104008230</v>
      </c>
      <c r="C9" s="2" t="s">
        <v>118</v>
      </c>
      <c r="D9" s="99">
        <v>4.5233678089112564E-2</v>
      </c>
      <c r="E9" s="99">
        <v>6.0311570785483402E-3</v>
      </c>
      <c r="F9" s="99">
        <v>1.2062314157096682E-3</v>
      </c>
      <c r="G9" s="99">
        <v>3.9202521010564206E-2</v>
      </c>
      <c r="H9" s="99">
        <v>3.9202521010564206E-2</v>
      </c>
      <c r="I9" s="99">
        <v>2.7140206853467526E-3</v>
      </c>
      <c r="J9" s="99">
        <v>0.32266690370233636</v>
      </c>
      <c r="K9" s="49">
        <v>97.041403196304103</v>
      </c>
      <c r="L9" s="100">
        <v>8.6160098526194009</v>
      </c>
      <c r="M9" s="49" t="s">
        <v>237</v>
      </c>
      <c r="N9" s="99">
        <v>3.9309469754624668E-2</v>
      </c>
      <c r="O9" s="99">
        <v>5.2412626339499559E-3</v>
      </c>
      <c r="P9" s="99">
        <v>1.0482525267899911E-3</v>
      </c>
      <c r="Q9" s="99">
        <v>3.4068207120674716E-2</v>
      </c>
      <c r="R9" s="99">
        <v>3.4068207120674716E-2</v>
      </c>
      <c r="S9" s="99">
        <v>2.3585681852774805E-3</v>
      </c>
      <c r="T9" s="99">
        <v>0.28040755091632269</v>
      </c>
      <c r="U9" s="49">
        <v>84.331990345255932</v>
      </c>
      <c r="V9" s="100">
        <v>7.4875798965508196</v>
      </c>
      <c r="W9" t="s">
        <v>237</v>
      </c>
    </row>
    <row r="10" spans="1:23" x14ac:dyDescent="0.25">
      <c r="A10" s="2" t="s">
        <v>232</v>
      </c>
      <c r="B10" s="2">
        <v>2104008310</v>
      </c>
      <c r="C10" s="2" t="s">
        <v>121</v>
      </c>
      <c r="D10" s="99">
        <v>2.5587720646933207</v>
      </c>
      <c r="E10" s="99">
        <v>7.0107584980919235E-2</v>
      </c>
      <c r="F10" s="99">
        <v>1.9311487280704309E-2</v>
      </c>
      <c r="G10" s="99">
        <v>0.58620161509391966</v>
      </c>
      <c r="H10" s="99">
        <v>0.58620161509391966</v>
      </c>
      <c r="I10" s="99">
        <v>1.9168029253415021E-2</v>
      </c>
      <c r="J10" s="99">
        <v>5.8499632648967124</v>
      </c>
      <c r="K10" s="49">
        <v>1553.6105254103145</v>
      </c>
      <c r="L10" s="100">
        <v>137.94033426114234</v>
      </c>
      <c r="M10" s="49" t="s">
        <v>237</v>
      </c>
      <c r="N10" s="99">
        <v>2.2236523169282245</v>
      </c>
      <c r="O10" s="99">
        <v>6.0925666622731439E-2</v>
      </c>
      <c r="P10" s="99">
        <v>1.6782281637194148E-2</v>
      </c>
      <c r="Q10" s="99">
        <v>0.50942739198104081</v>
      </c>
      <c r="R10" s="99">
        <v>0.50942739198104081</v>
      </c>
      <c r="S10" s="99">
        <v>1.6657612160312859E-2</v>
      </c>
      <c r="T10" s="99">
        <v>5.0837995878666415</v>
      </c>
      <c r="U10" s="49">
        <v>1350.1357514807719</v>
      </c>
      <c r="V10" s="100">
        <v>119.87443043872915</v>
      </c>
      <c r="W10" t="s">
        <v>237</v>
      </c>
    </row>
    <row r="11" spans="1:23" x14ac:dyDescent="0.25">
      <c r="A11" s="2" t="s">
        <v>232</v>
      </c>
      <c r="B11" s="2">
        <v>2104008320</v>
      </c>
      <c r="C11" s="2" t="s">
        <v>125</v>
      </c>
      <c r="D11" s="99">
        <v>1.2197616071406479</v>
      </c>
      <c r="E11" s="99">
        <v>0.16353340169405758</v>
      </c>
      <c r="F11" s="99">
        <v>4.0658720238021591E-2</v>
      </c>
      <c r="G11" s="99">
        <v>0.80556362708182427</v>
      </c>
      <c r="H11" s="99">
        <v>0.80556362708182427</v>
      </c>
      <c r="I11" s="99">
        <v>2.5385448477674169E-2</v>
      </c>
      <c r="J11" s="99">
        <v>12.567706836761275</v>
      </c>
      <c r="K11" s="49">
        <v>3270.9969353121678</v>
      </c>
      <c r="L11" s="100">
        <v>290.42182918075184</v>
      </c>
      <c r="M11" s="49" t="s">
        <v>237</v>
      </c>
      <c r="N11" s="99">
        <v>1.0600106829536924</v>
      </c>
      <c r="O11" s="99">
        <v>0.14211560013092808</v>
      </c>
      <c r="P11" s="99">
        <v>3.5333689431789737E-2</v>
      </c>
      <c r="Q11" s="99">
        <v>0.70005978668846225</v>
      </c>
      <c r="R11" s="99">
        <v>0.70005978668846225</v>
      </c>
      <c r="S11" s="99">
        <v>2.206074237816404E-2</v>
      </c>
      <c r="T11" s="99">
        <v>10.921727187680693</v>
      </c>
      <c r="U11" s="49">
        <v>2842.597828167156</v>
      </c>
      <c r="V11" s="100">
        <v>252.38558066785581</v>
      </c>
      <c r="W11" t="s">
        <v>237</v>
      </c>
    </row>
    <row r="12" spans="1:23" x14ac:dyDescent="0.25">
      <c r="A12" s="2" t="s">
        <v>232</v>
      </c>
      <c r="B12" s="2">
        <v>2104008330</v>
      </c>
      <c r="C12" s="2" t="s">
        <v>128</v>
      </c>
      <c r="D12" s="99">
        <v>0.91798224501434411</v>
      </c>
      <c r="E12" s="99">
        <v>9.8459081409427274E-2</v>
      </c>
      <c r="F12" s="99">
        <v>2.447952653371584E-2</v>
      </c>
      <c r="G12" s="99">
        <v>0.53815987817167288</v>
      </c>
      <c r="H12" s="99">
        <v>0.53815987817167288</v>
      </c>
      <c r="I12" s="99">
        <v>1.5283898655481611E-2</v>
      </c>
      <c r="J12" s="99">
        <v>7.5666796981662623</v>
      </c>
      <c r="K12" s="49">
        <v>1969.3796509315234</v>
      </c>
      <c r="L12" s="100">
        <v>174.85520527407633</v>
      </c>
      <c r="M12" s="49" t="s">
        <v>237</v>
      </c>
      <c r="N12" s="99">
        <v>0.79775505375848077</v>
      </c>
      <c r="O12" s="99">
        <v>8.5563996699697567E-2</v>
      </c>
      <c r="P12" s="99">
        <v>2.1273468100226157E-2</v>
      </c>
      <c r="Q12" s="99">
        <v>0.46767763197292783</v>
      </c>
      <c r="R12" s="99">
        <v>0.46767763197292783</v>
      </c>
      <c r="S12" s="99">
        <v>1.3282182155225008E-2</v>
      </c>
      <c r="T12" s="99">
        <v>6.5756794340717457</v>
      </c>
      <c r="U12" s="49">
        <v>1711.4520219017816</v>
      </c>
      <c r="V12" s="100">
        <v>151.95459873103681</v>
      </c>
      <c r="W12" t="s">
        <v>237</v>
      </c>
    </row>
    <row r="13" spans="1:23" x14ac:dyDescent="0.25">
      <c r="A13" s="2" t="s">
        <v>232</v>
      </c>
      <c r="B13" s="2">
        <v>2104008410</v>
      </c>
      <c r="C13" s="2" t="s">
        <v>131</v>
      </c>
      <c r="D13" s="99">
        <v>1.5381650824409402E-2</v>
      </c>
      <c r="E13" s="99">
        <v>2.6861153900014038E-2</v>
      </c>
      <c r="F13" s="99">
        <v>2.1467455664346885E-3</v>
      </c>
      <c r="G13" s="99">
        <v>1.9857396489520871E-2</v>
      </c>
      <c r="H13" s="99">
        <v>1.9857396489520871E-2</v>
      </c>
      <c r="I13" s="99">
        <v>4.8221272286039202E-4</v>
      </c>
      <c r="J13" s="99">
        <v>6.6629615518216667E-2</v>
      </c>
      <c r="K13" s="49">
        <v>206.24248382693833</v>
      </c>
      <c r="L13" s="100">
        <v>18.311640332394493</v>
      </c>
      <c r="M13" s="49" t="s">
        <v>237</v>
      </c>
      <c r="N13" s="99">
        <v>1.3367131823044319E-2</v>
      </c>
      <c r="O13" s="99">
        <v>2.3343176177863537E-2</v>
      </c>
      <c r="P13" s="99">
        <v>1.8655885057233604E-3</v>
      </c>
      <c r="Q13" s="99">
        <v>1.7256693677941078E-2</v>
      </c>
      <c r="R13" s="99">
        <v>1.7256693677941078E-2</v>
      </c>
      <c r="S13" s="99">
        <v>4.1905781809810984E-4</v>
      </c>
      <c r="T13" s="99">
        <v>5.7903203246388812E-2</v>
      </c>
      <c r="U13" s="49">
        <v>179.23111766728223</v>
      </c>
      <c r="V13" s="100">
        <v>15.913383616201717</v>
      </c>
      <c r="W13" t="s">
        <v>237</v>
      </c>
    </row>
    <row r="14" spans="1:23" x14ac:dyDescent="0.25">
      <c r="A14" s="2" t="s">
        <v>232</v>
      </c>
      <c r="B14" s="2">
        <v>2104008420</v>
      </c>
      <c r="C14" s="2" t="s">
        <v>135</v>
      </c>
      <c r="D14" s="99">
        <v>5.1882786270853021E-2</v>
      </c>
      <c r="E14" s="99">
        <v>9.0603506911711998E-2</v>
      </c>
      <c r="F14" s="99">
        <v>7.2410395134235375E-3</v>
      </c>
      <c r="G14" s="99">
        <v>6.6979615499167713E-2</v>
      </c>
      <c r="H14" s="99">
        <v>6.6979615499167713E-2</v>
      </c>
      <c r="I14" s="99">
        <v>1.6265185007027622E-3</v>
      </c>
      <c r="J14" s="99">
        <v>0.224743763897883</v>
      </c>
      <c r="K14" s="49">
        <v>695.66230767520722</v>
      </c>
      <c r="L14" s="100">
        <v>61.765731941248461</v>
      </c>
      <c r="M14" s="49" t="s">
        <v>237</v>
      </c>
      <c r="N14" s="99">
        <v>4.5087751070825327E-2</v>
      </c>
      <c r="O14" s="99">
        <v>7.8737258721088138E-2</v>
      </c>
      <c r="P14" s="99">
        <v>6.2926880096773729E-3</v>
      </c>
      <c r="Q14" s="99">
        <v>5.8207364089515698E-2</v>
      </c>
      <c r="R14" s="99">
        <v>5.8207364089515698E-2</v>
      </c>
      <c r="S14" s="99">
        <v>1.4134950441737802E-3</v>
      </c>
      <c r="T14" s="99">
        <v>0.19530930410036146</v>
      </c>
      <c r="U14" s="49">
        <v>604.55213014333617</v>
      </c>
      <c r="V14" s="100">
        <v>53.676337503077384</v>
      </c>
      <c r="W14" t="s">
        <v>237</v>
      </c>
    </row>
    <row r="15" spans="1:23" x14ac:dyDescent="0.25">
      <c r="A15" s="2" t="s">
        <v>232</v>
      </c>
      <c r="B15" s="2">
        <v>2104008610</v>
      </c>
      <c r="C15" s="2" t="s">
        <v>138</v>
      </c>
      <c r="D15" s="99">
        <v>1.3152282924302032</v>
      </c>
      <c r="E15" s="99">
        <v>4.6720544935068185E-2</v>
      </c>
      <c r="F15" s="99">
        <v>1.1587914470750688E-2</v>
      </c>
      <c r="G15" s="99">
        <v>0.28593619527074826</v>
      </c>
      <c r="H15" s="99">
        <v>0.28593619527074826</v>
      </c>
      <c r="I15" s="99">
        <v>7.0616336396029595E-3</v>
      </c>
      <c r="J15" s="99">
        <v>1.7547192567193626</v>
      </c>
      <c r="K15" s="49">
        <v>932.24854345118945</v>
      </c>
      <c r="L15" s="100">
        <v>82.77150134790557</v>
      </c>
      <c r="M15" s="49" t="s">
        <v>237</v>
      </c>
      <c r="N15" s="99">
        <v>1.2024232347326995</v>
      </c>
      <c r="O15" s="99">
        <v>4.271339743269733E-2</v>
      </c>
      <c r="P15" s="99">
        <v>1.0594037310420261E-2</v>
      </c>
      <c r="Q15" s="99">
        <v>0.26141189846922297</v>
      </c>
      <c r="R15" s="99">
        <v>0.26141189846922297</v>
      </c>
      <c r="S15" s="99">
        <v>6.4559684522443803E-3</v>
      </c>
      <c r="T15" s="99">
        <v>1.6042197517008052</v>
      </c>
      <c r="U15" s="49">
        <v>852.29105520547046</v>
      </c>
      <c r="V15" s="100">
        <v>75.672320134272283</v>
      </c>
      <c r="W15" t="s">
        <v>237</v>
      </c>
    </row>
    <row r="16" spans="1:23" x14ac:dyDescent="0.25">
      <c r="A16" s="2" t="s">
        <v>232</v>
      </c>
      <c r="B16" s="2">
        <v>2104004000</v>
      </c>
      <c r="C16" s="2" t="s">
        <v>152</v>
      </c>
      <c r="D16" s="99">
        <v>0.10423988986328517</v>
      </c>
      <c r="E16" s="99">
        <v>1.6332488747146015</v>
      </c>
      <c r="F16" s="99">
        <v>4.225528238668768</v>
      </c>
      <c r="G16" s="99">
        <v>6.6754041200869266E-2</v>
      </c>
      <c r="H16" s="99">
        <v>6.6754041200869266E-2</v>
      </c>
      <c r="I16" s="99">
        <v>3.5813543104266377E-3</v>
      </c>
      <c r="J16" s="99">
        <v>6.5474588744519294E-2</v>
      </c>
      <c r="K16" s="49">
        <v>39242.929924042684</v>
      </c>
      <c r="L16" s="100">
        <v>292.39800803165548</v>
      </c>
      <c r="M16" s="49" t="s">
        <v>238</v>
      </c>
      <c r="N16" s="99">
        <v>9.62081145571137E-2</v>
      </c>
      <c r="O16" s="99">
        <v>1.5074056107014713</v>
      </c>
      <c r="P16" s="99">
        <v>3.8999475669376138</v>
      </c>
      <c r="Q16" s="99">
        <v>6.1610583543656873E-2</v>
      </c>
      <c r="R16" s="99">
        <v>6.1610583543656873E-2</v>
      </c>
      <c r="S16" s="99">
        <v>3.3054078071171919E-3</v>
      </c>
      <c r="T16" s="99">
        <v>6.0429714025736804E-2</v>
      </c>
      <c r="U16" s="49">
        <v>36219.227616613869</v>
      </c>
      <c r="V16" s="100">
        <v>269.86848403117455</v>
      </c>
      <c r="W16" t="s">
        <v>238</v>
      </c>
    </row>
    <row r="17" spans="1:23" x14ac:dyDescent="0.25">
      <c r="A17" s="2" t="s">
        <v>232</v>
      </c>
      <c r="B17" s="2">
        <v>2103004001</v>
      </c>
      <c r="C17" s="2" t="s">
        <v>162</v>
      </c>
      <c r="D17" s="99">
        <v>3.4272228523971653E-2</v>
      </c>
      <c r="E17" s="99">
        <v>0.86521755039479642</v>
      </c>
      <c r="F17" s="99">
        <v>0.61157421873239304</v>
      </c>
      <c r="G17" s="99">
        <v>2.1947545780558356E-2</v>
      </c>
      <c r="H17" s="99">
        <v>2.1947545780558356E-2</v>
      </c>
      <c r="I17" s="99">
        <v>1.1774858311269557E-3</v>
      </c>
      <c r="J17" s="99">
        <v>2.1526884486430989E-2</v>
      </c>
      <c r="K17" s="49">
        <v>13314.736747742141</v>
      </c>
      <c r="L17" s="100">
        <v>99.207742898943522</v>
      </c>
      <c r="M17" s="49" t="s">
        <v>238</v>
      </c>
      <c r="N17" s="99">
        <v>3.3722777097177102E-2</v>
      </c>
      <c r="O17" s="99">
        <v>0.85134640638034775</v>
      </c>
      <c r="P17" s="99">
        <v>0.60176947764769106</v>
      </c>
      <c r="Q17" s="99">
        <v>2.1595683329147249E-2</v>
      </c>
      <c r="R17" s="99">
        <v>2.1595683329147249E-2</v>
      </c>
      <c r="S17" s="99">
        <v>1.1586084106087497E-3</v>
      </c>
      <c r="T17" s="99">
        <v>2.118176606533859E-2</v>
      </c>
      <c r="U17" s="49">
        <v>13101.275253742017</v>
      </c>
      <c r="V17" s="100">
        <v>97.61724708841389</v>
      </c>
      <c r="W17" t="s">
        <v>238</v>
      </c>
    </row>
    <row r="18" spans="1:23" x14ac:dyDescent="0.25">
      <c r="A18" s="2" t="s">
        <v>232</v>
      </c>
      <c r="B18" s="2">
        <v>2104004000</v>
      </c>
      <c r="C18" s="2" t="s">
        <v>166</v>
      </c>
      <c r="D18" s="99">
        <v>6.9867775183202413E-4</v>
      </c>
      <c r="E18" s="99">
        <v>1.76384285174985E-2</v>
      </c>
      <c r="F18" s="99">
        <v>2.8322003927362793E-2</v>
      </c>
      <c r="G18" s="99">
        <v>3.9196507816663341E-4</v>
      </c>
      <c r="H18" s="99">
        <v>3.9196507816663341E-4</v>
      </c>
      <c r="I18" s="99">
        <v>2.4004367055688235E-5</v>
      </c>
      <c r="J18" s="99">
        <v>4.3884964312744724E-4</v>
      </c>
      <c r="K18" s="49">
        <v>268.48627941718979</v>
      </c>
      <c r="L18" s="100">
        <v>1.9598253908331666</v>
      </c>
      <c r="M18" s="49" t="s">
        <v>238</v>
      </c>
      <c r="N18" s="99">
        <v>6.5912842606409897E-4</v>
      </c>
      <c r="O18" s="99">
        <v>1.6639988315783706E-2</v>
      </c>
      <c r="P18" s="99">
        <v>2.6718809669657236E-2</v>
      </c>
      <c r="Q18" s="99">
        <v>3.6977751812852674E-4</v>
      </c>
      <c r="R18" s="99">
        <v>3.6977751812852674E-4</v>
      </c>
      <c r="S18" s="99">
        <v>2.2645576783565026E-5</v>
      </c>
      <c r="T18" s="99">
        <v>4.1400813722050384E-4</v>
      </c>
      <c r="U18" s="49">
        <v>253.2883554800876</v>
      </c>
      <c r="V18" s="100">
        <v>1.8488875906426334</v>
      </c>
      <c r="W18" t="s">
        <v>238</v>
      </c>
    </row>
    <row r="19" spans="1:23" x14ac:dyDescent="0.25">
      <c r="A19" s="2" t="s">
        <v>232</v>
      </c>
      <c r="B19" s="2">
        <v>2104004000</v>
      </c>
      <c r="C19" s="2" t="s">
        <v>170</v>
      </c>
      <c r="D19" s="99">
        <v>2.985586236266003E-3</v>
      </c>
      <c r="E19" s="99">
        <v>4.6778688725978068E-2</v>
      </c>
      <c r="F19" s="99">
        <v>0.12102544397225265</v>
      </c>
      <c r="G19" s="99">
        <v>1.9119355065113656E-3</v>
      </c>
      <c r="H19" s="99">
        <v>1.9119355065113656E-3</v>
      </c>
      <c r="I19" s="99">
        <v>1.0257533992433475E-4</v>
      </c>
      <c r="J19" s="99">
        <v>1.8752900759698987E-3</v>
      </c>
      <c r="K19" s="49">
        <v>1046.8394937819085</v>
      </c>
      <c r="L19" s="100">
        <v>8.3747159502552684</v>
      </c>
      <c r="M19" s="49" t="s">
        <v>238</v>
      </c>
      <c r="N19" s="99">
        <v>2.4667129130019083E-3</v>
      </c>
      <c r="O19" s="99">
        <v>3.864889050332096E-2</v>
      </c>
      <c r="P19" s="99">
        <v>9.999209596488319E-2</v>
      </c>
      <c r="Q19" s="99">
        <v>1.5796549252038545E-3</v>
      </c>
      <c r="R19" s="99">
        <v>1.5796549252038545E-3</v>
      </c>
      <c r="S19" s="99">
        <v>8.4748486737186793E-5</v>
      </c>
      <c r="T19" s="99">
        <v>1.5493782058041141E-3</v>
      </c>
      <c r="U19" s="49">
        <v>864.90635098243672</v>
      </c>
      <c r="V19" s="100">
        <v>6.9192508078594939</v>
      </c>
      <c r="W19" t="s">
        <v>238</v>
      </c>
    </row>
    <row r="20" spans="1:23" x14ac:dyDescent="0.25">
      <c r="A20" s="2" t="s">
        <v>232</v>
      </c>
      <c r="B20" s="2">
        <v>2104006010</v>
      </c>
      <c r="C20" s="2" t="s">
        <v>173</v>
      </c>
      <c r="D20" s="99">
        <v>6.6969683938961414E-4</v>
      </c>
      <c r="E20" s="99">
        <v>1.1445727800477043E-2</v>
      </c>
      <c r="F20" s="99">
        <v>7.3057837024321519E-5</v>
      </c>
      <c r="G20" s="99">
        <v>6.0311679724811522E-6</v>
      </c>
      <c r="H20" s="99">
        <v>6.0311679724811522E-6</v>
      </c>
      <c r="I20" s="99">
        <v>2.435261234144052E-3</v>
      </c>
      <c r="J20" s="99">
        <v>4.870522468288104E-3</v>
      </c>
      <c r="K20" s="49">
        <v>300.62303278688523</v>
      </c>
      <c r="L20" s="100">
        <v>296.180327868853</v>
      </c>
      <c r="M20" s="49" t="s">
        <v>239</v>
      </c>
      <c r="N20" s="99">
        <v>6.6969683938961414E-4</v>
      </c>
      <c r="O20" s="99">
        <v>1.1445727800477043E-2</v>
      </c>
      <c r="P20" s="99">
        <v>7.3057837024321519E-5</v>
      </c>
      <c r="Q20" s="99">
        <v>6.0311679724811522E-6</v>
      </c>
      <c r="R20" s="99">
        <v>6.0311679724811522E-6</v>
      </c>
      <c r="S20" s="99">
        <v>2.435261234144052E-3</v>
      </c>
      <c r="T20" s="99">
        <v>4.870522468288104E-3</v>
      </c>
      <c r="U20" s="49">
        <v>300.62303278688523</v>
      </c>
      <c r="V20" s="100">
        <v>296.180327868853</v>
      </c>
      <c r="W20" t="s">
        <v>239</v>
      </c>
    </row>
    <row r="21" spans="1:23" x14ac:dyDescent="0.25">
      <c r="A21" s="2" t="s">
        <v>232</v>
      </c>
      <c r="B21" s="2">
        <v>2103006000</v>
      </c>
      <c r="C21" s="2" t="s">
        <v>177</v>
      </c>
      <c r="D21" s="99">
        <v>5.2612909836065591E-3</v>
      </c>
      <c r="E21" s="99">
        <v>9.5659836065573781E-2</v>
      </c>
      <c r="F21" s="99">
        <v>5.7395901639344191E-4</v>
      </c>
      <c r="G21" s="99">
        <v>7.2701475409836045E-3</v>
      </c>
      <c r="H21" s="99">
        <v>7.2701475409836045E-3</v>
      </c>
      <c r="I21" s="99">
        <v>1.9131967213114748E-2</v>
      </c>
      <c r="J21" s="99">
        <v>3.8263934426229496E-2</v>
      </c>
      <c r="K21" s="49">
        <v>1941.8946721311463</v>
      </c>
      <c r="L21" s="100">
        <v>1913.196721311476</v>
      </c>
      <c r="M21" s="49" t="s">
        <v>239</v>
      </c>
      <c r="N21" s="99">
        <v>5.2612909836065591E-3</v>
      </c>
      <c r="O21" s="99">
        <v>9.5659836065573781E-2</v>
      </c>
      <c r="P21" s="99">
        <v>5.7395901639344191E-4</v>
      </c>
      <c r="Q21" s="99">
        <v>7.2701475409836045E-3</v>
      </c>
      <c r="R21" s="99">
        <v>7.2701475409836045E-3</v>
      </c>
      <c r="S21" s="99">
        <v>1.9131967213114748E-2</v>
      </c>
      <c r="T21" s="99">
        <v>3.8263934426229496E-2</v>
      </c>
      <c r="U21" s="49">
        <v>1941.8946721311463</v>
      </c>
      <c r="V21" s="100">
        <v>1913.196721311476</v>
      </c>
      <c r="W21" t="s">
        <v>239</v>
      </c>
    </row>
    <row r="22" spans="1:23" x14ac:dyDescent="0.25">
      <c r="A22" s="2" t="s">
        <v>232</v>
      </c>
      <c r="B22" s="2">
        <v>2104002000</v>
      </c>
      <c r="C22" s="2" t="s">
        <v>179</v>
      </c>
      <c r="D22" s="99">
        <v>0.1584286232873775</v>
      </c>
      <c r="E22" s="99">
        <v>7.4778310191642175E-2</v>
      </c>
      <c r="F22" s="99">
        <v>0.14733861965726106</v>
      </c>
      <c r="G22" s="99">
        <v>0.12658447000661457</v>
      </c>
      <c r="H22" s="99">
        <v>0.12658447000661457</v>
      </c>
      <c r="I22" s="99">
        <v>2.0056271565065554E-2</v>
      </c>
      <c r="J22" s="99">
        <v>2.0686817485749311</v>
      </c>
      <c r="K22" s="49">
        <v>481.6230147936277</v>
      </c>
      <c r="L22" s="100">
        <v>31.685724657475493</v>
      </c>
      <c r="M22" s="49" t="s">
        <v>237</v>
      </c>
      <c r="N22" s="99">
        <v>0.13870342635205007</v>
      </c>
      <c r="O22" s="99">
        <v>6.5468017238167628E-2</v>
      </c>
      <c r="P22" s="99">
        <v>0.12899418650740652</v>
      </c>
      <c r="Q22" s="99">
        <v>0.11082403765528798</v>
      </c>
      <c r="R22" s="99">
        <v>0.11082403765528798</v>
      </c>
      <c r="S22" s="99">
        <v>1.7559160259037782E-2</v>
      </c>
      <c r="T22" s="99">
        <v>1.8111199895918939</v>
      </c>
      <c r="U22" s="49">
        <v>421.65841611023222</v>
      </c>
      <c r="V22" s="100">
        <v>27.740685270410012</v>
      </c>
      <c r="W22" t="s">
        <v>237</v>
      </c>
    </row>
    <row r="23" spans="1:23" x14ac:dyDescent="0.25">
      <c r="A23" s="2" t="s">
        <v>232</v>
      </c>
      <c r="B23" s="2">
        <v>2103002000</v>
      </c>
      <c r="C23" s="2" t="s">
        <v>233</v>
      </c>
      <c r="D23" s="99">
        <v>4.0148138126104761E-4</v>
      </c>
      <c r="E23" s="99">
        <v>1.8949921195521454E-4</v>
      </c>
      <c r="F23" s="99">
        <v>3.7337768457277427E-4</v>
      </c>
      <c r="G23" s="99">
        <v>3.2078362362757709E-4</v>
      </c>
      <c r="H23" s="99">
        <v>3.2078362362757709E-4</v>
      </c>
      <c r="I23" s="99">
        <v>5.0825535460742351E-5</v>
      </c>
      <c r="J23" s="99">
        <v>5.24234313581613E-3</v>
      </c>
      <c r="K23" s="49">
        <v>18.456877950864644</v>
      </c>
      <c r="L23" s="100">
        <v>1.2205033990335847</v>
      </c>
      <c r="M23" s="49" t="s">
        <v>237</v>
      </c>
      <c r="N23" s="99">
        <v>3.7940475162931154E-4</v>
      </c>
      <c r="O23" s="99">
        <v>1.7907904276903502E-4</v>
      </c>
      <c r="P23" s="99">
        <v>3.5284641901525964E-4</v>
      </c>
      <c r="Q23" s="99">
        <v>3.0314439655181985E-4</v>
      </c>
      <c r="R23" s="99">
        <v>3.0314439655181985E-4</v>
      </c>
      <c r="S23" s="99">
        <v>4.8030744532512695E-5</v>
      </c>
      <c r="T23" s="99">
        <v>4.9540775443997348E-3</v>
      </c>
      <c r="U23" s="49">
        <v>17.43676104884138</v>
      </c>
      <c r="V23" s="100">
        <v>1.1533904449531067</v>
      </c>
      <c r="W23" t="s">
        <v>237</v>
      </c>
    </row>
    <row r="24" spans="1:23" x14ac:dyDescent="0.25">
      <c r="A24" s="2" t="s">
        <v>232</v>
      </c>
      <c r="B24" s="2">
        <v>2103008000</v>
      </c>
      <c r="C24" s="2" t="s">
        <v>234</v>
      </c>
      <c r="D24" s="99">
        <v>1.2267802496122725E-3</v>
      </c>
      <c r="E24" s="99">
        <v>4.8776475754854222E-5</v>
      </c>
      <c r="F24" s="99">
        <v>1.0633485245822149E-5</v>
      </c>
      <c r="G24" s="99">
        <v>3.4500168382878608E-4</v>
      </c>
      <c r="H24" s="99">
        <v>3.4500168382878608E-4</v>
      </c>
      <c r="I24" s="99">
        <v>1.2632663031087653E-5</v>
      </c>
      <c r="J24" s="99">
        <v>2.4538740814386119E-3</v>
      </c>
      <c r="K24" s="49">
        <v>11.138643290370357</v>
      </c>
      <c r="L24" s="100">
        <v>0.91979647376361562</v>
      </c>
      <c r="M24" s="49" t="s">
        <v>237</v>
      </c>
      <c r="N24" s="99">
        <v>1.0057156829621557E-3</v>
      </c>
      <c r="O24" s="99">
        <v>4.0923651207836456E-5</v>
      </c>
      <c r="P24" s="99">
        <v>8.6857798127814725E-6</v>
      </c>
      <c r="Q24" s="99">
        <v>2.9694131175428141E-4</v>
      </c>
      <c r="R24" s="99">
        <v>2.9694131175428141E-4</v>
      </c>
      <c r="S24" s="99">
        <v>1.1445738305269716E-5</v>
      </c>
      <c r="T24" s="99">
        <v>2.1589395409395405E-3</v>
      </c>
      <c r="U24" s="49">
        <v>9.0984094863238223</v>
      </c>
      <c r="V24" s="100">
        <v>0.75131995380559735</v>
      </c>
      <c r="W24" t="s">
        <v>237</v>
      </c>
    </row>
    <row r="25" spans="1:23" x14ac:dyDescent="0.25">
      <c r="A25" s="15" t="s">
        <v>232</v>
      </c>
      <c r="B25" s="15">
        <v>2102012000</v>
      </c>
      <c r="C25" s="15" t="s">
        <v>184</v>
      </c>
      <c r="D25" s="101">
        <v>5.2382327984415965E-4</v>
      </c>
      <c r="E25" s="101">
        <v>2.7346164289603587E-2</v>
      </c>
      <c r="F25" s="101">
        <v>1.9363248899601768E-2</v>
      </c>
      <c r="G25" s="101">
        <v>2.7260720241086738E-3</v>
      </c>
      <c r="H25" s="101">
        <v>2.7260720241086738E-3</v>
      </c>
      <c r="I25" s="101">
        <v>1.9058091583470187E-5</v>
      </c>
      <c r="J25" s="101">
        <v>6.5100227441401174E-3</v>
      </c>
      <c r="K25" s="94">
        <v>145.09904851683226</v>
      </c>
      <c r="L25" s="102">
        <v>1.0476465596883191</v>
      </c>
      <c r="M25" s="94" t="s">
        <v>238</v>
      </c>
      <c r="N25" s="101">
        <v>5.2382327984415965E-4</v>
      </c>
      <c r="O25" s="101">
        <v>2.7346164289603587E-2</v>
      </c>
      <c r="P25" s="101">
        <v>1.9363248899601768E-2</v>
      </c>
      <c r="Q25" s="101">
        <v>2.7260720241086738E-3</v>
      </c>
      <c r="R25" s="101">
        <v>2.7260720241086738E-3</v>
      </c>
      <c r="S25" s="101">
        <v>1.9058091583470187E-5</v>
      </c>
      <c r="T25" s="101">
        <v>6.5100227441401174E-3</v>
      </c>
      <c r="U25" s="94">
        <v>145.09904851683226</v>
      </c>
      <c r="V25" s="102">
        <v>1.0476465596883191</v>
      </c>
      <c r="W25" s="5" t="s">
        <v>238</v>
      </c>
    </row>
    <row r="26" spans="1:23" x14ac:dyDescent="0.25">
      <c r="A26" s="17" t="s">
        <v>232</v>
      </c>
      <c r="B26" s="17" t="s">
        <v>219</v>
      </c>
      <c r="C26" s="17"/>
      <c r="D26" s="103">
        <v>12.731872234730261</v>
      </c>
      <c r="E26" s="103">
        <v>3.3607488541311912</v>
      </c>
      <c r="F26" s="103">
        <v>5.2744467705124052</v>
      </c>
      <c r="G26" s="103">
        <v>3.6266416882033212</v>
      </c>
      <c r="H26" s="103">
        <v>3.6266416882033212</v>
      </c>
      <c r="I26" s="103">
        <v>0.17491287866748198</v>
      </c>
      <c r="J26" s="103">
        <v>38.565418345189762</v>
      </c>
      <c r="K26" s="93">
        <v>66593.729379606739</v>
      </c>
      <c r="L26" s="93"/>
      <c r="M26" s="93"/>
      <c r="N26" s="103">
        <v>11.455446949258604</v>
      </c>
      <c r="O26" s="103">
        <v>3.131264083384687</v>
      </c>
      <c r="P26" s="103">
        <v>4.8833902807912191</v>
      </c>
      <c r="Q26" s="103">
        <v>3.2211994800590729</v>
      </c>
      <c r="R26" s="103">
        <v>3.2211994800590729</v>
      </c>
      <c r="S26" s="103">
        <v>0.15812834431184009</v>
      </c>
      <c r="T26" s="103">
        <v>33.973404257919405</v>
      </c>
      <c r="U26" s="93">
        <v>61897.190794795344</v>
      </c>
    </row>
    <row r="27" spans="1:23" x14ac:dyDescent="0.25">
      <c r="A27" s="2"/>
      <c r="B27" s="2"/>
      <c r="C27" s="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3" x14ac:dyDescent="0.25">
      <c r="A28" s="2" t="s">
        <v>235</v>
      </c>
      <c r="B28" s="2">
        <v>2104008100</v>
      </c>
      <c r="C28" s="2" t="s">
        <v>108</v>
      </c>
      <c r="D28" s="99">
        <v>3.8453748864151986</v>
      </c>
      <c r="E28" s="99">
        <v>4.365927818637344E-2</v>
      </c>
      <c r="F28" s="99">
        <v>6.7168120286728366E-3</v>
      </c>
      <c r="G28" s="99">
        <v>0.58100424048020038</v>
      </c>
      <c r="H28" s="99">
        <v>0.58100424048020038</v>
      </c>
      <c r="I28" s="99">
        <v>3.0225654129027758E-2</v>
      </c>
      <c r="J28" s="99">
        <v>4.2416667961068955</v>
      </c>
      <c r="K28" s="49">
        <v>537.27001889043129</v>
      </c>
      <c r="L28" s="100">
        <v>47.977625075524564</v>
      </c>
      <c r="M28" s="49" t="s">
        <v>237</v>
      </c>
      <c r="N28" s="99">
        <v>3.5562120636690513</v>
      </c>
      <c r="O28" s="99">
        <v>4.0376206836417169E-2</v>
      </c>
      <c r="P28" s="99">
        <v>6.2117241286795645E-3</v>
      </c>
      <c r="Q28" s="99">
        <v>0.53731413713078235</v>
      </c>
      <c r="R28" s="99">
        <v>0.53731413713078235</v>
      </c>
      <c r="S28" s="99">
        <v>2.7952758579058042E-2</v>
      </c>
      <c r="T28" s="99">
        <v>3.9227037872611445</v>
      </c>
      <c r="U28" s="49">
        <v>496.86862245231595</v>
      </c>
      <c r="V28" s="100">
        <v>44.36982456054583</v>
      </c>
      <c r="W28" t="s">
        <v>237</v>
      </c>
    </row>
    <row r="29" spans="1:23" x14ac:dyDescent="0.25">
      <c r="A29" s="2" t="s">
        <v>235</v>
      </c>
      <c r="B29" s="2">
        <v>2104008210</v>
      </c>
      <c r="C29" s="2" t="s">
        <v>112</v>
      </c>
      <c r="D29" s="99">
        <v>9.0674146090316807E-2</v>
      </c>
      <c r="E29" s="99">
        <v>4.7903322462808859E-3</v>
      </c>
      <c r="F29" s="99">
        <v>6.8433317804012688E-4</v>
      </c>
      <c r="G29" s="99">
        <v>5.2351488120069706E-2</v>
      </c>
      <c r="H29" s="99">
        <v>5.2351488120069706E-2</v>
      </c>
      <c r="I29" s="99">
        <v>2.90841600667054E-3</v>
      </c>
      <c r="J29" s="99">
        <v>0.39486024372915318</v>
      </c>
      <c r="K29" s="49">
        <v>54.73901873737794</v>
      </c>
      <c r="L29" s="100">
        <v>4.8881345052674856</v>
      </c>
      <c r="M29" s="49" t="s">
        <v>237</v>
      </c>
      <c r="N29" s="99">
        <v>7.9120371952695917E-2</v>
      </c>
      <c r="O29" s="99">
        <v>4.1799441786329909E-3</v>
      </c>
      <c r="P29" s="99">
        <v>5.9713488266185618E-4</v>
      </c>
      <c r="Q29" s="99">
        <v>4.5680818523631983E-2</v>
      </c>
      <c r="R29" s="99">
        <v>4.5680818523631983E-2</v>
      </c>
      <c r="S29" s="99">
        <v>2.5378232513128883E-3</v>
      </c>
      <c r="T29" s="99">
        <v>0.34454682729589098</v>
      </c>
      <c r="U29" s="49">
        <v>47.764128029538085</v>
      </c>
      <c r="V29" s="100">
        <v>4.2652843934845981</v>
      </c>
      <c r="W29" t="s">
        <v>237</v>
      </c>
    </row>
    <row r="30" spans="1:23" x14ac:dyDescent="0.25">
      <c r="A30" s="2" t="s">
        <v>235</v>
      </c>
      <c r="B30" s="2">
        <v>2104008220</v>
      </c>
      <c r="C30" s="2" t="s">
        <v>115</v>
      </c>
      <c r="D30" s="99">
        <v>4.3224186979111269E-2</v>
      </c>
      <c r="E30" s="99">
        <v>7.2040311631852098E-3</v>
      </c>
      <c r="F30" s="99">
        <v>1.4408062326370422E-3</v>
      </c>
      <c r="G30" s="99">
        <v>4.3224186979111269E-2</v>
      </c>
      <c r="H30" s="99">
        <v>4.3224186979111269E-2</v>
      </c>
      <c r="I30" s="99">
        <v>3.2418140234333455E-3</v>
      </c>
      <c r="J30" s="99">
        <v>0.50716379388823885</v>
      </c>
      <c r="K30" s="49">
        <v>115.2484226924701</v>
      </c>
      <c r="L30" s="100">
        <v>10.291558099415449</v>
      </c>
      <c r="M30" s="49" t="s">
        <v>237</v>
      </c>
      <c r="N30" s="99">
        <v>3.7716525587500126E-2</v>
      </c>
      <c r="O30" s="99">
        <v>6.2860875979166876E-3</v>
      </c>
      <c r="P30" s="99">
        <v>1.2572175195833379E-3</v>
      </c>
      <c r="Q30" s="99">
        <v>3.7716525587500126E-2</v>
      </c>
      <c r="R30" s="99">
        <v>3.7716525587500126E-2</v>
      </c>
      <c r="S30" s="99">
        <v>2.8287394190625098E-3</v>
      </c>
      <c r="T30" s="99">
        <v>0.44254056689333487</v>
      </c>
      <c r="U30" s="49">
        <v>100.56337405490639</v>
      </c>
      <c r="V30" s="100">
        <v>8.9801993170960497</v>
      </c>
      <c r="W30" t="s">
        <v>237</v>
      </c>
    </row>
    <row r="31" spans="1:23" x14ac:dyDescent="0.25">
      <c r="A31" s="2" t="s">
        <v>235</v>
      </c>
      <c r="B31" s="2">
        <v>2104008230</v>
      </c>
      <c r="C31" s="2" t="s">
        <v>118</v>
      </c>
      <c r="D31" s="99">
        <v>3.2530156687764204E-2</v>
      </c>
      <c r="E31" s="99">
        <v>4.3373542250352256E-3</v>
      </c>
      <c r="F31" s="99">
        <v>8.6747084500704531E-4</v>
      </c>
      <c r="G31" s="99">
        <v>2.8192802462728976E-2</v>
      </c>
      <c r="H31" s="99">
        <v>2.8192802462728976E-2</v>
      </c>
      <c r="I31" s="99">
        <v>1.9518094012658518E-3</v>
      </c>
      <c r="J31" s="99">
        <v>0.23204845103938465</v>
      </c>
      <c r="K31" s="49">
        <v>69.387988720583976</v>
      </c>
      <c r="L31" s="100">
        <v>6.1962715032119133</v>
      </c>
      <c r="M31" s="49" t="s">
        <v>237</v>
      </c>
      <c r="N31" s="99">
        <v>2.8385137415595046E-2</v>
      </c>
      <c r="O31" s="99">
        <v>3.7846849887460052E-3</v>
      </c>
      <c r="P31" s="99">
        <v>7.5693699774920101E-4</v>
      </c>
      <c r="Q31" s="99">
        <v>2.4600452426849037E-2</v>
      </c>
      <c r="R31" s="99">
        <v>2.4600452426849037E-2</v>
      </c>
      <c r="S31" s="99">
        <v>1.7031082449357024E-3</v>
      </c>
      <c r="T31" s="99">
        <v>0.20248064689791131</v>
      </c>
      <c r="U31" s="49">
        <v>60.546514230789747</v>
      </c>
      <c r="V31" s="100">
        <v>5.4067375011802987</v>
      </c>
      <c r="W31" t="s">
        <v>237</v>
      </c>
    </row>
    <row r="32" spans="1:23" x14ac:dyDescent="0.25">
      <c r="A32" s="2" t="s">
        <v>235</v>
      </c>
      <c r="B32" s="2">
        <v>2104008310</v>
      </c>
      <c r="C32" s="2" t="s">
        <v>121</v>
      </c>
      <c r="D32" s="99">
        <v>1.8401611301377299</v>
      </c>
      <c r="E32" s="99">
        <v>5.0418423192054633E-2</v>
      </c>
      <c r="F32" s="99">
        <v>1.3888008529341359E-2</v>
      </c>
      <c r="G32" s="99">
        <v>0.42157151916893248</v>
      </c>
      <c r="H32" s="99">
        <v>0.42157151916893248</v>
      </c>
      <c r="I32" s="99">
        <v>1.3784839556510003E-2</v>
      </c>
      <c r="J32" s="99">
        <v>4.2070472635423091</v>
      </c>
      <c r="K32" s="49">
        <v>1110.8857257069958</v>
      </c>
      <c r="L32" s="100">
        <v>99.200880331629989</v>
      </c>
      <c r="M32" s="49" t="s">
        <v>237</v>
      </c>
      <c r="N32" s="99">
        <v>1.6056862881771179</v>
      </c>
      <c r="O32" s="99">
        <v>4.3994066315776389E-2</v>
      </c>
      <c r="P32" s="99">
        <v>1.2118387080582013E-2</v>
      </c>
      <c r="Q32" s="99">
        <v>0.36785453008937713</v>
      </c>
      <c r="R32" s="99">
        <v>0.36785453008937713</v>
      </c>
      <c r="S32" s="99">
        <v>1.2028363982969784E-2</v>
      </c>
      <c r="T32" s="99">
        <v>3.6709818472675511</v>
      </c>
      <c r="U32" s="49">
        <v>969.33575450857541</v>
      </c>
      <c r="V32" s="100">
        <v>86.560622716596214</v>
      </c>
      <c r="W32" t="s">
        <v>237</v>
      </c>
    </row>
    <row r="33" spans="1:31" x14ac:dyDescent="0.25">
      <c r="A33" s="2" t="s">
        <v>235</v>
      </c>
      <c r="B33" s="2">
        <v>2104008320</v>
      </c>
      <c r="C33" s="2" t="s">
        <v>125</v>
      </c>
      <c r="D33" s="99">
        <v>0.87720118898654897</v>
      </c>
      <c r="E33" s="99">
        <v>0.11760633681635566</v>
      </c>
      <c r="F33" s="99">
        <v>2.9240039632884959E-2</v>
      </c>
      <c r="G33" s="99">
        <v>0.57932744180807116</v>
      </c>
      <c r="H33" s="99">
        <v>0.57932744180807116</v>
      </c>
      <c r="I33" s="99">
        <v>1.825614567404963E-2</v>
      </c>
      <c r="J33" s="99">
        <v>9.038165585392278</v>
      </c>
      <c r="K33" s="49">
        <v>2338.876922393365</v>
      </c>
      <c r="L33" s="100">
        <v>208.85915114364508</v>
      </c>
      <c r="M33" s="49" t="s">
        <v>237</v>
      </c>
      <c r="N33" s="99">
        <v>0.76542749331029702</v>
      </c>
      <c r="O33" s="99">
        <v>0.10262084082529661</v>
      </c>
      <c r="P33" s="99">
        <v>2.5514249777009897E-2</v>
      </c>
      <c r="Q33" s="99">
        <v>0.50550906354940939</v>
      </c>
      <c r="R33" s="99">
        <v>0.50550906354940939</v>
      </c>
      <c r="S33" s="99">
        <v>1.5929932604103789E-2</v>
      </c>
      <c r="T33" s="99">
        <v>7.8865151062355467</v>
      </c>
      <c r="U33" s="49">
        <v>2040.8553047416217</v>
      </c>
      <c r="V33" s="100">
        <v>182.24614663312781</v>
      </c>
      <c r="W33" t="s">
        <v>237</v>
      </c>
    </row>
    <row r="34" spans="1:31" x14ac:dyDescent="0.25">
      <c r="A34" s="2" t="s">
        <v>235</v>
      </c>
      <c r="B34" s="2">
        <v>2104008330</v>
      </c>
      <c r="C34" s="2" t="s">
        <v>128</v>
      </c>
      <c r="D34" s="99">
        <v>0.66017417836489767</v>
      </c>
      <c r="E34" s="99">
        <v>7.080762566493376E-2</v>
      </c>
      <c r="F34" s="99">
        <v>1.7604644756397267E-2</v>
      </c>
      <c r="G34" s="99">
        <v>0.38702192480355224</v>
      </c>
      <c r="H34" s="99">
        <v>0.38702192480355224</v>
      </c>
      <c r="I34" s="99">
        <v>1.0991536374363403E-2</v>
      </c>
      <c r="J34" s="99">
        <v>5.4416374388692104</v>
      </c>
      <c r="K34" s="49">
        <v>1408.1751551856023</v>
      </c>
      <c r="L34" s="100">
        <v>125.74850123907906</v>
      </c>
      <c r="M34" s="49" t="s">
        <v>237</v>
      </c>
      <c r="N34" s="99">
        <v>0.5760542425596018</v>
      </c>
      <c r="O34" s="99">
        <v>6.1785259870179222E-2</v>
      </c>
      <c r="P34" s="99">
        <v>1.5361446468256044E-2</v>
      </c>
      <c r="Q34" s="99">
        <v>0.33770727340299095</v>
      </c>
      <c r="R34" s="99">
        <v>0.33770727340299095</v>
      </c>
      <c r="S34" s="99">
        <v>9.590985785573233E-3</v>
      </c>
      <c r="T34" s="99">
        <v>4.7482595288650415</v>
      </c>
      <c r="U34" s="49">
        <v>1228.7443208106301</v>
      </c>
      <c r="V34" s="100">
        <v>109.72552397262083</v>
      </c>
      <c r="W34" t="s">
        <v>237</v>
      </c>
    </row>
    <row r="35" spans="1:31" x14ac:dyDescent="0.25">
      <c r="A35" s="2" t="s">
        <v>235</v>
      </c>
      <c r="B35" s="2">
        <v>2104008410</v>
      </c>
      <c r="C35" s="2" t="s">
        <v>131</v>
      </c>
      <c r="D35" s="99">
        <v>1.1061835618336562E-2</v>
      </c>
      <c r="E35" s="99">
        <v>1.9317410878243887E-2</v>
      </c>
      <c r="F35" s="99">
        <v>1.5438490212382728E-3</v>
      </c>
      <c r="G35" s="99">
        <v>1.4280603446454026E-2</v>
      </c>
      <c r="H35" s="99">
        <v>1.4280603446454026E-2</v>
      </c>
      <c r="I35" s="99">
        <v>3.4678708639564702E-4</v>
      </c>
      <c r="J35" s="99">
        <v>4.7917213996682882E-2</v>
      </c>
      <c r="K35" s="49">
        <v>147.47057101534011</v>
      </c>
      <c r="L35" s="100">
        <v>13.168960703333815</v>
      </c>
      <c r="M35" s="49" t="s">
        <v>237</v>
      </c>
      <c r="N35" s="99">
        <v>9.6523274421641825E-3</v>
      </c>
      <c r="O35" s="99">
        <v>1.6855970524688849E-2</v>
      </c>
      <c r="P35" s="99">
        <v>1.3471305114636446E-3</v>
      </c>
      <c r="Q35" s="99">
        <v>1.2460957231038711E-2</v>
      </c>
      <c r="R35" s="99">
        <v>1.2460957231038711E-2</v>
      </c>
      <c r="S35" s="99">
        <v>3.025991911375212E-4</v>
      </c>
      <c r="T35" s="99">
        <v>4.1811563249552854E-2</v>
      </c>
      <c r="U35" s="49">
        <v>128.67974978433463</v>
      </c>
      <c r="V35" s="100">
        <v>11.490960918897221</v>
      </c>
      <c r="W35" t="s">
        <v>237</v>
      </c>
    </row>
    <row r="36" spans="1:31" x14ac:dyDescent="0.25">
      <c r="A36" s="2" t="s">
        <v>235</v>
      </c>
      <c r="B36" s="2">
        <v>2104008420</v>
      </c>
      <c r="C36" s="2" t="s">
        <v>135</v>
      </c>
      <c r="D36" s="99">
        <v>3.7311915326975392E-2</v>
      </c>
      <c r="E36" s="99">
        <v>6.5158227250335515E-2</v>
      </c>
      <c r="F36" s="99">
        <v>5.207450729297544E-3</v>
      </c>
      <c r="G36" s="99">
        <v>4.8168919246002292E-2</v>
      </c>
      <c r="H36" s="99">
        <v>4.8168919246002292E-2</v>
      </c>
      <c r="I36" s="99">
        <v>1.1697236200684609E-3</v>
      </c>
      <c r="J36" s="99">
        <v>0.16162625201057249</v>
      </c>
      <c r="K36" s="49">
        <v>497.42281921312036</v>
      </c>
      <c r="L36" s="100">
        <v>44.419313725161508</v>
      </c>
      <c r="M36" s="49" t="s">
        <v>237</v>
      </c>
      <c r="N36" s="99">
        <v>3.255760044321003E-2</v>
      </c>
      <c r="O36" s="99">
        <v>5.685571243968271E-2</v>
      </c>
      <c r="P36" s="99">
        <v>4.5439130820925265E-3</v>
      </c>
      <c r="Q36" s="99">
        <v>4.2031196009355856E-2</v>
      </c>
      <c r="R36" s="99">
        <v>4.2031196009355856E-2</v>
      </c>
      <c r="S36" s="99">
        <v>1.0206764760650334E-3</v>
      </c>
      <c r="T36" s="99">
        <v>0.14103170228544676</v>
      </c>
      <c r="U36" s="49">
        <v>434.04079520858716</v>
      </c>
      <c r="V36" s="100">
        <v>38.759368302378583</v>
      </c>
      <c r="W36" t="s">
        <v>237</v>
      </c>
    </row>
    <row r="37" spans="1:31" x14ac:dyDescent="0.25">
      <c r="A37" s="2" t="s">
        <v>235</v>
      </c>
      <c r="B37" s="2">
        <v>2104008610</v>
      </c>
      <c r="C37" s="2" t="s">
        <v>138</v>
      </c>
      <c r="D37" s="99">
        <v>1.2163913784315235</v>
      </c>
      <c r="E37" s="99">
        <v>4.3209584512230531E-2</v>
      </c>
      <c r="F37" s="99">
        <v>1.0717104655784349E-2</v>
      </c>
      <c r="G37" s="99">
        <v>0.26444863200607316</v>
      </c>
      <c r="H37" s="99">
        <v>0.26444863200607316</v>
      </c>
      <c r="I37" s="99">
        <v>6.5309652524152221E-3</v>
      </c>
      <c r="J37" s="99">
        <v>1.622855429529527</v>
      </c>
      <c r="K37" s="49">
        <v>857.24879545299598</v>
      </c>
      <c r="L37" s="100">
        <v>76.551379862267225</v>
      </c>
      <c r="M37" s="49" t="s">
        <v>237</v>
      </c>
      <c r="N37" s="99">
        <v>1.1123111664418219</v>
      </c>
      <c r="O37" s="99">
        <v>3.9512367649497698E-2</v>
      </c>
      <c r="P37" s="99">
        <v>9.8000983827473288E-3</v>
      </c>
      <c r="Q37" s="99">
        <v>0.24182115357469078</v>
      </c>
      <c r="R37" s="99">
        <v>0.24182115357469078</v>
      </c>
      <c r="S37" s="99">
        <v>5.9721449088796993E-3</v>
      </c>
      <c r="T37" s="99">
        <v>1.4839962267029916</v>
      </c>
      <c r="U37" s="49">
        <v>783.8985251857797</v>
      </c>
      <c r="V37" s="100">
        <v>70.00128095048224</v>
      </c>
      <c r="W37" t="s">
        <v>237</v>
      </c>
    </row>
    <row r="38" spans="1:31" x14ac:dyDescent="0.25">
      <c r="A38" s="2" t="s">
        <v>235</v>
      </c>
      <c r="B38" s="2">
        <v>2104004000</v>
      </c>
      <c r="C38" s="2" t="s">
        <v>152</v>
      </c>
      <c r="D38" s="99">
        <v>7.8933422427485161E-2</v>
      </c>
      <c r="E38" s="99">
        <v>1.2367427049869637</v>
      </c>
      <c r="F38" s="99">
        <v>3.1996906930691744</v>
      </c>
      <c r="G38" s="99">
        <v>5.054806696132004E-2</v>
      </c>
      <c r="H38" s="99">
        <v>5.054806696132004E-2</v>
      </c>
      <c r="I38" s="99">
        <v>2.7119037924748205E-3</v>
      </c>
      <c r="J38" s="99">
        <v>4.957922901122809E-2</v>
      </c>
      <c r="K38" s="49">
        <v>29715.867592044284</v>
      </c>
      <c r="L38" s="100">
        <v>221.41212462127677</v>
      </c>
      <c r="M38" s="49" t="s">
        <v>238</v>
      </c>
      <c r="N38" s="99">
        <v>7.2991085278931278E-2</v>
      </c>
      <c r="O38" s="99">
        <v>1.1436371244478882</v>
      </c>
      <c r="P38" s="99">
        <v>2.9588086904324</v>
      </c>
      <c r="Q38" s="99">
        <v>4.6742661762175279E-2</v>
      </c>
      <c r="R38" s="99">
        <v>4.6742661762175279E-2</v>
      </c>
      <c r="S38" s="99">
        <v>2.5077438035407042E-3</v>
      </c>
      <c r="T38" s="99">
        <v>4.5846760745066939E-2</v>
      </c>
      <c r="U38" s="49">
        <v>27478.770827920864</v>
      </c>
      <c r="V38" s="100">
        <v>204.7435772200036</v>
      </c>
      <c r="W38" t="s">
        <v>238</v>
      </c>
    </row>
    <row r="39" spans="1:31" x14ac:dyDescent="0.25">
      <c r="A39" s="2" t="s">
        <v>235</v>
      </c>
      <c r="B39" s="2">
        <v>2103004001</v>
      </c>
      <c r="C39" s="2" t="s">
        <v>162</v>
      </c>
      <c r="D39" s="99">
        <v>2.4356387125182094E-2</v>
      </c>
      <c r="E39" s="99">
        <v>0.61488775351090863</v>
      </c>
      <c r="F39" s="99">
        <v>0.43462999252611062</v>
      </c>
      <c r="G39" s="99">
        <v>1.5597553602475457E-2</v>
      </c>
      <c r="H39" s="99">
        <v>1.5597553602475457E-2</v>
      </c>
      <c r="I39" s="99">
        <v>8.3680875077280837E-4</v>
      </c>
      <c r="J39" s="99">
        <v>1.5298600491761349E-2</v>
      </c>
      <c r="K39" s="49">
        <v>9462.4393179178751</v>
      </c>
      <c r="L39" s="100">
        <v>70.504379082676166</v>
      </c>
      <c r="M39" s="49" t="s">
        <v>238</v>
      </c>
      <c r="N39" s="99">
        <v>2.3965906195465746E-2</v>
      </c>
      <c r="O39" s="99">
        <v>0.60502988992760653</v>
      </c>
      <c r="P39" s="99">
        <v>0.42766201641816243</v>
      </c>
      <c r="Q39" s="99">
        <v>1.5347494051332166E-2</v>
      </c>
      <c r="R39" s="99">
        <v>1.5347494051332166E-2</v>
      </c>
      <c r="S39" s="99">
        <v>8.2339305585397103E-4</v>
      </c>
      <c r="T39" s="99">
        <v>1.505333374868164E-2</v>
      </c>
      <c r="U39" s="49">
        <v>9310.7377505526147</v>
      </c>
      <c r="V39" s="100">
        <v>69.374054812833492</v>
      </c>
      <c r="W39" t="s">
        <v>238</v>
      </c>
    </row>
    <row r="40" spans="1:31" x14ac:dyDescent="0.25">
      <c r="A40" s="2" t="s">
        <v>235</v>
      </c>
      <c r="B40" s="2">
        <v>2104004000</v>
      </c>
      <c r="C40" s="2" t="s">
        <v>166</v>
      </c>
      <c r="D40" s="99">
        <v>5.25236459949667E-4</v>
      </c>
      <c r="E40" s="99">
        <v>1.3259826478392724E-2</v>
      </c>
      <c r="F40" s="99">
        <v>2.1291287782504102E-2</v>
      </c>
      <c r="G40" s="99">
        <v>2.9466281063094925E-4</v>
      </c>
      <c r="H40" s="99">
        <v>2.9466281063094925E-4</v>
      </c>
      <c r="I40" s="99">
        <v>1.804547052285889E-5</v>
      </c>
      <c r="J40" s="99">
        <v>3.2990864873260178E-4</v>
      </c>
      <c r="K40" s="49">
        <v>201.83665871193443</v>
      </c>
      <c r="L40" s="100">
        <v>1.473314053154746</v>
      </c>
      <c r="M40" s="49" t="s">
        <v>238</v>
      </c>
      <c r="N40" s="99">
        <v>4.9662360659376455E-4</v>
      </c>
      <c r="O40" s="99">
        <v>1.2537482354400786E-2</v>
      </c>
      <c r="P40" s="99">
        <v>2.013142067210303E-2</v>
      </c>
      <c r="Q40" s="99">
        <v>2.7861071898668414E-4</v>
      </c>
      <c r="R40" s="99">
        <v>2.7861071898668414E-4</v>
      </c>
      <c r="S40" s="99">
        <v>1.7062422998210074E-5</v>
      </c>
      <c r="T40" s="99">
        <v>3.1193649998280908E-4</v>
      </c>
      <c r="U40" s="49">
        <v>190.84137723790394</v>
      </c>
      <c r="V40" s="100">
        <v>1.3930535949334206</v>
      </c>
      <c r="W40" t="s">
        <v>238</v>
      </c>
    </row>
    <row r="41" spans="1:31" x14ac:dyDescent="0.25">
      <c r="A41" s="2" t="s">
        <v>235</v>
      </c>
      <c r="B41" s="2">
        <v>2104004000</v>
      </c>
      <c r="C41" s="2" t="s">
        <v>170</v>
      </c>
      <c r="D41" s="99">
        <v>1.6760030375750524E-3</v>
      </c>
      <c r="E41" s="99">
        <v>2.6259909509956575E-2</v>
      </c>
      <c r="F41" s="99">
        <v>6.7939424846441665E-2</v>
      </c>
      <c r="G41" s="99">
        <v>1.0732933042216593E-3</v>
      </c>
      <c r="H41" s="99">
        <v>1.0732933042216593E-3</v>
      </c>
      <c r="I41" s="99">
        <v>5.7582185771492013E-5</v>
      </c>
      <c r="J41" s="99">
        <v>1.0527218492240771E-3</v>
      </c>
      <c r="K41" s="49">
        <v>587.65884907961163</v>
      </c>
      <c r="L41" s="100">
        <v>4.701270792636894</v>
      </c>
      <c r="M41" s="49" t="s">
        <v>238</v>
      </c>
      <c r="N41" s="99">
        <v>1.3990221989742977E-3</v>
      </c>
      <c r="O41" s="99">
        <v>2.1920125157195838E-2</v>
      </c>
      <c r="P41" s="99">
        <v>5.6711569976174062E-2</v>
      </c>
      <c r="Q41" s="99">
        <v>8.9591792195623345E-4</v>
      </c>
      <c r="R41" s="99">
        <v>8.9591792195623345E-4</v>
      </c>
      <c r="S41" s="99">
        <v>4.8065996512951917E-5</v>
      </c>
      <c r="T41" s="99">
        <v>8.787461617854053E-4</v>
      </c>
      <c r="U41" s="49">
        <v>490.54074297836536</v>
      </c>
      <c r="V41" s="100">
        <v>3.9243259438269229</v>
      </c>
      <c r="W41" t="s">
        <v>238</v>
      </c>
    </row>
    <row r="42" spans="1:31" x14ac:dyDescent="0.25">
      <c r="A42" s="2" t="s">
        <v>235</v>
      </c>
      <c r="B42" s="2">
        <v>2104006010</v>
      </c>
      <c r="C42" s="2" t="s">
        <v>173</v>
      </c>
      <c r="D42" s="99">
        <v>6.264033437799897E-4</v>
      </c>
      <c r="E42" s="99">
        <v>1.0705802602785282E-2</v>
      </c>
      <c r="F42" s="99">
        <v>6.8334910230544353E-5</v>
      </c>
      <c r="G42" s="99">
        <v>5.6412746225655293E-6</v>
      </c>
      <c r="H42" s="99">
        <v>5.6412746225655293E-6</v>
      </c>
      <c r="I42" s="99">
        <v>2.2778303410181432E-3</v>
      </c>
      <c r="J42" s="99">
        <v>4.5556606820362864E-3</v>
      </c>
      <c r="K42" s="49">
        <v>281.18883333333349</v>
      </c>
      <c r="L42" s="100">
        <v>277.03333333333376</v>
      </c>
      <c r="M42" s="49" t="s">
        <v>239</v>
      </c>
      <c r="N42" s="99">
        <v>6.264033437799897E-4</v>
      </c>
      <c r="O42" s="99">
        <v>1.0705802602785282E-2</v>
      </c>
      <c r="P42" s="99">
        <v>6.8334910230544353E-5</v>
      </c>
      <c r="Q42" s="99">
        <v>5.6412746225655293E-6</v>
      </c>
      <c r="R42" s="99">
        <v>5.6412746225655293E-6</v>
      </c>
      <c r="S42" s="99">
        <v>2.2778303410181432E-3</v>
      </c>
      <c r="T42" s="99">
        <v>4.5556606820362864E-3</v>
      </c>
      <c r="U42" s="49">
        <v>281.18883333333349</v>
      </c>
      <c r="V42" s="100">
        <v>277.03333333333376</v>
      </c>
      <c r="W42" t="s">
        <v>239</v>
      </c>
    </row>
    <row r="43" spans="1:31" x14ac:dyDescent="0.25">
      <c r="A43" s="2" t="s">
        <v>235</v>
      </c>
      <c r="B43" s="2">
        <v>2103006000</v>
      </c>
      <c r="C43" s="2" t="s">
        <v>177</v>
      </c>
      <c r="D43" s="99">
        <v>9.7086916666666596E-3</v>
      </c>
      <c r="E43" s="99">
        <v>0.17652166666666663</v>
      </c>
      <c r="F43" s="99">
        <v>1.0591299999999988E-3</v>
      </c>
      <c r="G43" s="99">
        <v>1.3415646666666668E-2</v>
      </c>
      <c r="H43" s="99">
        <v>1.3415646666666668E-2</v>
      </c>
      <c r="I43" s="99">
        <v>3.5304333333333313E-2</v>
      </c>
      <c r="J43" s="99">
        <v>7.0608666666666625E-2</v>
      </c>
      <c r="K43" s="49">
        <v>3583.3898333333345</v>
      </c>
      <c r="L43" s="100">
        <v>3530.4333333333338</v>
      </c>
      <c r="M43" s="49" t="s">
        <v>239</v>
      </c>
      <c r="N43" s="99">
        <v>9.7086916666666596E-3</v>
      </c>
      <c r="O43" s="99">
        <v>0.17652166666666663</v>
      </c>
      <c r="P43" s="99">
        <v>1.0591299999999988E-3</v>
      </c>
      <c r="Q43" s="99">
        <v>1.3415646666666668E-2</v>
      </c>
      <c r="R43" s="99">
        <v>1.3415646666666668E-2</v>
      </c>
      <c r="S43" s="99">
        <v>3.5304333333333313E-2</v>
      </c>
      <c r="T43" s="99">
        <v>7.0608666666666625E-2</v>
      </c>
      <c r="U43" s="49">
        <v>3583.3898333333345</v>
      </c>
      <c r="V43" s="100">
        <v>3530.4333333333338</v>
      </c>
      <c r="W43" t="s">
        <v>239</v>
      </c>
    </row>
    <row r="44" spans="1:31" x14ac:dyDescent="0.25">
      <c r="A44" s="2" t="s">
        <v>235</v>
      </c>
      <c r="B44" s="2">
        <v>2104002000</v>
      </c>
      <c r="C44" s="2" t="s">
        <v>179</v>
      </c>
      <c r="D44" s="99">
        <v>0.11761659041083214</v>
      </c>
      <c r="E44" s="99">
        <v>5.5515030673912766E-2</v>
      </c>
      <c r="F44" s="99">
        <v>0.10938342908207389</v>
      </c>
      <c r="G44" s="99">
        <v>9.3975655738254865E-2</v>
      </c>
      <c r="H44" s="99">
        <v>9.3975655738254865E-2</v>
      </c>
      <c r="I44" s="99">
        <v>1.4889672263059298E-2</v>
      </c>
      <c r="J44" s="99">
        <v>1.5357786292894409</v>
      </c>
      <c r="K44" s="49">
        <v>357.55443484892987</v>
      </c>
      <c r="L44" s="100">
        <v>23.523318082166437</v>
      </c>
      <c r="M44" s="49" t="s">
        <v>237</v>
      </c>
      <c r="N44" s="99">
        <v>0.10334107204162281</v>
      </c>
      <c r="O44" s="99">
        <v>4.8776986003645967E-2</v>
      </c>
      <c r="P44" s="99">
        <v>9.6107196998709205E-2</v>
      </c>
      <c r="Q44" s="99">
        <v>8.2569516561256592E-2</v>
      </c>
      <c r="R44" s="99">
        <v>8.2569516561256592E-2</v>
      </c>
      <c r="S44" s="99">
        <v>1.3082463015109244E-2</v>
      </c>
      <c r="T44" s="99">
        <v>1.3493760481834902</v>
      </c>
      <c r="U44" s="49">
        <v>314.15685900653347</v>
      </c>
      <c r="V44" s="100">
        <v>20.668214408324562</v>
      </c>
      <c r="W44" t="s">
        <v>237</v>
      </c>
    </row>
    <row r="45" spans="1:31" x14ac:dyDescent="0.25">
      <c r="A45" s="2" t="s">
        <v>235</v>
      </c>
      <c r="B45" s="2">
        <v>2103002000</v>
      </c>
      <c r="C45" s="2" t="s">
        <v>233</v>
      </c>
      <c r="D45" s="99">
        <v>2.8532244230068844E-4</v>
      </c>
      <c r="E45" s="99">
        <v>1.3467219276592493E-4</v>
      </c>
      <c r="F45" s="99">
        <v>2.6534987133964015E-4</v>
      </c>
      <c r="G45" s="99">
        <v>2.2797263139825004E-4</v>
      </c>
      <c r="H45" s="99">
        <v>2.2797263139825004E-4</v>
      </c>
      <c r="I45" s="99">
        <v>3.6120394583055642E-5</v>
      </c>
      <c r="J45" s="99">
        <v>3.7255977903412375E-3</v>
      </c>
      <c r="K45" s="49">
        <v>13.116826184181894</v>
      </c>
      <c r="L45" s="100">
        <v>0.86738022459409281</v>
      </c>
      <c r="M45" s="49" t="s">
        <v>237</v>
      </c>
      <c r="N45" s="99">
        <v>2.6963315214105558E-4</v>
      </c>
      <c r="O45" s="99">
        <v>1.2726684781057824E-4</v>
      </c>
      <c r="P45" s="99">
        <v>2.5075883149118169E-4</v>
      </c>
      <c r="Q45" s="99">
        <v>2.1543688856070345E-4</v>
      </c>
      <c r="R45" s="99">
        <v>2.1543688856070345E-4</v>
      </c>
      <c r="S45" s="99">
        <v>3.4134208895296937E-5</v>
      </c>
      <c r="T45" s="99">
        <v>3.520734884081834E-3</v>
      </c>
      <c r="U45" s="49">
        <v>12.391855464485586</v>
      </c>
      <c r="V45" s="100">
        <v>0.81968478250880905</v>
      </c>
      <c r="W45" t="s">
        <v>237</v>
      </c>
    </row>
    <row r="46" spans="1:31" x14ac:dyDescent="0.25">
      <c r="A46" s="2" t="s">
        <v>235</v>
      </c>
      <c r="B46" s="2">
        <v>2103008000</v>
      </c>
      <c r="C46" s="2" t="s">
        <v>234</v>
      </c>
      <c r="D46" s="99">
        <v>8.7184102008962066E-4</v>
      </c>
      <c r="E46" s="99">
        <v>3.4664180803309314E-5</v>
      </c>
      <c r="F46" s="99">
        <v>7.5569431662724817E-6</v>
      </c>
      <c r="G46" s="99">
        <v>2.4518378092326654E-4</v>
      </c>
      <c r="H46" s="99">
        <v>2.4518378092326654E-4</v>
      </c>
      <c r="I46" s="99">
        <v>8.977707154115664E-6</v>
      </c>
      <c r="J46" s="99">
        <v>1.7439048949549685E-3</v>
      </c>
      <c r="K46" s="49">
        <v>7.9159459338867979</v>
      </c>
      <c r="L46" s="100">
        <v>0.65367558388256952</v>
      </c>
      <c r="M46" s="49" t="s">
        <v>237</v>
      </c>
      <c r="N46" s="99">
        <v>7.1473614547591408E-4</v>
      </c>
      <c r="O46" s="99">
        <v>2.9083381335906241E-5</v>
      </c>
      <c r="P46" s="99">
        <v>6.1727592489711029E-6</v>
      </c>
      <c r="Q46" s="99">
        <v>2.1102851649953144E-4</v>
      </c>
      <c r="R46" s="99">
        <v>2.1102851649953144E-4</v>
      </c>
      <c r="S46" s="99">
        <v>8.1341904248124664E-6</v>
      </c>
      <c r="T46" s="99">
        <v>1.5343025389261339E-3</v>
      </c>
      <c r="U46" s="49">
        <v>6.466004494494177</v>
      </c>
      <c r="V46" s="100">
        <v>0.53394367503600026</v>
      </c>
      <c r="W46" t="s">
        <v>237</v>
      </c>
    </row>
    <row r="47" spans="1:31" x14ac:dyDescent="0.25">
      <c r="A47" s="15" t="s">
        <v>235</v>
      </c>
      <c r="B47" s="15">
        <v>2102012000</v>
      </c>
      <c r="C47" s="15" t="s">
        <v>184</v>
      </c>
      <c r="D47" s="101">
        <v>3.7226766797913594E-4</v>
      </c>
      <c r="E47" s="101">
        <v>1.9434212261993551E-2</v>
      </c>
      <c r="F47" s="101">
        <v>1.37609605943799E-2</v>
      </c>
      <c r="G47" s="101">
        <v>1.9373489384817266E-3</v>
      </c>
      <c r="H47" s="101">
        <v>1.9373489384817266E-3</v>
      </c>
      <c r="I47" s="101">
        <v>1.3544093175893141E-5</v>
      </c>
      <c r="J47" s="101">
        <v>4.6265049277175547E-3</v>
      </c>
      <c r="K47" s="94">
        <v>103.11814403022066</v>
      </c>
      <c r="L47" s="102">
        <v>0.74453533595827182</v>
      </c>
      <c r="M47" s="94" t="s">
        <v>238</v>
      </c>
      <c r="N47" s="101">
        <v>3.7226766797913594E-4</v>
      </c>
      <c r="O47" s="101">
        <v>1.9434212261993551E-2</v>
      </c>
      <c r="P47" s="101">
        <v>1.37609605943799E-2</v>
      </c>
      <c r="Q47" s="101">
        <v>1.9373489384817266E-3</v>
      </c>
      <c r="R47" s="101">
        <v>1.9373489384817266E-3</v>
      </c>
      <c r="S47" s="101">
        <v>1.3544093175893141E-5</v>
      </c>
      <c r="T47" s="101">
        <v>4.6265049277175547E-3</v>
      </c>
      <c r="U47" s="94">
        <v>103.11814403022066</v>
      </c>
      <c r="V47" s="102">
        <v>0.74453533595827182</v>
      </c>
      <c r="W47" s="5" t="s">
        <v>238</v>
      </c>
    </row>
    <row r="48" spans="1:31" x14ac:dyDescent="0.25">
      <c r="A48" s="17" t="s">
        <v>235</v>
      </c>
      <c r="B48" s="17" t="s">
        <v>219</v>
      </c>
      <c r="C48" s="17"/>
      <c r="D48" s="103">
        <v>8.8890771686402434</v>
      </c>
      <c r="E48" s="103">
        <v>2.5800048472001778</v>
      </c>
      <c r="F48" s="103">
        <v>3.9360066792347221</v>
      </c>
      <c r="G48" s="103">
        <v>2.5969127842301911</v>
      </c>
      <c r="H48" s="103">
        <v>2.5969127842301911</v>
      </c>
      <c r="I48" s="103">
        <v>0.14556250945606566</v>
      </c>
      <c r="J48" s="103">
        <v>27.582287892356362</v>
      </c>
      <c r="K48" s="93">
        <v>51450.811873425868</v>
      </c>
      <c r="L48" s="93"/>
      <c r="M48" s="93"/>
      <c r="N48" s="103">
        <v>8.0170086582966888</v>
      </c>
      <c r="O48" s="103">
        <v>2.4149707808781642</v>
      </c>
      <c r="P48" s="103">
        <v>3.652074490423725</v>
      </c>
      <c r="Q48" s="103">
        <v>2.3143154108261643</v>
      </c>
      <c r="R48" s="103">
        <v>2.3143154108261643</v>
      </c>
      <c r="S48" s="103">
        <v>0.13398383690396073</v>
      </c>
      <c r="T48" s="103">
        <v>24.381180497992844</v>
      </c>
      <c r="U48" s="93">
        <v>48062.899317359232</v>
      </c>
      <c r="Y48" s="503" t="s">
        <v>595</v>
      </c>
      <c r="Z48" s="503"/>
      <c r="AA48" s="503"/>
      <c r="AB48" s="503"/>
      <c r="AC48" s="503"/>
      <c r="AD48" s="503"/>
      <c r="AE48" s="503"/>
    </row>
    <row r="49" spans="1:31" ht="15.75" thickBot="1" x14ac:dyDescent="0.3">
      <c r="A49" s="2"/>
      <c r="B49" s="2"/>
      <c r="C49" s="2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Y49" s="7" t="s">
        <v>99</v>
      </c>
      <c r="Z49" s="7" t="s">
        <v>100</v>
      </c>
      <c r="AA49" s="247" t="s">
        <v>101</v>
      </c>
      <c r="AB49" s="7" t="s">
        <v>102</v>
      </c>
      <c r="AC49" s="248" t="s">
        <v>103</v>
      </c>
      <c r="AD49" s="7" t="s">
        <v>104</v>
      </c>
      <c r="AE49" s="7" t="s">
        <v>105</v>
      </c>
    </row>
    <row r="50" spans="1:31" ht="15.75" thickTop="1" x14ac:dyDescent="0.25">
      <c r="A50" s="2" t="s">
        <v>236</v>
      </c>
      <c r="B50" s="2">
        <v>2104008100</v>
      </c>
      <c r="C50" s="2" t="s">
        <v>108</v>
      </c>
      <c r="D50" s="99">
        <v>5.0762270642477008</v>
      </c>
      <c r="E50" s="99">
        <v>5.7634019070061243E-2</v>
      </c>
      <c r="F50" s="99">
        <v>8.866772164624807E-3</v>
      </c>
      <c r="G50" s="99">
        <v>0.76697579224004586</v>
      </c>
      <c r="H50" s="99">
        <v>0.76697579224004586</v>
      </c>
      <c r="I50" s="99">
        <v>3.9900474740811626E-2</v>
      </c>
      <c r="J50" s="99">
        <v>5.5993666219605656</v>
      </c>
      <c r="K50" s="49">
        <v>711.91622891504005</v>
      </c>
      <c r="L50" s="100">
        <v>63.334610039477568</v>
      </c>
      <c r="M50" s="49" t="s">
        <v>237</v>
      </c>
      <c r="N50" s="99">
        <v>4.6833063359543701</v>
      </c>
      <c r="O50" s="99">
        <v>5.3172910364547465E-2</v>
      </c>
      <c r="P50" s="99">
        <v>8.1804477483919183E-3</v>
      </c>
      <c r="Q50" s="99">
        <v>0.70760873023590076</v>
      </c>
      <c r="R50" s="99">
        <v>0.70760873023590076</v>
      </c>
      <c r="S50" s="99">
        <v>3.6812014867763615E-2</v>
      </c>
      <c r="T50" s="99">
        <v>5.1659527531094938</v>
      </c>
      <c r="U50" s="49">
        <v>656.80787728654434</v>
      </c>
      <c r="V50" s="100">
        <v>58.43225228677651</v>
      </c>
      <c r="W50" t="s">
        <v>237</v>
      </c>
      <c r="Y50" s="14">
        <f>N50/$U50*2000</f>
        <v>14.260810498505007</v>
      </c>
      <c r="Z50" s="6">
        <f t="shared" ref="Z50:AE65" si="0">O50/$U50*2000</f>
        <v>0.16191313229743687</v>
      </c>
      <c r="AA50" s="249">
        <f t="shared" si="0"/>
        <v>2.4909712661144136E-2</v>
      </c>
      <c r="AB50" s="6">
        <f t="shared" si="0"/>
        <v>2.1546901451889671</v>
      </c>
      <c r="AC50" s="250">
        <f t="shared" si="0"/>
        <v>2.1546901451889671</v>
      </c>
      <c r="AD50" s="6">
        <f t="shared" si="0"/>
        <v>0.11209370697514855</v>
      </c>
      <c r="AE50" s="14">
        <f t="shared" si="0"/>
        <v>15.730483545512513</v>
      </c>
    </row>
    <row r="51" spans="1:31" x14ac:dyDescent="0.25">
      <c r="A51" s="2" t="s">
        <v>236</v>
      </c>
      <c r="B51" s="2">
        <v>2104008210</v>
      </c>
      <c r="C51" s="2" t="s">
        <v>112</v>
      </c>
      <c r="D51" s="99">
        <v>0.10989651905230065</v>
      </c>
      <c r="E51" s="99">
        <v>5.8058538367253189E-3</v>
      </c>
      <c r="F51" s="99">
        <v>8.2940769096075985E-4</v>
      </c>
      <c r="G51" s="99">
        <v>6.3449688358498138E-2</v>
      </c>
      <c r="H51" s="99">
        <v>6.3449688358498138E-2</v>
      </c>
      <c r="I51" s="99">
        <v>3.5249826865832307E-3</v>
      </c>
      <c r="J51" s="99">
        <v>0.47856823768435847</v>
      </c>
      <c r="K51" s="49">
        <v>66.581617854909823</v>
      </c>
      <c r="L51" s="100">
        <v>5.9243895856848194</v>
      </c>
      <c r="M51" s="49" t="s">
        <v>237</v>
      </c>
      <c r="N51" s="99">
        <v>9.5650559445370237E-2</v>
      </c>
      <c r="O51" s="99">
        <v>5.0532371027742747E-3</v>
      </c>
      <c r="P51" s="99">
        <v>7.2189101468203944E-4</v>
      </c>
      <c r="Q51" s="99">
        <v>5.5224662623176032E-2</v>
      </c>
      <c r="R51" s="99">
        <v>5.5224662623176032E-2</v>
      </c>
      <c r="S51" s="99">
        <v>3.068036812398668E-3</v>
      </c>
      <c r="T51" s="99">
        <v>0.41653111547153687</v>
      </c>
      <c r="U51" s="49">
        <v>57.950279135419493</v>
      </c>
      <c r="V51" s="100">
        <v>5.1564069829490649</v>
      </c>
      <c r="W51" t="s">
        <v>237</v>
      </c>
      <c r="Y51" s="14">
        <f t="shared" ref="Y51:AE70" si="1">N51/$U51*2000</f>
        <v>3.3011250634997595</v>
      </c>
      <c r="Z51" s="6">
        <f t="shared" si="0"/>
        <v>0.17439905995847779</v>
      </c>
      <c r="AA51" s="249">
        <f t="shared" si="0"/>
        <v>2.4914151422639693E-2</v>
      </c>
      <c r="AB51" s="6">
        <f t="shared" si="0"/>
        <v>1.905932583831937</v>
      </c>
      <c r="AC51" s="250">
        <f t="shared" si="0"/>
        <v>1.905932583831937</v>
      </c>
      <c r="AD51" s="6">
        <f t="shared" si="0"/>
        <v>0.10588514354621871</v>
      </c>
      <c r="AE51" s="14">
        <f t="shared" si="0"/>
        <v>14.375465370863106</v>
      </c>
    </row>
    <row r="52" spans="1:31" x14ac:dyDescent="0.25">
      <c r="A52" s="2" t="s">
        <v>236</v>
      </c>
      <c r="B52" s="2">
        <v>2104008220</v>
      </c>
      <c r="C52" s="2" t="s">
        <v>115</v>
      </c>
      <c r="D52" s="99">
        <v>5.2387454337189339E-2</v>
      </c>
      <c r="E52" s="99">
        <v>8.7312423895315617E-3</v>
      </c>
      <c r="F52" s="99">
        <v>1.7462484779063117E-3</v>
      </c>
      <c r="G52" s="99">
        <v>5.2387454337189339E-2</v>
      </c>
      <c r="H52" s="99">
        <v>5.2387454337189339E-2</v>
      </c>
      <c r="I52" s="99">
        <v>3.9290590752892023E-3</v>
      </c>
      <c r="J52" s="99">
        <v>0.61467946422302155</v>
      </c>
      <c r="K52" s="49">
        <v>140.18202399473137</v>
      </c>
      <c r="L52" s="100">
        <v>12.473306444195458</v>
      </c>
      <c r="M52" s="49" t="s">
        <v>237</v>
      </c>
      <c r="N52" s="99">
        <v>4.5596433431037281E-2</v>
      </c>
      <c r="O52" s="99">
        <v>7.5994055718395506E-3</v>
      </c>
      <c r="P52" s="99">
        <v>1.5198811143679099E-3</v>
      </c>
      <c r="Q52" s="99">
        <v>4.5596433431037281E-2</v>
      </c>
      <c r="R52" s="99">
        <v>4.5596433431037281E-2</v>
      </c>
      <c r="S52" s="99">
        <v>3.4197325073277969E-3</v>
      </c>
      <c r="T52" s="99">
        <v>0.53499815225750413</v>
      </c>
      <c r="U52" s="49">
        <v>122.00946270132886</v>
      </c>
      <c r="V52" s="100">
        <v>10.856383348712265</v>
      </c>
      <c r="W52" t="s">
        <v>237</v>
      </c>
      <c r="Y52" s="14">
        <f t="shared" si="1"/>
        <v>0.74742454267919123</v>
      </c>
      <c r="Z52" s="6">
        <f t="shared" si="0"/>
        <v>0.12457075711319861</v>
      </c>
      <c r="AA52" s="249">
        <f t="shared" si="0"/>
        <v>2.4914151422639717E-2</v>
      </c>
      <c r="AB52" s="6">
        <f t="shared" si="0"/>
        <v>0.74742454267919123</v>
      </c>
      <c r="AC52" s="250">
        <f t="shared" si="0"/>
        <v>0.74742454267919123</v>
      </c>
      <c r="AD52" s="6">
        <f t="shared" si="0"/>
        <v>5.6056840700939359E-2</v>
      </c>
      <c r="AE52" s="14">
        <f t="shared" si="0"/>
        <v>8.7697813007691785</v>
      </c>
    </row>
    <row r="53" spans="1:31" x14ac:dyDescent="0.25">
      <c r="A53" s="2" t="s">
        <v>236</v>
      </c>
      <c r="B53" s="2">
        <v>2104008230</v>
      </c>
      <c r="C53" s="2" t="s">
        <v>118</v>
      </c>
      <c r="D53" s="99">
        <v>3.9426354019924746E-2</v>
      </c>
      <c r="E53" s="99">
        <v>5.2568472026566304E-3</v>
      </c>
      <c r="F53" s="99">
        <v>1.0513694405313264E-3</v>
      </c>
      <c r="G53" s="99">
        <v>3.4169506817268117E-2</v>
      </c>
      <c r="H53" s="99">
        <v>3.4169506817268117E-2</v>
      </c>
      <c r="I53" s="99">
        <v>2.365581241195484E-3</v>
      </c>
      <c r="J53" s="99">
        <v>0.28124132534212992</v>
      </c>
      <c r="K53" s="49">
        <v>84.399842293117743</v>
      </c>
      <c r="L53" s="100">
        <v>7.5098437500331219</v>
      </c>
      <c r="M53" s="49" t="s">
        <v>237</v>
      </c>
      <c r="N53" s="99">
        <v>3.4315489256782551E-2</v>
      </c>
      <c r="O53" s="99">
        <v>4.5753985675710072E-3</v>
      </c>
      <c r="P53" s="99">
        <v>9.1507971351420146E-4</v>
      </c>
      <c r="Q53" s="99">
        <v>2.9740090689211549E-2</v>
      </c>
      <c r="R53" s="99">
        <v>2.9740090689211549E-2</v>
      </c>
      <c r="S53" s="99">
        <v>2.058929355406954E-3</v>
      </c>
      <c r="T53" s="99">
        <v>0.24478382336504889</v>
      </c>
      <c r="U53" s="49">
        <v>73.458629835785672</v>
      </c>
      <c r="V53" s="100">
        <v>6.5363376586671524</v>
      </c>
      <c r="W53" t="s">
        <v>237</v>
      </c>
      <c r="Y53" s="14">
        <f t="shared" si="1"/>
        <v>0.93428067834898876</v>
      </c>
      <c r="Z53" s="6">
        <f t="shared" si="0"/>
        <v>0.12457075711319851</v>
      </c>
      <c r="AA53" s="249">
        <f t="shared" si="0"/>
        <v>2.4914151422639703E-2</v>
      </c>
      <c r="AB53" s="6">
        <f t="shared" si="0"/>
        <v>0.80970992123579033</v>
      </c>
      <c r="AC53" s="250">
        <f t="shared" si="0"/>
        <v>0.80970992123579033</v>
      </c>
      <c r="AD53" s="6">
        <f t="shared" si="0"/>
        <v>5.6056840700939352E-2</v>
      </c>
      <c r="AE53" s="14">
        <f t="shared" si="0"/>
        <v>6.6645355055561204</v>
      </c>
    </row>
    <row r="54" spans="1:31" x14ac:dyDescent="0.25">
      <c r="A54" s="2" t="s">
        <v>236</v>
      </c>
      <c r="B54" s="2">
        <v>2104008310</v>
      </c>
      <c r="C54" s="2" t="s">
        <v>121</v>
      </c>
      <c r="D54" s="99">
        <v>2.2302642088964788</v>
      </c>
      <c r="E54" s="99">
        <v>6.1106825306009693E-2</v>
      </c>
      <c r="F54" s="99">
        <v>1.6832182708652676E-2</v>
      </c>
      <c r="G54" s="99">
        <v>0.5109421426710683</v>
      </c>
      <c r="H54" s="99">
        <v>0.5109421426710683</v>
      </c>
      <c r="I54" s="99">
        <v>1.6707142534829869E-2</v>
      </c>
      <c r="J54" s="99">
        <v>5.0989159499918424</v>
      </c>
      <c r="K54" s="49">
        <v>1351.2220455459403</v>
      </c>
      <c r="L54" s="100">
        <v>120.23086960765093</v>
      </c>
      <c r="M54" s="49" t="s">
        <v>237</v>
      </c>
      <c r="N54" s="99">
        <v>1.9411535609277177</v>
      </c>
      <c r="O54" s="99">
        <v>5.3185506482409127E-2</v>
      </c>
      <c r="P54" s="99">
        <v>1.465021555417146E-2</v>
      </c>
      <c r="Q54" s="99">
        <v>0.44470836940199449</v>
      </c>
      <c r="R54" s="99">
        <v>0.44470836940199449</v>
      </c>
      <c r="S54" s="99">
        <v>1.4541384422098881E-2</v>
      </c>
      <c r="T54" s="99">
        <v>4.4379400493070564</v>
      </c>
      <c r="U54" s="49">
        <v>1176.0557528649106</v>
      </c>
      <c r="V54" s="100">
        <v>104.64526119432551</v>
      </c>
      <c r="W54" t="s">
        <v>237</v>
      </c>
      <c r="Y54" s="14">
        <f t="shared" si="1"/>
        <v>3.3011250634997595</v>
      </c>
      <c r="Z54" s="6">
        <f t="shared" si="0"/>
        <v>9.0447253632062061E-2</v>
      </c>
      <c r="AA54" s="249">
        <f t="shared" si="0"/>
        <v>2.4914151422639703E-2</v>
      </c>
      <c r="AB54" s="6">
        <f t="shared" si="0"/>
        <v>0.75627089671330672</v>
      </c>
      <c r="AC54" s="250">
        <f t="shared" si="0"/>
        <v>0.75627089671330672</v>
      </c>
      <c r="AD54" s="6">
        <f t="shared" si="0"/>
        <v>2.4729073237685525E-2</v>
      </c>
      <c r="AE54" s="14">
        <f t="shared" si="0"/>
        <v>7.5471592881478422</v>
      </c>
    </row>
    <row r="55" spans="1:31" x14ac:dyDescent="0.25">
      <c r="A55" s="2" t="s">
        <v>236</v>
      </c>
      <c r="B55" s="2">
        <v>2104008320</v>
      </c>
      <c r="C55" s="2" t="s">
        <v>125</v>
      </c>
      <c r="D55" s="99">
        <v>1.0631625588416311</v>
      </c>
      <c r="E55" s="99">
        <v>0.14253817203567956</v>
      </c>
      <c r="F55" s="99">
        <v>3.5438751961387696E-2</v>
      </c>
      <c r="G55" s="99">
        <v>0.70214137095667983</v>
      </c>
      <c r="H55" s="99">
        <v>0.70214137095667983</v>
      </c>
      <c r="I55" s="99">
        <v>2.2126338624588664E-2</v>
      </c>
      <c r="J55" s="99">
        <v>10.954202264706874</v>
      </c>
      <c r="K55" s="49">
        <v>2844.8849294064285</v>
      </c>
      <c r="L55" s="100">
        <v>253.13603350664593</v>
      </c>
      <c r="M55" s="49" t="s">
        <v>237</v>
      </c>
      <c r="N55" s="99">
        <v>0.92534408197385454</v>
      </c>
      <c r="O55" s="99">
        <v>0.12406085301978226</v>
      </c>
      <c r="P55" s="99">
        <v>3.0844802732461808E-2</v>
      </c>
      <c r="Q55" s="99">
        <v>0.61112231325346655</v>
      </c>
      <c r="R55" s="99">
        <v>0.61112231325346655</v>
      </c>
      <c r="S55" s="99">
        <v>1.9258086481450783E-2</v>
      </c>
      <c r="T55" s="99">
        <v>9.5342016647343435</v>
      </c>
      <c r="U55" s="49">
        <v>2476.0869603154833</v>
      </c>
      <c r="V55" s="100">
        <v>220.32183939483735</v>
      </c>
      <c r="W55" t="s">
        <v>237</v>
      </c>
      <c r="Y55" s="14">
        <f t="shared" si="1"/>
        <v>0.74742454267919134</v>
      </c>
      <c r="Z55" s="6">
        <f t="shared" si="0"/>
        <v>0.10020718577991737</v>
      </c>
      <c r="AA55" s="249">
        <f t="shared" si="0"/>
        <v>2.4914151422639703E-2</v>
      </c>
      <c r="AB55" s="6">
        <f t="shared" si="0"/>
        <v>0.49361942698135464</v>
      </c>
      <c r="AC55" s="250">
        <f t="shared" si="0"/>
        <v>0.49361942698135464</v>
      </c>
      <c r="AD55" s="6">
        <f t="shared" si="0"/>
        <v>1.5555258591561802E-2</v>
      </c>
      <c r="AE55" s="14">
        <f t="shared" si="0"/>
        <v>7.7010232819283297</v>
      </c>
    </row>
    <row r="56" spans="1:31" x14ac:dyDescent="0.25">
      <c r="A56" s="2" t="s">
        <v>236</v>
      </c>
      <c r="B56" s="2">
        <v>2104008330</v>
      </c>
      <c r="C56" s="2" t="s">
        <v>128</v>
      </c>
      <c r="D56" s="99">
        <v>0.80012712883173998</v>
      </c>
      <c r="E56" s="99">
        <v>8.5818415926230254E-2</v>
      </c>
      <c r="F56" s="99">
        <v>2.1336723435513065E-2</v>
      </c>
      <c r="G56" s="99">
        <v>0.46906824234624633</v>
      </c>
      <c r="H56" s="99">
        <v>0.46906824234624633</v>
      </c>
      <c r="I56" s="99">
        <v>1.3321675898399001E-2</v>
      </c>
      <c r="J56" s="99">
        <v>6.5952318082018975</v>
      </c>
      <c r="K56" s="49">
        <v>1712.8290243048166</v>
      </c>
      <c r="L56" s="100">
        <v>152.40642628664901</v>
      </c>
      <c r="M56" s="49" t="s">
        <v>237</v>
      </c>
      <c r="N56" s="99">
        <v>0.69640611149613585</v>
      </c>
      <c r="O56" s="99">
        <v>7.4693717006203461E-2</v>
      </c>
      <c r="P56" s="99">
        <v>1.8570829639896966E-2</v>
      </c>
      <c r="Q56" s="99">
        <v>0.4082626109123853</v>
      </c>
      <c r="R56" s="99">
        <v>0.4082626109123853</v>
      </c>
      <c r="S56" s="99">
        <v>1.1594778100527052E-2</v>
      </c>
      <c r="T56" s="99">
        <v>5.7402874774058228</v>
      </c>
      <c r="U56" s="49">
        <v>1490.7856442601123</v>
      </c>
      <c r="V56" s="100">
        <v>132.64987884147524</v>
      </c>
      <c r="W56" t="s">
        <v>237</v>
      </c>
      <c r="Y56" s="14">
        <f t="shared" si="1"/>
        <v>0.93428067834898854</v>
      </c>
      <c r="Z56" s="6">
        <f t="shared" si="0"/>
        <v>0.1002071857799174</v>
      </c>
      <c r="AA56" s="249">
        <f t="shared" si="0"/>
        <v>2.4914151422639707E-2</v>
      </c>
      <c r="AB56" s="6">
        <f t="shared" si="0"/>
        <v>0.54771470665054467</v>
      </c>
      <c r="AC56" s="250">
        <f t="shared" si="0"/>
        <v>0.54771470665054467</v>
      </c>
      <c r="AD56" s="6">
        <f t="shared" si="0"/>
        <v>1.5555258591561798E-2</v>
      </c>
      <c r="AE56" s="14">
        <f t="shared" si="0"/>
        <v>7.7010232819283262</v>
      </c>
    </row>
    <row r="57" spans="1:31" x14ac:dyDescent="0.25">
      <c r="A57" s="2" t="s">
        <v>236</v>
      </c>
      <c r="B57" s="2">
        <v>2104008410</v>
      </c>
      <c r="C57" s="2" t="s">
        <v>131</v>
      </c>
      <c r="D57" s="99">
        <v>1.3406878158776104E-2</v>
      </c>
      <c r="E57" s="99">
        <v>2.3412585661490536E-2</v>
      </c>
      <c r="F57" s="99">
        <v>1.8711357172020418E-3</v>
      </c>
      <c r="G57" s="99">
        <v>1.7308005384118887E-2</v>
      </c>
      <c r="H57" s="99">
        <v>1.7308005384118887E-2</v>
      </c>
      <c r="I57" s="99">
        <v>4.2030386047650869E-4</v>
      </c>
      <c r="J57" s="99">
        <v>5.8075374822658357E-2</v>
      </c>
      <c r="K57" s="49">
        <v>179.37532368449342</v>
      </c>
      <c r="L57" s="100">
        <v>15.960701073395333</v>
      </c>
      <c r="M57" s="49" t="s">
        <v>237</v>
      </c>
      <c r="N57" s="99">
        <v>1.1668935534641968E-2</v>
      </c>
      <c r="O57" s="99">
        <v>2.037759645069797E-2</v>
      </c>
      <c r="P57" s="99">
        <v>1.6285791369189189E-3</v>
      </c>
      <c r="Q57" s="99">
        <v>1.50643570165E-2</v>
      </c>
      <c r="R57" s="99">
        <v>1.50643570165E-2</v>
      </c>
      <c r="S57" s="99">
        <v>3.6581958863041197E-4</v>
      </c>
      <c r="T57" s="99">
        <v>5.0547024962120948E-2</v>
      </c>
      <c r="U57" s="49">
        <v>156.12192092079189</v>
      </c>
      <c r="V57" s="100">
        <v>13.891704668862518</v>
      </c>
      <c r="W57" t="s">
        <v>237</v>
      </c>
      <c r="Y57" s="14">
        <f t="shared" si="1"/>
        <v>0.14948490853583815</v>
      </c>
      <c r="Z57" s="6">
        <f t="shared" si="0"/>
        <v>0.26104721656655117</v>
      </c>
      <c r="AA57" s="249">
        <f t="shared" si="0"/>
        <v>2.0862914410913185E-2</v>
      </c>
      <c r="AB57" s="6">
        <f t="shared" si="0"/>
        <v>0.19298195830094694</v>
      </c>
      <c r="AC57" s="250">
        <f t="shared" si="0"/>
        <v>0.19298195830094694</v>
      </c>
      <c r="AD57" s="6">
        <f t="shared" si="0"/>
        <v>4.6863321495513718E-3</v>
      </c>
      <c r="AE57" s="14">
        <f t="shared" si="0"/>
        <v>0.64753270602871804</v>
      </c>
    </row>
    <row r="58" spans="1:31" x14ac:dyDescent="0.25">
      <c r="A58" s="2" t="s">
        <v>236</v>
      </c>
      <c r="B58" s="2">
        <v>2104008420</v>
      </c>
      <c r="C58" s="2" t="s">
        <v>135</v>
      </c>
      <c r="D58" s="99">
        <v>4.522181669650896E-2</v>
      </c>
      <c r="E58" s="99">
        <v>7.8971379066511319E-2</v>
      </c>
      <c r="F58" s="99">
        <v>6.3113989263945125E-3</v>
      </c>
      <c r="G58" s="99">
        <v>5.838044006914922E-2</v>
      </c>
      <c r="H58" s="99">
        <v>5.838044006914922E-2</v>
      </c>
      <c r="I58" s="99">
        <v>1.4176979838413674E-3</v>
      </c>
      <c r="J58" s="99">
        <v>0.19589004417796965</v>
      </c>
      <c r="K58" s="49">
        <v>605.03854152111046</v>
      </c>
      <c r="L58" s="100">
        <v>53.835940756751562</v>
      </c>
      <c r="M58" s="49" t="s">
        <v>237</v>
      </c>
      <c r="N58" s="99">
        <v>3.9359682212486903E-2</v>
      </c>
      <c r="O58" s="99">
        <v>6.8734266135302813E-2</v>
      </c>
      <c r="P58" s="99">
        <v>5.4932480427814434E-3</v>
      </c>
      <c r="Q58" s="99">
        <v>5.0812544395728347E-2</v>
      </c>
      <c r="R58" s="99">
        <v>5.0812544395728347E-2</v>
      </c>
      <c r="S58" s="99">
        <v>1.233920841609782E-3</v>
      </c>
      <c r="T58" s="99">
        <v>0.17049668612782903</v>
      </c>
      <c r="U58" s="49">
        <v>526.60409131602216</v>
      </c>
      <c r="V58" s="100">
        <v>46.857151582757936</v>
      </c>
      <c r="W58" t="s">
        <v>237</v>
      </c>
      <c r="Y58" s="14">
        <f t="shared" si="1"/>
        <v>0.14948490853583829</v>
      </c>
      <c r="Z58" s="6">
        <f t="shared" si="0"/>
        <v>0.26104721656655133</v>
      </c>
      <c r="AA58" s="249">
        <f t="shared" si="0"/>
        <v>2.0862914410913196E-2</v>
      </c>
      <c r="AB58" s="6">
        <f t="shared" si="0"/>
        <v>0.19298195830094703</v>
      </c>
      <c r="AC58" s="250">
        <f t="shared" si="0"/>
        <v>0.19298195830094703</v>
      </c>
      <c r="AD58" s="6">
        <f t="shared" si="0"/>
        <v>4.6863321495513779E-3</v>
      </c>
      <c r="AE58" s="14">
        <f t="shared" si="0"/>
        <v>0.64753270602871826</v>
      </c>
    </row>
    <row r="59" spans="1:31" x14ac:dyDescent="0.25">
      <c r="A59" s="2" t="s">
        <v>236</v>
      </c>
      <c r="B59" s="2">
        <v>2104008610</v>
      </c>
      <c r="C59" s="2" t="s">
        <v>138</v>
      </c>
      <c r="D59" s="99">
        <v>1.2700457031736638</v>
      </c>
      <c r="E59" s="99">
        <v>4.5115534456056684E-2</v>
      </c>
      <c r="F59" s="99">
        <v>1.1189829983908934E-2</v>
      </c>
      <c r="G59" s="99">
        <v>0.27611330920689675</v>
      </c>
      <c r="H59" s="99">
        <v>0.27611330920689675</v>
      </c>
      <c r="I59" s="99">
        <v>6.8190423768885655E-3</v>
      </c>
      <c r="J59" s="99">
        <v>1.6944386500040094</v>
      </c>
      <c r="K59" s="49">
        <v>897.9629443663008</v>
      </c>
      <c r="L59" s="100">
        <v>79.928017240185184</v>
      </c>
      <c r="M59" s="49" t="s">
        <v>237</v>
      </c>
      <c r="N59" s="99">
        <v>1.1612291463711555</v>
      </c>
      <c r="O59" s="99">
        <v>4.1250069531806065E-2</v>
      </c>
      <c r="P59" s="99">
        <v>1.0231093800626926E-2</v>
      </c>
      <c r="Q59" s="99">
        <v>0.25245612937457973</v>
      </c>
      <c r="R59" s="99">
        <v>0.25245612937457973</v>
      </c>
      <c r="S59" s="99">
        <v>6.2347919752776693E-3</v>
      </c>
      <c r="T59" s="99">
        <v>1.5492604259875196</v>
      </c>
      <c r="U59" s="49">
        <v>821.02589862504044</v>
      </c>
      <c r="V59" s="100">
        <v>73.0798450788254</v>
      </c>
      <c r="W59" t="s">
        <v>237</v>
      </c>
      <c r="Y59" s="14">
        <f t="shared" si="1"/>
        <v>2.8287272017017933</v>
      </c>
      <c r="Z59" s="6">
        <f t="shared" si="0"/>
        <v>0.10048421030539215</v>
      </c>
      <c r="AA59" s="249">
        <f t="shared" si="0"/>
        <v>2.4922706622923303E-2</v>
      </c>
      <c r="AB59" s="6">
        <f t="shared" si="0"/>
        <v>0.6149772614904454</v>
      </c>
      <c r="AC59" s="250">
        <f t="shared" si="0"/>
        <v>0.6149772614904454</v>
      </c>
      <c r="AD59" s="6">
        <f t="shared" si="0"/>
        <v>1.5187808291355926E-2</v>
      </c>
      <c r="AE59" s="14">
        <f t="shared" si="0"/>
        <v>3.7739623770262116</v>
      </c>
    </row>
    <row r="60" spans="1:31" x14ac:dyDescent="0.25">
      <c r="A60" s="2" t="s">
        <v>236</v>
      </c>
      <c r="B60" s="2">
        <v>2104004000</v>
      </c>
      <c r="C60" s="2" t="s">
        <v>152</v>
      </c>
      <c r="D60" s="99">
        <v>9.2671219035490873E-2</v>
      </c>
      <c r="E60" s="99">
        <v>1.4519889114105387</v>
      </c>
      <c r="F60" s="99">
        <v>3.7565739321089544</v>
      </c>
      <c r="G60" s="99">
        <v>5.9345595834218202E-2</v>
      </c>
      <c r="H60" s="99">
        <v>5.9345595834218202E-2</v>
      </c>
      <c r="I60" s="99">
        <v>3.1838912165058075E-3</v>
      </c>
      <c r="J60" s="99">
        <v>5.8208138580729041E-2</v>
      </c>
      <c r="K60" s="49">
        <v>34887.701429414847</v>
      </c>
      <c r="L60" s="100">
        <v>259.94731847262523</v>
      </c>
      <c r="M60" s="49" t="s">
        <v>238</v>
      </c>
      <c r="N60" s="99">
        <v>8.559461545851603E-2</v>
      </c>
      <c r="O60" s="99">
        <v>1.3411114455569759</v>
      </c>
      <c r="P60" s="99">
        <v>3.4697126519638024</v>
      </c>
      <c r="Q60" s="99">
        <v>5.4813819300693851E-2</v>
      </c>
      <c r="R60" s="99">
        <v>5.4813819300693851E-2</v>
      </c>
      <c r="S60" s="99">
        <v>2.9407614054822256E-3</v>
      </c>
      <c r="T60" s="99">
        <v>5.3763221097430564E-2</v>
      </c>
      <c r="U60" s="49">
        <v>32223.590227497069</v>
      </c>
      <c r="V60" s="100">
        <v>240.09709806035363</v>
      </c>
      <c r="W60" t="s">
        <v>238</v>
      </c>
      <c r="Y60" s="14">
        <f t="shared" si="1"/>
        <v>5.3125436895281979E-3</v>
      </c>
      <c r="Z60" s="6">
        <f t="shared" si="0"/>
        <v>8.3237866177467534E-2</v>
      </c>
      <c r="AA60" s="249">
        <f t="shared" si="0"/>
        <v>0.215352332093835</v>
      </c>
      <c r="AB60" s="6">
        <f t="shared" si="0"/>
        <v>3.4020926230572575E-3</v>
      </c>
      <c r="AC60" s="250">
        <f t="shared" si="0"/>
        <v>3.4020926230572575E-3</v>
      </c>
      <c r="AD60" s="6">
        <f t="shared" si="0"/>
        <v>1.8252226922702187E-4</v>
      </c>
      <c r="AE60" s="14">
        <f t="shared" si="0"/>
        <v>3.3368858477819939E-3</v>
      </c>
    </row>
    <row r="61" spans="1:31" x14ac:dyDescent="0.25">
      <c r="A61" s="2" t="s">
        <v>236</v>
      </c>
      <c r="B61" s="2">
        <v>2103004001</v>
      </c>
      <c r="C61" s="2" t="s">
        <v>162</v>
      </c>
      <c r="D61" s="99">
        <v>2.9739272455953567E-2</v>
      </c>
      <c r="E61" s="99">
        <v>0.75078107181930476</v>
      </c>
      <c r="F61" s="99">
        <v>0.53068542960952125</v>
      </c>
      <c r="G61" s="99">
        <v>1.9044692213434751E-2</v>
      </c>
      <c r="H61" s="99">
        <v>1.9044692213434751E-2</v>
      </c>
      <c r="I61" s="99">
        <v>1.0217477372507743E-3</v>
      </c>
      <c r="J61" s="99">
        <v>1.8679668946010586E-2</v>
      </c>
      <c r="K61" s="49">
        <v>11553.686494108188</v>
      </c>
      <c r="L61" s="100">
        <v>86.086205154364151</v>
      </c>
      <c r="M61" s="49" t="s">
        <v>238</v>
      </c>
      <c r="N61" s="99">
        <v>2.9262493256394771E-2</v>
      </c>
      <c r="O61" s="99">
        <v>0.73874457028766605</v>
      </c>
      <c r="P61" s="99">
        <v>0.52217749537133507</v>
      </c>
      <c r="Q61" s="99">
        <v>1.8739368230717493E-2</v>
      </c>
      <c r="R61" s="99">
        <v>1.8739368230717493E-2</v>
      </c>
      <c r="S61" s="99">
        <v>1.0053671055779935E-3</v>
      </c>
      <c r="T61" s="99">
        <v>1.8380197006295413E-2</v>
      </c>
      <c r="U61" s="49">
        <v>11368.458109426863</v>
      </c>
      <c r="V61" s="100">
        <v>84.706073476719965</v>
      </c>
      <c r="W61" t="s">
        <v>238</v>
      </c>
      <c r="Y61" s="14">
        <f t="shared" si="1"/>
        <v>5.1480144404332118E-3</v>
      </c>
      <c r="Z61" s="6">
        <f t="shared" si="0"/>
        <v>0.12996389891696747</v>
      </c>
      <c r="AA61" s="249">
        <f t="shared" si="0"/>
        <v>9.1864259927797801E-2</v>
      </c>
      <c r="AB61" s="6">
        <f t="shared" si="0"/>
        <v>3.2967299611507705E-3</v>
      </c>
      <c r="AC61" s="250">
        <f t="shared" si="0"/>
        <v>3.2967299611507705E-3</v>
      </c>
      <c r="AD61" s="6">
        <f t="shared" si="0"/>
        <v>1.7686956241573883E-4</v>
      </c>
      <c r="AE61" s="14">
        <f t="shared" si="0"/>
        <v>3.2335426368953818E-3</v>
      </c>
    </row>
    <row r="62" spans="1:31" x14ac:dyDescent="0.25">
      <c r="A62" s="2" t="s">
        <v>236</v>
      </c>
      <c r="B62" s="2">
        <v>2104004000</v>
      </c>
      <c r="C62" s="2" t="s">
        <v>166</v>
      </c>
      <c r="D62" s="99">
        <v>6.1939030411437522E-4</v>
      </c>
      <c r="E62" s="99">
        <v>1.5636781871050148E-2</v>
      </c>
      <c r="F62" s="99">
        <v>2.5107962261141672E-2</v>
      </c>
      <c r="G62" s="99">
        <v>3.4748404157889209E-4</v>
      </c>
      <c r="H62" s="99">
        <v>3.4748404157889209E-4</v>
      </c>
      <c r="I62" s="99">
        <v>2.1280300069251957E-5</v>
      </c>
      <c r="J62" s="99">
        <v>3.8904804568980347E-4</v>
      </c>
      <c r="K62" s="49">
        <v>238.01788138050168</v>
      </c>
      <c r="L62" s="100">
        <v>1.7374202078944603</v>
      </c>
      <c r="M62" s="49" t="s">
        <v>238</v>
      </c>
      <c r="N62" s="99">
        <v>5.8484050859194589E-4</v>
      </c>
      <c r="O62" s="99">
        <v>1.4764557019151517E-2</v>
      </c>
      <c r="P62" s="99">
        <v>2.3707431842203888E-2</v>
      </c>
      <c r="Q62" s="99">
        <v>3.2810126709225578E-4</v>
      </c>
      <c r="R62" s="99">
        <v>3.2810126709225578E-4</v>
      </c>
      <c r="S62" s="99">
        <v>2.0093277910259905E-5</v>
      </c>
      <c r="T62" s="99">
        <v>3.6734681734041481E-4</v>
      </c>
      <c r="U62" s="49">
        <v>224.74116542651797</v>
      </c>
      <c r="V62" s="100">
        <v>1.6405063354612792</v>
      </c>
      <c r="W62" t="s">
        <v>238</v>
      </c>
      <c r="Y62" s="14">
        <f t="shared" si="1"/>
        <v>5.2045695098361239E-3</v>
      </c>
      <c r="Z62" s="6">
        <f t="shared" si="0"/>
        <v>0.13139165662980404</v>
      </c>
      <c r="AA62" s="249">
        <f t="shared" si="0"/>
        <v>0.21097542853096343</v>
      </c>
      <c r="AB62" s="6">
        <f t="shared" si="0"/>
        <v>2.9198145917734217E-3</v>
      </c>
      <c r="AC62" s="250">
        <f t="shared" si="0"/>
        <v>2.9198145917734217E-3</v>
      </c>
      <c r="AD62" s="6">
        <f t="shared" si="0"/>
        <v>1.7881261647928636E-4</v>
      </c>
      <c r="AE62" s="14">
        <f t="shared" si="0"/>
        <v>3.2690656973612927E-3</v>
      </c>
    </row>
    <row r="63" spans="1:31" x14ac:dyDescent="0.25">
      <c r="A63" s="2" t="s">
        <v>236</v>
      </c>
      <c r="B63" s="2">
        <v>2104004000</v>
      </c>
      <c r="C63" s="2" t="s">
        <v>170</v>
      </c>
      <c r="D63" s="99">
        <v>2.3869196311501403E-3</v>
      </c>
      <c r="E63" s="99">
        <v>3.7398675370082526E-2</v>
      </c>
      <c r="F63" s="99">
        <v>9.6757549514739055E-2</v>
      </c>
      <c r="G63" s="99">
        <v>1.5285562140360709E-3</v>
      </c>
      <c r="H63" s="99">
        <v>1.5285562140360709E-3</v>
      </c>
      <c r="I63" s="99">
        <v>8.2007040883035228E-5</v>
      </c>
      <c r="J63" s="99">
        <v>1.4992588866003804E-3</v>
      </c>
      <c r="K63" s="49">
        <v>836.92834191800125</v>
      </c>
      <c r="L63" s="100">
        <v>6.6954267353440118</v>
      </c>
      <c r="M63" s="49" t="s">
        <v>238</v>
      </c>
      <c r="N63" s="99">
        <v>1.9786257294464294E-3</v>
      </c>
      <c r="O63" s="99">
        <v>3.1001454916520902E-2</v>
      </c>
      <c r="P63" s="99">
        <v>8.020671265575903E-2</v>
      </c>
      <c r="Q63" s="99">
        <v>1.2670894380049421E-3</v>
      </c>
      <c r="R63" s="99">
        <v>1.2670894380049421E-3</v>
      </c>
      <c r="S63" s="99">
        <v>6.7979348348965132E-5</v>
      </c>
      <c r="T63" s="99">
        <v>1.242803557109847E-3</v>
      </c>
      <c r="U63" s="49">
        <v>693.76778732343269</v>
      </c>
      <c r="V63" s="100">
        <v>5.5501422985874616</v>
      </c>
      <c r="W63" t="s">
        <v>238</v>
      </c>
      <c r="Y63" s="14">
        <f t="shared" si="1"/>
        <v>5.7039999999999981E-3</v>
      </c>
      <c r="Z63" s="6">
        <f t="shared" si="0"/>
        <v>8.937127229883364E-2</v>
      </c>
      <c r="AA63" s="249">
        <f t="shared" si="0"/>
        <v>0.23122063065279472</v>
      </c>
      <c r="AB63" s="6">
        <f t="shared" si="0"/>
        <v>3.6527767969550548E-3</v>
      </c>
      <c r="AC63" s="250">
        <f t="shared" si="0"/>
        <v>3.6527767969550548E-3</v>
      </c>
      <c r="AD63" s="6">
        <f t="shared" si="0"/>
        <v>1.9597147515663867E-4</v>
      </c>
      <c r="AE63" s="14">
        <f t="shared" si="0"/>
        <v>3.5827652416800817E-3</v>
      </c>
    </row>
    <row r="64" spans="1:31" x14ac:dyDescent="0.25">
      <c r="A64" s="2" t="s">
        <v>236</v>
      </c>
      <c r="B64" s="2">
        <v>2104006010</v>
      </c>
      <c r="C64" s="2" t="s">
        <v>173</v>
      </c>
      <c r="D64" s="99">
        <v>6.4990552711092825E-4</v>
      </c>
      <c r="E64" s="99">
        <v>1.1107476281532245E-2</v>
      </c>
      <c r="F64" s="99">
        <v>7.0898784775737665E-5</v>
      </c>
      <c r="G64" s="99">
        <v>5.8529310125197298E-6</v>
      </c>
      <c r="H64" s="99">
        <v>5.8529310125197298E-6</v>
      </c>
      <c r="I64" s="99">
        <v>2.3632928258579219E-3</v>
      </c>
      <c r="J64" s="99">
        <v>4.7265856517158438E-3</v>
      </c>
      <c r="K64" s="49">
        <v>291.73882732240446</v>
      </c>
      <c r="L64" s="100">
        <v>287.42741608118689</v>
      </c>
      <c r="M64" s="49" t="s">
        <v>239</v>
      </c>
      <c r="N64" s="99">
        <v>6.4990552711092825E-4</v>
      </c>
      <c r="O64" s="99">
        <v>1.1107476281532245E-2</v>
      </c>
      <c r="P64" s="99">
        <v>7.0898784775737665E-5</v>
      </c>
      <c r="Q64" s="99">
        <v>5.8529310125197298E-6</v>
      </c>
      <c r="R64" s="99">
        <v>5.8529310125197298E-6</v>
      </c>
      <c r="S64" s="99">
        <v>2.3632928258579219E-3</v>
      </c>
      <c r="T64" s="99">
        <v>4.7265856517158438E-3</v>
      </c>
      <c r="U64" s="49">
        <v>291.73882732240446</v>
      </c>
      <c r="V64" s="100">
        <v>287.42741608118689</v>
      </c>
      <c r="W64" t="s">
        <v>239</v>
      </c>
      <c r="Y64" s="14">
        <f t="shared" si="1"/>
        <v>4.4553927434054499E-3</v>
      </c>
      <c r="Z64" s="6">
        <f t="shared" si="0"/>
        <v>7.6146712341838715E-2</v>
      </c>
      <c r="AA64" s="249">
        <f t="shared" si="0"/>
        <v>4.860428447351403E-4</v>
      </c>
      <c r="AB64" s="6">
        <f t="shared" si="0"/>
        <v>4.0124456975701614E-5</v>
      </c>
      <c r="AC64" s="250">
        <f t="shared" si="0"/>
        <v>4.0124456975701614E-5</v>
      </c>
      <c r="AD64" s="6">
        <f t="shared" si="0"/>
        <v>1.6201428157838007E-2</v>
      </c>
      <c r="AE64" s="14">
        <f t="shared" si="0"/>
        <v>3.2402856315676014E-2</v>
      </c>
    </row>
    <row r="65" spans="1:31" x14ac:dyDescent="0.25">
      <c r="A65" s="2" t="s">
        <v>236</v>
      </c>
      <c r="B65" s="2">
        <v>2103006000</v>
      </c>
      <c r="C65" s="2" t="s">
        <v>177</v>
      </c>
      <c r="D65" s="99">
        <v>7.2943884387197469E-3</v>
      </c>
      <c r="E65" s="99">
        <v>0.13262524434035908</v>
      </c>
      <c r="F65" s="99">
        <v>7.9575146604215358E-4</v>
      </c>
      <c r="G65" s="99">
        <v>1.0079518569867291E-2</v>
      </c>
      <c r="H65" s="99">
        <v>1.0079518569867291E-2</v>
      </c>
      <c r="I65" s="99">
        <v>2.6525048868071794E-2</v>
      </c>
      <c r="J65" s="99">
        <v>5.3050097736143588E-2</v>
      </c>
      <c r="K65" s="49">
        <v>2692.2924601092891</v>
      </c>
      <c r="L65" s="100">
        <v>2652.5048868071826</v>
      </c>
      <c r="M65" s="49" t="s">
        <v>239</v>
      </c>
      <c r="N65" s="99">
        <v>7.2943884387197469E-3</v>
      </c>
      <c r="O65" s="99">
        <v>0.13262524434035908</v>
      </c>
      <c r="P65" s="99">
        <v>7.9575146604215358E-4</v>
      </c>
      <c r="Q65" s="99">
        <v>1.0079518569867291E-2</v>
      </c>
      <c r="R65" s="99">
        <v>1.0079518569867291E-2</v>
      </c>
      <c r="S65" s="99">
        <v>2.6525048868071794E-2</v>
      </c>
      <c r="T65" s="99">
        <v>5.3050097736143588E-2</v>
      </c>
      <c r="U65" s="49">
        <v>2692.2924601092891</v>
      </c>
      <c r="V65" s="100">
        <v>2652.5048868071826</v>
      </c>
      <c r="W65" t="s">
        <v>239</v>
      </c>
      <c r="Y65" s="14">
        <f t="shared" si="1"/>
        <v>5.4187192118226582E-3</v>
      </c>
      <c r="Z65" s="6">
        <f t="shared" si="0"/>
        <v>9.8522167487684734E-2</v>
      </c>
      <c r="AA65" s="249">
        <f t="shared" si="0"/>
        <v>5.9113300492610768E-4</v>
      </c>
      <c r="AB65" s="6">
        <f t="shared" si="0"/>
        <v>7.4876847290640414E-3</v>
      </c>
      <c r="AC65" s="250">
        <f t="shared" si="0"/>
        <v>7.4876847290640414E-3</v>
      </c>
      <c r="AD65" s="6">
        <f t="shared" si="0"/>
        <v>1.9704433497536932E-2</v>
      </c>
      <c r="AE65" s="14">
        <f t="shared" si="0"/>
        <v>3.9408866995073864E-2</v>
      </c>
    </row>
    <row r="66" spans="1:31" x14ac:dyDescent="0.25">
      <c r="A66" s="2" t="s">
        <v>236</v>
      </c>
      <c r="B66" s="2">
        <v>2104002000</v>
      </c>
      <c r="C66" s="2" t="s">
        <v>179</v>
      </c>
      <c r="D66" s="99">
        <v>0.13977169397238534</v>
      </c>
      <c r="E66" s="99">
        <v>6.5972239554965895E-2</v>
      </c>
      <c r="F66" s="99">
        <v>0.12998767539431832</v>
      </c>
      <c r="G66" s="99">
        <v>0.11167758348393585</v>
      </c>
      <c r="H66" s="99">
        <v>0.11167758348393585</v>
      </c>
      <c r="I66" s="99">
        <v>1.7694397598434126E-2</v>
      </c>
      <c r="J66" s="99">
        <v>1.8250688940444211</v>
      </c>
      <c r="K66" s="49">
        <v>424.90594967605148</v>
      </c>
      <c r="L66" s="100">
        <v>27.954338794477067</v>
      </c>
      <c r="M66" s="49" t="s">
        <v>237</v>
      </c>
      <c r="N66" s="99">
        <v>0.12253777866728335</v>
      </c>
      <c r="O66" s="99">
        <v>5.7837831530957728E-2</v>
      </c>
      <c r="P66" s="99">
        <v>0.11396013416057345</v>
      </c>
      <c r="Q66" s="99">
        <v>9.7907685155159352E-2</v>
      </c>
      <c r="R66" s="99">
        <v>9.7907685155159352E-2</v>
      </c>
      <c r="S66" s="99">
        <v>1.5512670090384732E-2</v>
      </c>
      <c r="T66" s="99">
        <v>1.6000370449480519</v>
      </c>
      <c r="U66" s="49">
        <v>372.51484714854132</v>
      </c>
      <c r="V66" s="100">
        <v>24.507555733456662</v>
      </c>
      <c r="W66" t="s">
        <v>237</v>
      </c>
      <c r="Y66" s="14">
        <f t="shared" si="1"/>
        <v>0.65789473684210531</v>
      </c>
      <c r="Z66" s="6">
        <f t="shared" si="1"/>
        <v>0.31052631578947365</v>
      </c>
      <c r="AA66" s="249">
        <f t="shared" si="1"/>
        <v>0.61184210526315763</v>
      </c>
      <c r="AB66" s="6">
        <f t="shared" si="1"/>
        <v>0.52565789473684188</v>
      </c>
      <c r="AC66" s="250">
        <f t="shared" si="1"/>
        <v>0.52565789473684188</v>
      </c>
      <c r="AD66" s="6">
        <f t="shared" si="1"/>
        <v>8.3286184210526304E-2</v>
      </c>
      <c r="AE66" s="14">
        <f t="shared" si="1"/>
        <v>8.5904605263157894</v>
      </c>
    </row>
    <row r="67" spans="1:31" x14ac:dyDescent="0.25">
      <c r="A67" s="2" t="s">
        <v>236</v>
      </c>
      <c r="B67" s="2">
        <v>2103002000</v>
      </c>
      <c r="C67" s="2" t="s">
        <v>233</v>
      </c>
      <c r="D67" s="99">
        <v>3.4838015202202628E-4</v>
      </c>
      <c r="E67" s="99">
        <v>1.6443543175439639E-4</v>
      </c>
      <c r="F67" s="99">
        <v>3.239935413804844E-4</v>
      </c>
      <c r="G67" s="99">
        <v>2.7835574146559892E-4</v>
      </c>
      <c r="H67" s="99">
        <v>2.7835574146559892E-4</v>
      </c>
      <c r="I67" s="99">
        <v>4.4103185345228471E-5</v>
      </c>
      <c r="J67" s="99">
        <v>4.5489738350276074E-3</v>
      </c>
      <c r="K67" s="49">
        <v>16.015711428952528</v>
      </c>
      <c r="L67" s="100">
        <v>1.0590756621469597</v>
      </c>
      <c r="M67" s="49" t="s">
        <v>237</v>
      </c>
      <c r="N67" s="99">
        <v>3.2922344900610873E-4</v>
      </c>
      <c r="O67" s="99">
        <v>1.5539346793088337E-4</v>
      </c>
      <c r="P67" s="99">
        <v>3.0617780757568117E-4</v>
      </c>
      <c r="Q67" s="99">
        <v>2.6304953575588091E-4</v>
      </c>
      <c r="R67" s="99">
        <v>2.6304953575588091E-4</v>
      </c>
      <c r="S67" s="99">
        <v>4.1678042526928352E-5</v>
      </c>
      <c r="T67" s="99">
        <v>4.2988351853972652E-3</v>
      </c>
      <c r="U67" s="49">
        <v>15.130518495993016</v>
      </c>
      <c r="V67" s="100">
        <v>1.0008392849785708</v>
      </c>
      <c r="W67" t="s">
        <v>237</v>
      </c>
      <c r="Y67" s="14"/>
      <c r="Z67" s="6"/>
      <c r="AA67" s="249"/>
      <c r="AB67" s="6"/>
      <c r="AC67" s="250"/>
      <c r="AD67" s="6"/>
      <c r="AE67" s="14"/>
    </row>
    <row r="68" spans="1:31" x14ac:dyDescent="0.25">
      <c r="A68" s="2" t="s">
        <v>236</v>
      </c>
      <c r="B68" s="2">
        <v>2103008000</v>
      </c>
      <c r="C68" s="2" t="s">
        <v>234</v>
      </c>
      <c r="D68" s="99">
        <v>1.0645223161162029E-3</v>
      </c>
      <c r="E68" s="99">
        <v>4.2325140919862265E-5</v>
      </c>
      <c r="F68" s="99">
        <v>9.227066009456588E-6</v>
      </c>
      <c r="G68" s="99">
        <v>2.9937064250054856E-4</v>
      </c>
      <c r="H68" s="99">
        <v>2.9937064250054856E-4</v>
      </c>
      <c r="I68" s="99">
        <v>1.0961826058757602E-5</v>
      </c>
      <c r="J68" s="99">
        <v>2.1293167390460895E-3</v>
      </c>
      <c r="K68" s="49">
        <v>9.6654102131207296</v>
      </c>
      <c r="L68" s="100">
        <v>0.79814120981799463</v>
      </c>
      <c r="M68" s="49" t="s">
        <v>237</v>
      </c>
      <c r="N68" s="99">
        <v>8.7269646582558823E-4</v>
      </c>
      <c r="O68" s="99">
        <v>3.5510956409239793E-5</v>
      </c>
      <c r="P68" s="99">
        <v>7.5369704121824448E-6</v>
      </c>
      <c r="Q68" s="99">
        <v>2.5766689106639578E-4</v>
      </c>
      <c r="R68" s="99">
        <v>2.5766689106639578E-4</v>
      </c>
      <c r="S68" s="99">
        <v>9.931887845632114E-6</v>
      </c>
      <c r="T68" s="99">
        <v>1.8733911971619832E-3</v>
      </c>
      <c r="U68" s="49">
        <v>7.8950243472016979</v>
      </c>
      <c r="V68" s="100">
        <v>0.65194794065378137</v>
      </c>
      <c r="W68" t="s">
        <v>237</v>
      </c>
      <c r="Y68" s="14"/>
      <c r="Z68" s="6"/>
      <c r="AA68" s="249"/>
      <c r="AB68" s="6"/>
      <c r="AC68" s="250"/>
      <c r="AD68" s="6"/>
      <c r="AE68" s="14"/>
    </row>
    <row r="69" spans="1:31" x14ac:dyDescent="0.25">
      <c r="A69" s="15" t="s">
        <v>236</v>
      </c>
      <c r="B69" s="15">
        <v>2102012000</v>
      </c>
      <c r="C69" s="15" t="s">
        <v>184</v>
      </c>
      <c r="D69" s="101">
        <v>4.5454071442014882E-4</v>
      </c>
      <c r="E69" s="101">
        <v>2.3729271934124715E-2</v>
      </c>
      <c r="F69" s="101">
        <v>1.6802202817214628E-2</v>
      </c>
      <c r="G69" s="101">
        <v>2.3655128992506407E-3</v>
      </c>
      <c r="H69" s="101">
        <v>2.3655128992506407E-3</v>
      </c>
      <c r="I69" s="101">
        <v>1.6537406597149251E-5</v>
      </c>
      <c r="J69" s="101">
        <v>5.648986028061233E-3</v>
      </c>
      <c r="K69" s="94">
        <v>125.9077778943812</v>
      </c>
      <c r="L69" s="102">
        <v>0.90908142884029708</v>
      </c>
      <c r="M69" s="94" t="s">
        <v>238</v>
      </c>
      <c r="N69" s="101">
        <v>4.5454071442014882E-4</v>
      </c>
      <c r="O69" s="101">
        <v>2.3729271934124715E-2</v>
      </c>
      <c r="P69" s="101">
        <v>1.6802202817214628E-2</v>
      </c>
      <c r="Q69" s="101">
        <v>2.3655128992506407E-3</v>
      </c>
      <c r="R69" s="101">
        <v>2.3655128992506407E-3</v>
      </c>
      <c r="S69" s="101">
        <v>1.6537406597149251E-5</v>
      </c>
      <c r="T69" s="101">
        <v>5.648986028061233E-3</v>
      </c>
      <c r="U69" s="94">
        <v>125.9077778943812</v>
      </c>
      <c r="V69" s="102">
        <v>0.90908142884029708</v>
      </c>
      <c r="W69" s="5" t="s">
        <v>238</v>
      </c>
      <c r="Y69" s="251">
        <f t="shared" si="1"/>
        <v>7.2202166064981961E-3</v>
      </c>
      <c r="Z69" s="252">
        <f t="shared" si="1"/>
        <v>0.37693099395384794</v>
      </c>
      <c r="AA69" s="253">
        <f t="shared" si="1"/>
        <v>0.26689697964980841</v>
      </c>
      <c r="AB69" s="252">
        <f t="shared" si="1"/>
        <v>3.7575325985579243E-2</v>
      </c>
      <c r="AC69" s="254">
        <f t="shared" si="1"/>
        <v>3.7575325985579243E-2</v>
      </c>
      <c r="AD69" s="252">
        <f t="shared" si="1"/>
        <v>2.6269078644246735E-4</v>
      </c>
      <c r="AE69" s="251">
        <f t="shared" si="1"/>
        <v>8.9732121756607178E-2</v>
      </c>
    </row>
    <row r="70" spans="1:31" x14ac:dyDescent="0.25">
      <c r="A70" s="17" t="s">
        <v>236</v>
      </c>
      <c r="B70" s="17" t="s">
        <v>219</v>
      </c>
      <c r="C70" s="17"/>
      <c r="D70" s="103">
        <v>10.975165918803398</v>
      </c>
      <c r="E70" s="103">
        <v>3.0038373081055858</v>
      </c>
      <c r="F70" s="103">
        <v>4.6625884430711793</v>
      </c>
      <c r="G70" s="103">
        <v>3.1559084749584612</v>
      </c>
      <c r="H70" s="103">
        <v>3.1559084749584612</v>
      </c>
      <c r="I70" s="103">
        <v>0.16149556702797738</v>
      </c>
      <c r="J70" s="103">
        <v>33.544558709608772</v>
      </c>
      <c r="K70" s="93">
        <v>59671.252805352633</v>
      </c>
      <c r="L70" s="93"/>
      <c r="M70" s="93"/>
      <c r="N70" s="103">
        <v>9.8835894448188668</v>
      </c>
      <c r="O70" s="103">
        <v>2.8038157165245625</v>
      </c>
      <c r="P70" s="103">
        <v>4.320503062337508</v>
      </c>
      <c r="Q70" s="103">
        <v>2.806623905552601</v>
      </c>
      <c r="R70" s="103">
        <v>2.806623905552601</v>
      </c>
      <c r="S70" s="103">
        <v>0.14709085521109524</v>
      </c>
      <c r="T70" s="103">
        <v>29.588387681952984</v>
      </c>
      <c r="U70" s="93">
        <v>55572.943262253139</v>
      </c>
      <c r="Y70" s="14">
        <f t="shared" si="1"/>
        <v>0.35569789414166614</v>
      </c>
      <c r="Z70" s="6">
        <f t="shared" si="1"/>
        <v>0.10090578443157611</v>
      </c>
      <c r="AA70" s="249">
        <f t="shared" si="1"/>
        <v>0.15548944535648257</v>
      </c>
      <c r="AB70" s="6">
        <f t="shared" si="1"/>
        <v>0.10100684760596249</v>
      </c>
      <c r="AC70" s="250">
        <f t="shared" si="1"/>
        <v>0.10100684760596249</v>
      </c>
      <c r="AD70" s="6">
        <f t="shared" si="1"/>
        <v>5.2936139990628819E-3</v>
      </c>
      <c r="AE70" s="14">
        <f t="shared" si="1"/>
        <v>1.0648486815723626</v>
      </c>
    </row>
    <row r="71" spans="1:31" x14ac:dyDescent="0.25">
      <c r="R71" s="99"/>
      <c r="T71" s="1" t="s">
        <v>33</v>
      </c>
      <c r="U71" s="49">
        <f>SUM(U50:U60,U62:U64,U66)</f>
        <v>41363.259371979409</v>
      </c>
      <c r="V71" t="s">
        <v>616</v>
      </c>
    </row>
    <row r="72" spans="1:31" x14ac:dyDescent="0.25">
      <c r="L72" s="100"/>
      <c r="U72" s="49" t="e">
        <f ca="1">U71/OFFSET(#REF!,0,MATCH(VALUE(RIGHT(A2,4)),#REF!,0))*10^6</f>
        <v>#REF!</v>
      </c>
      <c r="V72" t="s">
        <v>617</v>
      </c>
      <c r="Y72" s="503" t="s">
        <v>595</v>
      </c>
      <c r="Z72" s="503"/>
      <c r="AA72" s="503"/>
      <c r="AB72" s="503"/>
      <c r="AC72" s="503"/>
      <c r="AD72" s="503"/>
      <c r="AE72" s="503"/>
    </row>
    <row r="73" spans="1:31" x14ac:dyDescent="0.25">
      <c r="I73" s="503" t="s">
        <v>598</v>
      </c>
      <c r="J73" s="503"/>
      <c r="K73" s="503"/>
      <c r="L73" s="503"/>
      <c r="M73" s="503"/>
      <c r="N73" s="503"/>
      <c r="O73" s="503"/>
      <c r="P73" s="503"/>
      <c r="Q73" s="503"/>
      <c r="R73" s="503"/>
      <c r="S73" s="503"/>
      <c r="T73" s="503"/>
      <c r="U73" s="503"/>
      <c r="Y73" s="15" t="s">
        <v>99</v>
      </c>
      <c r="Z73" s="15" t="s">
        <v>100</v>
      </c>
      <c r="AA73" s="255" t="s">
        <v>101</v>
      </c>
      <c r="AB73" s="15" t="s">
        <v>102</v>
      </c>
      <c r="AC73" s="256" t="s">
        <v>103</v>
      </c>
      <c r="AD73" s="15" t="s">
        <v>104</v>
      </c>
      <c r="AE73" s="15" t="s">
        <v>105</v>
      </c>
    </row>
    <row r="74" spans="1:31" x14ac:dyDescent="0.25">
      <c r="I74" s="17"/>
      <c r="J74" s="17"/>
      <c r="K74" s="17"/>
      <c r="L74" s="17"/>
      <c r="M74" s="1" t="s">
        <v>1536</v>
      </c>
      <c r="N74" s="99">
        <f t="shared" ref="N74:P74" si="2">SUM(N50,N51,N54, N59,N66)</f>
        <v>8.0038773813658963</v>
      </c>
      <c r="O74" s="99">
        <f t="shared" si="2"/>
        <v>0.21049955501249468</v>
      </c>
      <c r="P74" s="99">
        <f t="shared" si="2"/>
        <v>0.14774378227844578</v>
      </c>
      <c r="Q74" s="99">
        <f>SUM(Q50,Q51,Q54, Q59,Q66)</f>
        <v>1.5579055767908105</v>
      </c>
      <c r="R74" s="99">
        <f t="shared" ref="R74:U74" si="3">SUM(R50,R51,R54, R59,R66)</f>
        <v>1.5579055767908105</v>
      </c>
      <c r="S74" s="99">
        <f t="shared" si="3"/>
        <v>7.6168898167923563E-2</v>
      </c>
      <c r="T74" s="99">
        <f t="shared" si="3"/>
        <v>13.16972138882366</v>
      </c>
      <c r="U74" s="49">
        <f t="shared" si="3"/>
        <v>3084.354655060456</v>
      </c>
      <c r="Y74" s="14">
        <f t="shared" ref="Y74:AE81" si="4">N74/$U74*2000</f>
        <v>5.1899851194051569</v>
      </c>
      <c r="Z74" s="6">
        <f t="shared" si="4"/>
        <v>0.13649503935426563</v>
      </c>
      <c r="AA74" s="249">
        <f t="shared" si="4"/>
        <v>9.5802071292965418E-2</v>
      </c>
      <c r="AB74" s="6">
        <f t="shared" si="4"/>
        <v>1.0101987294066701</v>
      </c>
      <c r="AC74" s="250">
        <f t="shared" si="4"/>
        <v>1.0101987294066701</v>
      </c>
      <c r="AD74" s="6">
        <f t="shared" si="4"/>
        <v>4.9390492784579333E-2</v>
      </c>
      <c r="AE74" s="14">
        <f t="shared" si="4"/>
        <v>8.5396932983801257</v>
      </c>
    </row>
    <row r="75" spans="1:31" x14ac:dyDescent="0.25">
      <c r="M75" s="1" t="s">
        <v>588</v>
      </c>
      <c r="N75" s="99">
        <f t="shared" ref="N75:U75" si="5">SUM(N52:N53,N55:N56)</f>
        <v>1.7016621161578103</v>
      </c>
      <c r="O75" s="99">
        <f t="shared" si="5"/>
        <v>0.21092937416539626</v>
      </c>
      <c r="P75" s="99">
        <f t="shared" si="5"/>
        <v>5.1850593200240887E-2</v>
      </c>
      <c r="Q75" s="99">
        <f t="shared" si="5"/>
        <v>1.0947214482861007</v>
      </c>
      <c r="R75" s="99">
        <f t="shared" si="5"/>
        <v>1.0947214482861007</v>
      </c>
      <c r="S75" s="99">
        <f t="shared" si="5"/>
        <v>3.6331526444712589E-2</v>
      </c>
      <c r="T75" s="99">
        <f t="shared" si="5"/>
        <v>16.05427111776272</v>
      </c>
      <c r="U75" s="49">
        <f t="shared" si="5"/>
        <v>4162.3406971127097</v>
      </c>
      <c r="Y75" s="14">
        <f t="shared" si="4"/>
        <v>0.81764672331517796</v>
      </c>
      <c r="Z75" s="6">
        <f t="shared" si="4"/>
        <v>0.10135132585937119</v>
      </c>
      <c r="AA75" s="249">
        <f t="shared" si="4"/>
        <v>2.4914151422639707E-2</v>
      </c>
      <c r="AB75" s="6">
        <f t="shared" si="4"/>
        <v>0.52601241846707847</v>
      </c>
      <c r="AC75" s="250">
        <f t="shared" si="4"/>
        <v>0.52601241846707847</v>
      </c>
      <c r="AD75" s="6">
        <f t="shared" si="4"/>
        <v>1.7457257388812347E-2</v>
      </c>
      <c r="AE75" s="14">
        <f t="shared" si="4"/>
        <v>7.7140591249049288</v>
      </c>
    </row>
    <row r="76" spans="1:31" x14ac:dyDescent="0.25">
      <c r="M76" s="1" t="s">
        <v>589</v>
      </c>
      <c r="N76" s="99">
        <f t="shared" ref="N76:V76" si="6">SUM(N60,N62:N63)</f>
        <v>8.8158081696554411E-2</v>
      </c>
      <c r="O76" s="99">
        <f t="shared" si="6"/>
        <v>1.3868774574926483</v>
      </c>
      <c r="P76" s="99">
        <f t="shared" si="6"/>
        <v>3.573626796461765</v>
      </c>
      <c r="Q76" s="99">
        <f t="shared" si="6"/>
        <v>5.6409010005791051E-2</v>
      </c>
      <c r="R76" s="99">
        <f t="shared" si="6"/>
        <v>5.6409010005791051E-2</v>
      </c>
      <c r="S76" s="99">
        <f t="shared" si="6"/>
        <v>3.0288340317414508E-3</v>
      </c>
      <c r="T76" s="99">
        <f t="shared" si="6"/>
        <v>5.5373371471880824E-2</v>
      </c>
      <c r="U76" s="49">
        <f t="shared" si="6"/>
        <v>33142.099180247023</v>
      </c>
      <c r="V76" s="100">
        <f t="shared" si="6"/>
        <v>247.28774669440239</v>
      </c>
      <c r="W76" t="s">
        <v>238</v>
      </c>
      <c r="Y76" s="14">
        <f t="shared" si="4"/>
        <v>5.3200059065116427E-3</v>
      </c>
      <c r="Z76" s="6">
        <f t="shared" si="4"/>
        <v>8.3692795073115903E-2</v>
      </c>
      <c r="AA76" s="249">
        <f t="shared" si="4"/>
        <v>0.21565482482121573</v>
      </c>
      <c r="AB76" s="6">
        <f t="shared" si="4"/>
        <v>3.4040698326925113E-3</v>
      </c>
      <c r="AC76" s="250">
        <f t="shared" si="4"/>
        <v>3.4040698326925113E-3</v>
      </c>
      <c r="AD76" s="6">
        <f t="shared" si="4"/>
        <v>1.8277864750019588E-4</v>
      </c>
      <c r="AE76" s="14">
        <f t="shared" si="4"/>
        <v>3.3415729746463273E-3</v>
      </c>
    </row>
    <row r="77" spans="1:31" x14ac:dyDescent="0.25">
      <c r="M77" s="1" t="s">
        <v>590</v>
      </c>
      <c r="N77" s="99">
        <f t="shared" ref="N77:U77" si="7">SUM(N64,N66)</f>
        <v>0.12318768419439428</v>
      </c>
      <c r="O77" s="99">
        <f t="shared" si="7"/>
        <v>6.8945307812489975E-2</v>
      </c>
      <c r="P77" s="99">
        <f t="shared" si="7"/>
        <v>0.11403103294534919</v>
      </c>
      <c r="Q77" s="99">
        <f t="shared" si="7"/>
        <v>9.791353808617187E-2</v>
      </c>
      <c r="R77" s="99">
        <f t="shared" si="7"/>
        <v>9.791353808617187E-2</v>
      </c>
      <c r="S77" s="99">
        <f t="shared" si="7"/>
        <v>1.7875962916242653E-2</v>
      </c>
      <c r="T77" s="99">
        <f t="shared" si="7"/>
        <v>1.6047636305997677</v>
      </c>
      <c r="U77" s="49">
        <f t="shared" si="7"/>
        <v>664.25367447094573</v>
      </c>
      <c r="Y77" s="14">
        <f t="shared" si="4"/>
        <v>0.37090554084630051</v>
      </c>
      <c r="Z77" s="6">
        <f t="shared" si="4"/>
        <v>0.20758728317883207</v>
      </c>
      <c r="AA77" s="249">
        <f t="shared" si="4"/>
        <v>0.34333579874035569</v>
      </c>
      <c r="AB77" s="6">
        <f t="shared" si="4"/>
        <v>0.29480766715865442</v>
      </c>
      <c r="AC77" s="250">
        <f t="shared" si="4"/>
        <v>0.29480766715865442</v>
      </c>
      <c r="AD77" s="6">
        <f t="shared" si="4"/>
        <v>5.3822699379059417E-2</v>
      </c>
      <c r="AE77" s="14">
        <f t="shared" si="4"/>
        <v>4.8317794609955431</v>
      </c>
    </row>
    <row r="78" spans="1:31" x14ac:dyDescent="0.25">
      <c r="M78" s="1" t="s">
        <v>591</v>
      </c>
      <c r="N78" s="99">
        <f t="shared" ref="N78:V78" si="8">N61</f>
        <v>2.9262493256394771E-2</v>
      </c>
      <c r="O78" s="99">
        <f t="shared" si="8"/>
        <v>0.73874457028766605</v>
      </c>
      <c r="P78" s="99">
        <f t="shared" si="8"/>
        <v>0.52217749537133507</v>
      </c>
      <c r="Q78" s="99">
        <f t="shared" si="8"/>
        <v>1.8739368230717493E-2</v>
      </c>
      <c r="R78" s="99">
        <f t="shared" si="8"/>
        <v>1.8739368230717493E-2</v>
      </c>
      <c r="S78" s="99">
        <f t="shared" si="8"/>
        <v>1.0053671055779935E-3</v>
      </c>
      <c r="T78" s="99">
        <f t="shared" si="8"/>
        <v>1.8380197006295413E-2</v>
      </c>
      <c r="U78" s="49">
        <f t="shared" si="8"/>
        <v>11368.458109426863</v>
      </c>
      <c r="V78" s="100">
        <f t="shared" si="8"/>
        <v>84.706073476719965</v>
      </c>
      <c r="W78" t="s">
        <v>238</v>
      </c>
      <c r="Y78" s="14">
        <f t="shared" si="4"/>
        <v>5.1480144404332118E-3</v>
      </c>
      <c r="Z78" s="6">
        <f t="shared" si="4"/>
        <v>0.12996389891696747</v>
      </c>
      <c r="AA78" s="249">
        <f t="shared" si="4"/>
        <v>9.1864259927797801E-2</v>
      </c>
      <c r="AB78" s="6">
        <f t="shared" si="4"/>
        <v>3.2967299611507705E-3</v>
      </c>
      <c r="AC78" s="250">
        <f t="shared" si="4"/>
        <v>3.2967299611507705E-3</v>
      </c>
      <c r="AD78" s="6">
        <f t="shared" si="4"/>
        <v>1.7686956241573883E-4</v>
      </c>
      <c r="AE78" s="14">
        <f t="shared" si="4"/>
        <v>3.2335426368953818E-3</v>
      </c>
    </row>
    <row r="79" spans="1:31" x14ac:dyDescent="0.25">
      <c r="M79" s="1" t="s">
        <v>592</v>
      </c>
      <c r="N79" s="99">
        <f t="shared" ref="N79:V79" si="9">SUM(N50:N59,N68)</f>
        <v>9.6349030330693779</v>
      </c>
      <c r="O79" s="99">
        <f t="shared" si="9"/>
        <v>0.45273847118934324</v>
      </c>
      <c r="P79" s="99">
        <f t="shared" si="9"/>
        <v>9.2763605468225777E-2</v>
      </c>
      <c r="Q79" s="99">
        <f t="shared" si="9"/>
        <v>2.6208539082250466</v>
      </c>
      <c r="R79" s="99">
        <f t="shared" si="9"/>
        <v>2.6208539082250466</v>
      </c>
      <c r="S79" s="99">
        <f t="shared" si="9"/>
        <v>9.859742684033726E-2</v>
      </c>
      <c r="T79" s="99">
        <f t="shared" si="9"/>
        <v>27.846872563925437</v>
      </c>
      <c r="U79" s="49">
        <f t="shared" si="9"/>
        <v>7564.8015416086409</v>
      </c>
      <c r="V79" s="100">
        <f t="shared" si="9"/>
        <v>673.07900897884292</v>
      </c>
      <c r="W79" t="s">
        <v>743</v>
      </c>
      <c r="Y79" s="14">
        <f t="shared" si="4"/>
        <v>2.5472982946279736</v>
      </c>
      <c r="Z79" s="6">
        <f t="shared" si="4"/>
        <v>0.1196960604185445</v>
      </c>
      <c r="AA79" s="249">
        <f t="shared" si="4"/>
        <v>2.4525059899588527E-2</v>
      </c>
      <c r="AB79" s="6">
        <f t="shared" si="4"/>
        <v>0.6929075121956807</v>
      </c>
      <c r="AC79" s="250">
        <f t="shared" si="4"/>
        <v>0.6929075121956807</v>
      </c>
      <c r="AD79" s="6">
        <f t="shared" si="4"/>
        <v>2.6067419296599472E-2</v>
      </c>
      <c r="AE79" s="14">
        <f t="shared" si="4"/>
        <v>7.3622215760081531</v>
      </c>
    </row>
    <row r="80" spans="1:31" x14ac:dyDescent="0.25">
      <c r="M80" s="1" t="s">
        <v>593</v>
      </c>
      <c r="N80" s="99">
        <f t="shared" ref="N80:U80" si="10">SUM(N65,N67,N69)</f>
        <v>8.0781526021460048E-3</v>
      </c>
      <c r="O80" s="99">
        <f t="shared" si="10"/>
        <v>0.15650990974241469</v>
      </c>
      <c r="P80" s="99">
        <f t="shared" si="10"/>
        <v>1.7904132090832463E-2</v>
      </c>
      <c r="Q80" s="99">
        <f t="shared" si="10"/>
        <v>1.2708081004873813E-2</v>
      </c>
      <c r="R80" s="99">
        <f t="shared" si="10"/>
        <v>1.2708081004873813E-2</v>
      </c>
      <c r="S80" s="99">
        <f t="shared" si="10"/>
        <v>2.6583264317195873E-2</v>
      </c>
      <c r="T80" s="99">
        <f t="shared" si="10"/>
        <v>6.2997918949602091E-2</v>
      </c>
      <c r="U80" s="49">
        <f t="shared" si="10"/>
        <v>2833.330756499663</v>
      </c>
      <c r="Y80" s="14">
        <f t="shared" si="4"/>
        <v>5.7022305522323622E-3</v>
      </c>
      <c r="Z80" s="6">
        <f t="shared" si="4"/>
        <v>0.11047768382380406</v>
      </c>
      <c r="AA80" s="249">
        <f t="shared" si="4"/>
        <v>1.2638222381739492E-2</v>
      </c>
      <c r="AB80" s="6">
        <f t="shared" si="4"/>
        <v>8.9704182794200522E-3</v>
      </c>
      <c r="AC80" s="250">
        <f t="shared" si="4"/>
        <v>8.9704182794200522E-3</v>
      </c>
      <c r="AD80" s="6">
        <f t="shared" si="4"/>
        <v>1.8764674231000981E-2</v>
      </c>
      <c r="AE80" s="14">
        <f t="shared" si="4"/>
        <v>4.4469159701940777E-2</v>
      </c>
    </row>
    <row r="81" spans="13:31" x14ac:dyDescent="0.25">
      <c r="M81" s="1" t="s">
        <v>594</v>
      </c>
      <c r="N81" s="99">
        <f>SUM(N76:N80)</f>
        <v>9.8835894448188668</v>
      </c>
      <c r="O81" s="99">
        <f t="shared" ref="O81:U81" si="11">SUM(O76:O80)</f>
        <v>2.8038157165245621</v>
      </c>
      <c r="P81" s="99">
        <f t="shared" si="11"/>
        <v>4.3205030623375071</v>
      </c>
      <c r="Q81" s="99">
        <f t="shared" si="11"/>
        <v>2.806623905552601</v>
      </c>
      <c r="R81" s="99">
        <f t="shared" si="11"/>
        <v>2.806623905552601</v>
      </c>
      <c r="S81" s="99">
        <f t="shared" si="11"/>
        <v>0.14709085521109522</v>
      </c>
      <c r="T81" s="99">
        <f t="shared" si="11"/>
        <v>29.588387681952984</v>
      </c>
      <c r="U81" s="49">
        <f t="shared" si="11"/>
        <v>55572.943262253139</v>
      </c>
      <c r="Y81" s="14">
        <f t="shared" si="4"/>
        <v>0.35569789414166614</v>
      </c>
      <c r="Z81" s="6">
        <f t="shared" si="4"/>
        <v>0.10090578443157609</v>
      </c>
      <c r="AA81" s="249">
        <f t="shared" si="4"/>
        <v>0.15548944535648254</v>
      </c>
      <c r="AB81" s="6">
        <f t="shared" si="4"/>
        <v>0.10100684760596249</v>
      </c>
      <c r="AC81" s="250">
        <f t="shared" si="4"/>
        <v>0.10100684760596249</v>
      </c>
      <c r="AD81" s="6">
        <f t="shared" si="4"/>
        <v>5.293613999062881E-3</v>
      </c>
      <c r="AE81" s="14">
        <f t="shared" si="4"/>
        <v>1.0648486815723626</v>
      </c>
    </row>
    <row r="83" spans="13:31" x14ac:dyDescent="0.25">
      <c r="V83" s="42">
        <f>V79/Lookup!B37</f>
        <v>399.98620822022173</v>
      </c>
      <c r="W83" t="s">
        <v>744</v>
      </c>
    </row>
    <row r="84" spans="13:31" x14ac:dyDescent="0.25">
      <c r="T84" s="1" t="s">
        <v>745</v>
      </c>
      <c r="U84" s="14">
        <v>1.930282922015446</v>
      </c>
      <c r="V84" s="49">
        <f>V83*365/U84</f>
        <v>75633.972789825406</v>
      </c>
      <c r="W84" t="s">
        <v>746</v>
      </c>
    </row>
  </sheetData>
  <sheetProtection algorithmName="SHA-512" hashValue="99U3Bw9yygmIqasixAgc9dSHHCNACWY7JQvi040bK7QCuqhxIQK5kGoNz/pIAYnAxL3foy7/MqvwP75Y2YWdFQ==" saltValue="t4uCWxmzxrU1P84MpXQk0g==" spinCount="100000" sheet="1" objects="1" scenarios="1"/>
  <mergeCells count="11">
    <mergeCell ref="Y48:AE48"/>
    <mergeCell ref="Y72:AE72"/>
    <mergeCell ref="I73:U73"/>
    <mergeCell ref="A1:W1"/>
    <mergeCell ref="A2:W2"/>
    <mergeCell ref="D3:K3"/>
    <mergeCell ref="N3:U3"/>
    <mergeCell ref="D4:J4"/>
    <mergeCell ref="K4:L4"/>
    <mergeCell ref="N4:T4"/>
    <mergeCell ref="U4:V4"/>
  </mergeCells>
  <printOptions horizontalCentered="1" verticalCentered="1"/>
  <pageMargins left="0" right="0" top="0.25" bottom="0.5" header="0.05" footer="0.3"/>
  <pageSetup scale="52" orientation="landscape" r:id="rId1"/>
  <headerFoot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52B7-8E35-469B-BE10-9D0A92EF2050}">
  <sheetPr codeName="Sheet3">
    <tabColor rgb="FFFFFFCC"/>
    <pageSetUpPr fitToPage="1"/>
  </sheetPr>
  <dimension ref="A1:W234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1619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08">
        <v>0.12</v>
      </c>
      <c r="E120" s="14" t="s">
        <v>1556</v>
      </c>
    </row>
    <row r="121" spans="1:8" x14ac:dyDescent="0.25">
      <c r="B121" s="1"/>
      <c r="C121" s="326" t="s">
        <v>718</v>
      </c>
      <c r="D121" s="408">
        <f>1-1/(1+D120)</f>
        <v>0.10714285714285721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-1617.2703535942587</v>
      </c>
      <c r="D145" s="49">
        <f ca="1">B145+C145</f>
        <v>13477.252946618815</v>
      </c>
      <c r="E145" s="329">
        <f ca="1">-D145*$D$128</f>
        <v>-563.39131058285147</v>
      </c>
      <c r="F145" s="330"/>
      <c r="G145" s="329">
        <f ca="1">B145*$B$68</f>
        <v>514.14458302037144</v>
      </c>
      <c r="H145" s="49">
        <f ca="1">SUM(D145:G145)</f>
        <v>13428.006219056335</v>
      </c>
      <c r="I145" s="428">
        <f ca="1">H145/B145-1</f>
        <v>-0.11040541314300489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-522.86029632522798</v>
      </c>
      <c r="D146" s="49">
        <f ca="1">B146+C146</f>
        <v>4357.1691360435634</v>
      </c>
      <c r="E146" s="329">
        <f ca="1">-D146*$D$128</f>
        <v>-182.14329282901778</v>
      </c>
      <c r="F146" s="330"/>
      <c r="G146" s="330"/>
      <c r="H146" s="49">
        <f ca="1">SUM(D146:G146)</f>
        <v>4175.0258432145456</v>
      </c>
      <c r="I146" s="428">
        <f ca="1">H146/B146-1</f>
        <v>-0.14446707728400587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E147/F138-E147</f>
        <v>53.211585672142888</v>
      </c>
      <c r="G147" s="284"/>
      <c r="H147" s="94">
        <f ca="1">SUM(D147:G147)</f>
        <v>3567.6464293318036</v>
      </c>
      <c r="I147" s="429">
        <f ca="1">H147/B147-1</f>
        <v>6.1041096025124419E-2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-2140.1306499194866</v>
      </c>
      <c r="D148" s="93">
        <f t="shared" ca="1" si="3"/>
        <v>21196.823824401632</v>
      </c>
      <c r="E148" s="93">
        <f t="shared" ca="1" si="3"/>
        <v>-593.501501491461</v>
      </c>
      <c r="F148" s="93">
        <f t="shared" ca="1" si="3"/>
        <v>53.211585672142888</v>
      </c>
      <c r="G148" s="93">
        <f t="shared" ca="1" si="3"/>
        <v>514.14458302037144</v>
      </c>
      <c r="H148" s="93">
        <f t="shared" ca="1" si="3"/>
        <v>21170.678491602685</v>
      </c>
      <c r="I148" s="430">
        <f ca="1">H148/B148-1</f>
        <v>-9.2825993430381115E-2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13.037294508348674</v>
      </c>
      <c r="C158" s="421">
        <f t="shared" ref="C158:H160" ca="1" si="6">C152*$H145*365/2000</f>
        <v>196.34469011799555</v>
      </c>
      <c r="D158" s="422">
        <f t="shared" ca="1" si="6"/>
        <v>3.8947317395207133</v>
      </c>
      <c r="E158" s="421">
        <f t="shared" ca="1" si="6"/>
        <v>1.1488139649373148</v>
      </c>
      <c r="F158" s="423">
        <f t="shared" ca="1" si="6"/>
        <v>1.1488139649373148</v>
      </c>
      <c r="G158" s="421">
        <f t="shared" ca="1" si="6"/>
        <v>0.44792037812984503</v>
      </c>
      <c r="H158" s="421">
        <f t="shared" ca="1" si="6"/>
        <v>8.1889140270088152</v>
      </c>
    </row>
    <row r="159" spans="1:9" x14ac:dyDescent="0.25">
      <c r="A159" t="s">
        <v>739</v>
      </c>
      <c r="B159" s="14">
        <f ca="1">B153*$H146*365/2000</f>
        <v>4.0535460447366392</v>
      </c>
      <c r="C159" s="14">
        <f t="shared" ca="1" si="6"/>
        <v>61.047347018446004</v>
      </c>
      <c r="D159" s="266">
        <f t="shared" ca="1" si="6"/>
        <v>1.2109471353841574</v>
      </c>
      <c r="E159" s="14">
        <f t="shared" ca="1" si="6"/>
        <v>0.35718839524011808</v>
      </c>
      <c r="F159" s="424">
        <f t="shared" ca="1" si="6"/>
        <v>0.35718839524011808</v>
      </c>
      <c r="G159" s="14">
        <f t="shared" ca="1" si="6"/>
        <v>0.13926707538611457</v>
      </c>
      <c r="H159" s="14">
        <f t="shared" ca="1" si="6"/>
        <v>2.5460911421164467</v>
      </c>
    </row>
    <row r="160" spans="1:9" x14ac:dyDescent="0.25">
      <c r="A160" s="5" t="s">
        <v>486</v>
      </c>
      <c r="B160" s="251">
        <f ca="1">B154*$H147*365/2000</f>
        <v>1658.3792863884689</v>
      </c>
      <c r="C160" s="251">
        <f t="shared" ca="1" si="6"/>
        <v>77.927047200037407</v>
      </c>
      <c r="D160" s="395">
        <f t="shared" ca="1" si="6"/>
        <v>15.966835749318864</v>
      </c>
      <c r="E160" s="251">
        <f t="shared" ca="1" si="6"/>
        <v>451.10997176703256</v>
      </c>
      <c r="F160" s="425">
        <f t="shared" ca="1" si="6"/>
        <v>451.10997176703256</v>
      </c>
      <c r="G160" s="251">
        <f t="shared" ca="1" si="6"/>
        <v>16.970868830254815</v>
      </c>
      <c r="H160" s="251">
        <f t="shared" ca="1" si="6"/>
        <v>4793.0954465871027</v>
      </c>
    </row>
    <row r="161" spans="1:12" x14ac:dyDescent="0.25">
      <c r="A161" s="91" t="s">
        <v>222</v>
      </c>
      <c r="B161" s="397">
        <f ca="1">SUM(B158:B160)</f>
        <v>1675.4701269415543</v>
      </c>
      <c r="C161" s="397">
        <f t="shared" ref="C161:H161" ca="1" si="7">SUM(C158:C160)</f>
        <v>335.31908433647897</v>
      </c>
      <c r="D161" s="426">
        <f t="shared" ca="1" si="7"/>
        <v>21.072514624223736</v>
      </c>
      <c r="E161" s="397">
        <f t="shared" ca="1" si="7"/>
        <v>452.61597412721</v>
      </c>
      <c r="F161" s="427">
        <f t="shared" ca="1" si="7"/>
        <v>452.61597412721</v>
      </c>
      <c r="G161" s="397">
        <f t="shared" ca="1" si="7"/>
        <v>17.558056283770775</v>
      </c>
      <c r="H161" s="397">
        <f t="shared" ca="1" si="7"/>
        <v>4803.8304517562283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-93.256295257186139</v>
      </c>
      <c r="C168" s="396">
        <f t="shared" ref="C168:H168" ca="1" si="8">(C$105-C$161)*$I168</f>
        <v>84.420095576858841</v>
      </c>
      <c r="D168" s="419">
        <f t="shared" ca="1" si="8"/>
        <v>669.86711054348621</v>
      </c>
      <c r="E168" s="396">
        <f t="shared" ca="1" si="8"/>
        <v>-15.144597419935792</v>
      </c>
      <c r="F168" s="420">
        <f t="shared" ca="1" si="8"/>
        <v>-15.144597419935792</v>
      </c>
      <c r="G168" s="396">
        <f t="shared" ca="1" si="8"/>
        <v>-0.90248030346930719</v>
      </c>
      <c r="H168" s="396">
        <f t="shared" ca="1" si="8"/>
        <v>-274.39405319661273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-93.256295257186139</v>
      </c>
      <c r="C169" s="396">
        <f t="shared" ca="1" si="10"/>
        <v>84.420095576858841</v>
      </c>
      <c r="D169" s="419">
        <f t="shared" ca="1" si="10"/>
        <v>669.86711054348621</v>
      </c>
      <c r="E169" s="396">
        <f t="shared" ca="1" si="10"/>
        <v>-15.144597419935792</v>
      </c>
      <c r="F169" s="420">
        <f t="shared" ca="1" si="10"/>
        <v>-15.144597419935792</v>
      </c>
      <c r="G169" s="396">
        <f t="shared" ca="1" si="10"/>
        <v>-0.90248030346930719</v>
      </c>
      <c r="H169" s="396">
        <f t="shared" ca="1" si="10"/>
        <v>-274.39405319661273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-93.256295257186139</v>
      </c>
      <c r="C170" s="396">
        <f t="shared" ca="1" si="10"/>
        <v>84.420095576858841</v>
      </c>
      <c r="D170" s="419">
        <f t="shared" ca="1" si="10"/>
        <v>669.86711054348621</v>
      </c>
      <c r="E170" s="396">
        <f t="shared" ca="1" si="10"/>
        <v>-15.144597419935792</v>
      </c>
      <c r="F170" s="420">
        <f t="shared" ca="1" si="10"/>
        <v>-15.144597419935792</v>
      </c>
      <c r="G170" s="396">
        <f t="shared" ca="1" si="10"/>
        <v>-0.90248030346930719</v>
      </c>
      <c r="H170" s="396">
        <f t="shared" ca="1" si="10"/>
        <v>-274.39405319661273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-93.256295257186139</v>
      </c>
      <c r="C171" s="396">
        <f t="shared" ca="1" si="10"/>
        <v>84.420095576858841</v>
      </c>
      <c r="D171" s="419">
        <f t="shared" ca="1" si="10"/>
        <v>669.86711054348621</v>
      </c>
      <c r="E171" s="396">
        <f t="shared" ca="1" si="10"/>
        <v>-15.144597419935792</v>
      </c>
      <c r="F171" s="420">
        <f t="shared" ca="1" si="10"/>
        <v>-15.144597419935792</v>
      </c>
      <c r="G171" s="396">
        <f t="shared" ca="1" si="10"/>
        <v>-0.90248030346930719</v>
      </c>
      <c r="H171" s="396">
        <f t="shared" ca="1" si="10"/>
        <v>-274.39405319661273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-93.256295257186139</v>
      </c>
      <c r="C172" s="396">
        <f t="shared" ca="1" si="10"/>
        <v>84.420095576858841</v>
      </c>
      <c r="D172" s="419">
        <f t="shared" ca="1" si="10"/>
        <v>669.86711054348621</v>
      </c>
      <c r="E172" s="396">
        <f t="shared" ca="1" si="10"/>
        <v>-15.144597419935792</v>
      </c>
      <c r="F172" s="420">
        <f t="shared" ca="1" si="10"/>
        <v>-15.144597419935792</v>
      </c>
      <c r="G172" s="396">
        <f t="shared" ca="1" si="10"/>
        <v>-0.90248030346930719</v>
      </c>
      <c r="H172" s="396">
        <f t="shared" ca="1" si="10"/>
        <v>-274.39405319661273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-93.256295257186139</v>
      </c>
      <c r="C173" s="396">
        <f t="shared" ca="1" si="10"/>
        <v>84.420095576858841</v>
      </c>
      <c r="D173" s="419">
        <f t="shared" ca="1" si="10"/>
        <v>669.86711054348621</v>
      </c>
      <c r="E173" s="396">
        <f t="shared" ca="1" si="10"/>
        <v>-15.144597419935792</v>
      </c>
      <c r="F173" s="420">
        <f t="shared" ca="1" si="10"/>
        <v>-15.144597419935792</v>
      </c>
      <c r="G173" s="396">
        <f t="shared" ca="1" si="10"/>
        <v>-0.90248030346930719</v>
      </c>
      <c r="H173" s="396">
        <f t="shared" ca="1" si="10"/>
        <v>-274.39405319661273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-93.256295257186139</v>
      </c>
      <c r="C174" s="396">
        <f t="shared" ca="1" si="10"/>
        <v>84.420095576858841</v>
      </c>
      <c r="D174" s="419">
        <f t="shared" ca="1" si="10"/>
        <v>669.86711054348621</v>
      </c>
      <c r="E174" s="396">
        <f t="shared" ca="1" si="10"/>
        <v>-15.144597419935792</v>
      </c>
      <c r="F174" s="420">
        <f t="shared" ca="1" si="10"/>
        <v>-15.144597419935792</v>
      </c>
      <c r="G174" s="396">
        <f t="shared" ca="1" si="10"/>
        <v>-0.90248030346930719</v>
      </c>
      <c r="H174" s="396">
        <f t="shared" ca="1" si="10"/>
        <v>-274.39405319661273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>
        <v>1.5</v>
      </c>
      <c r="S190" s="320">
        <v>100</v>
      </c>
      <c r="T190" s="337">
        <f>S190/R190</f>
        <v>66.666666666666671</v>
      </c>
      <c r="U190" s="320">
        <f ca="1">T190*B190</f>
        <v>2160588.3268348621</v>
      </c>
      <c r="V190" s="302">
        <f ca="1">Q190+T190</f>
        <v>3694.8169167431506</v>
      </c>
      <c r="W190" s="294">
        <f ca="1">P190+U190</f>
        <v>119744674.50160842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>
        <v>1.5</v>
      </c>
      <c r="S191" s="320">
        <v>100</v>
      </c>
      <c r="T191" s="337">
        <f>S191/R191</f>
        <v>66.666666666666671</v>
      </c>
      <c r="U191" s="320">
        <f ca="1">T191*B191</f>
        <v>107466.66666666667</v>
      </c>
      <c r="V191" s="302">
        <f ca="1">Q191+T191</f>
        <v>24004.183506054203</v>
      </c>
      <c r="W191" s="294">
        <f ca="1">P191+U191</f>
        <v>38694743.811759375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2268054.9935015286</v>
      </c>
      <c r="V193" s="303"/>
      <c r="W193" s="343">
        <f ca="1">SUM(W190:W192)</f>
        <v>169085377.37424487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13428.006219056335</v>
      </c>
      <c r="F208" s="6">
        <f ca="1">E208/B208</f>
        <v>0.41433178337826759</v>
      </c>
      <c r="G208" s="311">
        <f ca="1">E208/L208</f>
        <v>100192.46869948455</v>
      </c>
      <c r="H208" s="14">
        <f ca="1">G208/B208</f>
        <v>3.0915180973341885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2">G208*$N208*365</f>
        <v>119475287.67393433</v>
      </c>
      <c r="Q208" s="294">
        <f t="shared" ca="1" si="12"/>
        <v>3686.5047724897154</v>
      </c>
      <c r="R208">
        <v>1.5</v>
      </c>
      <c r="S208" s="320">
        <v>100</v>
      </c>
      <c r="T208" s="337">
        <f>S208/R208</f>
        <v>66.666666666666671</v>
      </c>
      <c r="U208" s="320">
        <f ca="1">T208*B208</f>
        <v>2160588.3268348621</v>
      </c>
      <c r="V208" s="302">
        <f ca="1">Q208+T208</f>
        <v>3753.1714391563819</v>
      </c>
      <c r="W208" s="294">
        <f ca="1">P208+U208</f>
        <v>121635876.00076918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4175.0258432145456</v>
      </c>
      <c r="F209" s="6">
        <f ca="1">E209/B209</f>
        <v>2.5899664039792465</v>
      </c>
      <c r="G209" s="49">
        <f ca="1">E209/L209</f>
        <v>31108.004483852135</v>
      </c>
      <c r="H209" s="14">
        <f ca="1">G209/B209</f>
        <v>19.297769530925642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2"/>
        <v>37094981.618008509</v>
      </c>
      <c r="Q209" s="294">
        <f t="shared" ca="1" si="12"/>
        <v>23011.775197275747</v>
      </c>
      <c r="R209">
        <v>1.5</v>
      </c>
      <c r="S209" s="320">
        <v>100</v>
      </c>
      <c r="T209" s="337">
        <f>S209/R209</f>
        <v>66.666666666666671</v>
      </c>
      <c r="U209" s="320">
        <f ca="1">T209*B209</f>
        <v>107466.66666666667</v>
      </c>
      <c r="V209" s="302">
        <f ca="1">Q209+T209</f>
        <v>23078.441863942415</v>
      </c>
      <c r="W209" s="294">
        <f ca="1">P209+U209</f>
        <v>37202448.284675173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3567.6464293318036</v>
      </c>
      <c r="F210" s="252">
        <f ca="1">E210/B210</f>
        <v>0.25411732473156101</v>
      </c>
      <c r="G210" s="94">
        <f ca="1">E210/L210</f>
        <v>317.42967005168572</v>
      </c>
      <c r="H210" s="252">
        <f ca="1">G210/B210</f>
        <v>2.2609969945666501E-2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11295800.070191612</v>
      </c>
      <c r="Q210" s="312">
        <f t="shared" ca="1" si="12"/>
        <v>804.58042897409246</v>
      </c>
      <c r="R210" s="284"/>
      <c r="S210" s="340"/>
      <c r="T210" s="341"/>
      <c r="U210" s="340"/>
      <c r="V210" s="338">
        <f ca="1">Q210+T210</f>
        <v>804.58042897409246</v>
      </c>
      <c r="W210" s="312">
        <f ca="1">P210+U210</f>
        <v>11295800.070191612</v>
      </c>
    </row>
    <row r="211" spans="1:23" x14ac:dyDescent="0.25">
      <c r="A211" s="91" t="s">
        <v>222</v>
      </c>
      <c r="B211" s="93"/>
      <c r="E211" s="93">
        <f ca="1">SUM(E208:E210)</f>
        <v>21170.678491602685</v>
      </c>
      <c r="G211" s="93">
        <f ca="1">G208*365</f>
        <v>36570251.075311862</v>
      </c>
      <c r="H211" s="342" t="s">
        <v>1473</v>
      </c>
      <c r="P211" s="295">
        <f ca="1">SUM(P208:P210)</f>
        <v>167866069.36213446</v>
      </c>
      <c r="Q211" s="303"/>
      <c r="T211" s="303"/>
      <c r="U211" s="295">
        <f ca="1">SUM(U208:U210)</f>
        <v>2268054.9935015286</v>
      </c>
      <c r="V211" s="303"/>
      <c r="W211" s="343">
        <f ca="1">SUM(W208:W210)</f>
        <v>170134124.35563597</v>
      </c>
    </row>
    <row r="212" spans="1:23" x14ac:dyDescent="0.25">
      <c r="G212" s="93">
        <f ca="1">G209*365</f>
        <v>11354421.63660603</v>
      </c>
      <c r="H212" s="342" t="s">
        <v>1472</v>
      </c>
    </row>
    <row r="213" spans="1:23" x14ac:dyDescent="0.25">
      <c r="G213" s="93">
        <f ca="1">G210*365</f>
        <v>115861.82956886529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169085377.37424487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170213306.78863946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1127929.4143945873</v>
      </c>
      <c r="D228" s="220" t="s">
        <v>669</v>
      </c>
    </row>
    <row r="230" spans="1:4" x14ac:dyDescent="0.25">
      <c r="A230" t="s">
        <v>637</v>
      </c>
      <c r="C230" s="344">
        <f ca="1">F$168</f>
        <v>-15.144597419935792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669.86711054348621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-74477.345492843699</v>
      </c>
      <c r="D233" s="345" t="s">
        <v>638</v>
      </c>
    </row>
    <row r="234" spans="1:4" x14ac:dyDescent="0.25">
      <c r="C234" s="295">
        <f ca="1">C$228/C231</f>
        <v>1683.8107090814765</v>
      </c>
      <c r="D234" s="345" t="s">
        <v>788</v>
      </c>
    </row>
  </sheetData>
  <sheetProtection algorithmName="SHA-512" hashValue="j0tl5r3Cjx4XTbqeZIzHq6EHwHIDEXQ9NeuxJgyM+/SbSPx59zXnyJwVuT7AUSY/oI7ujdv3sz6j+TTBuQVlJw==" saltValue="koBBVUvOCD8aWLKyKkwggQ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8648D701-D45D-4D08-B307-A9027F84BBF8}">
          <x14:formula1>
            <xm:f>CostData!$AB$10:$AB$13</xm:f>
          </x14:formula1>
          <xm:sqref>B219:C219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71FF2-DA0F-44E6-8E49-63AF501E7CDA}">
  <sheetPr codeName="Sheet4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1618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08">
        <v>0.12</v>
      </c>
      <c r="E120" s="14" t="s">
        <v>1556</v>
      </c>
    </row>
    <row r="121" spans="1:8" x14ac:dyDescent="0.25">
      <c r="B121" s="1"/>
      <c r="C121" s="326" t="s">
        <v>718</v>
      </c>
      <c r="D121" s="408">
        <f>1-1/(1+D120)</f>
        <v>0.10714285714285721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-1617.2703535942587</v>
      </c>
      <c r="D145" s="49">
        <f ca="1">B145+C145</f>
        <v>13477.252946618815</v>
      </c>
      <c r="E145" s="329">
        <f ca="1">-D145*$D$128</f>
        <v>-563.39131058285147</v>
      </c>
      <c r="F145" s="330"/>
      <c r="G145" s="329">
        <f ca="1">B145*$B$68</f>
        <v>514.14458302037144</v>
      </c>
      <c r="H145" s="49">
        <f ca="1">SUM(D145:G145)</f>
        <v>13428.006219056335</v>
      </c>
      <c r="I145" s="428">
        <f ca="1">H145/B145-1</f>
        <v>-0.11040541314300489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-522.86029632522798</v>
      </c>
      <c r="D146" s="49">
        <f ca="1">B146+C146</f>
        <v>4357.1691360435634</v>
      </c>
      <c r="E146" s="329">
        <f ca="1">-D146*$D$128</f>
        <v>-182.14329282901778</v>
      </c>
      <c r="F146" s="330"/>
      <c r="G146" s="330"/>
      <c r="H146" s="49">
        <f ca="1">SUM(D146:G146)</f>
        <v>4175.0258432145456</v>
      </c>
      <c r="I146" s="428">
        <f ca="1">H146/B146-1</f>
        <v>-0.14446707728400587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E147/F138-E147</f>
        <v>53.211585672142888</v>
      </c>
      <c r="G147" s="284"/>
      <c r="H147" s="94">
        <f ca="1">SUM(D147:G147)</f>
        <v>3567.6464293318036</v>
      </c>
      <c r="I147" s="429">
        <f ca="1">H147/B147-1</f>
        <v>6.1041096025124419E-2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-2140.1306499194866</v>
      </c>
      <c r="D148" s="93">
        <f t="shared" ca="1" si="3"/>
        <v>21196.823824401632</v>
      </c>
      <c r="E148" s="93">
        <f t="shared" ca="1" si="3"/>
        <v>-593.501501491461</v>
      </c>
      <c r="F148" s="93">
        <f t="shared" ca="1" si="3"/>
        <v>53.211585672142888</v>
      </c>
      <c r="G148" s="93">
        <f t="shared" ca="1" si="3"/>
        <v>514.14458302037144</v>
      </c>
      <c r="H148" s="93">
        <f t="shared" ca="1" si="3"/>
        <v>21170.678491602685</v>
      </c>
      <c r="I148" s="430">
        <f ca="1">H148/B148-1</f>
        <v>-9.2825993430381115E-2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13.037294508348674</v>
      </c>
      <c r="C158" s="421">
        <f t="shared" ref="C158:H160" ca="1" si="6">C152*$H145*365/2000</f>
        <v>196.34469011799555</v>
      </c>
      <c r="D158" s="422">
        <f t="shared" ca="1" si="6"/>
        <v>3.8947317395207133</v>
      </c>
      <c r="E158" s="421">
        <f t="shared" ca="1" si="6"/>
        <v>1.1488139649373148</v>
      </c>
      <c r="F158" s="423">
        <f t="shared" ca="1" si="6"/>
        <v>1.1488139649373148</v>
      </c>
      <c r="G158" s="421">
        <f t="shared" ca="1" si="6"/>
        <v>0.44792037812984503</v>
      </c>
      <c r="H158" s="421">
        <f t="shared" ca="1" si="6"/>
        <v>8.1889140270088152</v>
      </c>
    </row>
    <row r="159" spans="1:9" x14ac:dyDescent="0.25">
      <c r="A159" t="s">
        <v>739</v>
      </c>
      <c r="B159" s="14">
        <f ca="1">B153*$H146*365/2000</f>
        <v>4.0535460447366392</v>
      </c>
      <c r="C159" s="14">
        <f t="shared" ca="1" si="6"/>
        <v>61.047347018446004</v>
      </c>
      <c r="D159" s="266">
        <f t="shared" ca="1" si="6"/>
        <v>1.2109471353841574</v>
      </c>
      <c r="E159" s="14">
        <f t="shared" ca="1" si="6"/>
        <v>0.35718839524011808</v>
      </c>
      <c r="F159" s="424">
        <f t="shared" ca="1" si="6"/>
        <v>0.35718839524011808</v>
      </c>
      <c r="G159" s="14">
        <f t="shared" ca="1" si="6"/>
        <v>0.13926707538611457</v>
      </c>
      <c r="H159" s="14">
        <f t="shared" ca="1" si="6"/>
        <v>2.5460911421164467</v>
      </c>
    </row>
    <row r="160" spans="1:9" x14ac:dyDescent="0.25">
      <c r="A160" s="5" t="s">
        <v>486</v>
      </c>
      <c r="B160" s="251">
        <f ca="1">B154*$H147*365/2000</f>
        <v>1658.3792863884689</v>
      </c>
      <c r="C160" s="251">
        <f t="shared" ca="1" si="6"/>
        <v>77.927047200037407</v>
      </c>
      <c r="D160" s="395">
        <f t="shared" ca="1" si="6"/>
        <v>15.966835749318864</v>
      </c>
      <c r="E160" s="251">
        <f t="shared" ca="1" si="6"/>
        <v>451.10997176703256</v>
      </c>
      <c r="F160" s="425">
        <f t="shared" ca="1" si="6"/>
        <v>451.10997176703256</v>
      </c>
      <c r="G160" s="251">
        <f t="shared" ca="1" si="6"/>
        <v>16.970868830254815</v>
      </c>
      <c r="H160" s="251">
        <f t="shared" ca="1" si="6"/>
        <v>4793.0954465871027</v>
      </c>
    </row>
    <row r="161" spans="1:12" x14ac:dyDescent="0.25">
      <c r="A161" s="91" t="s">
        <v>222</v>
      </c>
      <c r="B161" s="397">
        <f ca="1">SUM(B158:B160)</f>
        <v>1675.4701269415543</v>
      </c>
      <c r="C161" s="397">
        <f t="shared" ref="C161:H161" ca="1" si="7">SUM(C158:C160)</f>
        <v>335.31908433647897</v>
      </c>
      <c r="D161" s="426">
        <f t="shared" ca="1" si="7"/>
        <v>21.072514624223736</v>
      </c>
      <c r="E161" s="397">
        <f t="shared" ca="1" si="7"/>
        <v>452.61597412721</v>
      </c>
      <c r="F161" s="427">
        <f t="shared" ca="1" si="7"/>
        <v>452.61597412721</v>
      </c>
      <c r="G161" s="397">
        <f t="shared" ca="1" si="7"/>
        <v>17.558056283770775</v>
      </c>
      <c r="H161" s="397">
        <f t="shared" ca="1" si="7"/>
        <v>4803.8304517562283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-93.256295257186139</v>
      </c>
      <c r="C168" s="396">
        <f t="shared" ref="C168:H168" ca="1" si="8">(C$105-C$161)*$I168</f>
        <v>84.420095576858841</v>
      </c>
      <c r="D168" s="419">
        <f t="shared" ca="1" si="8"/>
        <v>669.86711054348621</v>
      </c>
      <c r="E168" s="396">
        <f t="shared" ca="1" si="8"/>
        <v>-15.144597419935792</v>
      </c>
      <c r="F168" s="420">
        <f t="shared" ca="1" si="8"/>
        <v>-15.144597419935792</v>
      </c>
      <c r="G168" s="396">
        <f t="shared" ca="1" si="8"/>
        <v>-0.90248030346930719</v>
      </c>
      <c r="H168" s="396">
        <f t="shared" ca="1" si="8"/>
        <v>-274.39405319661273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-93.256295257186139</v>
      </c>
      <c r="C169" s="396">
        <f t="shared" ca="1" si="10"/>
        <v>84.420095576858841</v>
      </c>
      <c r="D169" s="419">
        <f t="shared" ca="1" si="10"/>
        <v>669.86711054348621</v>
      </c>
      <c r="E169" s="396">
        <f t="shared" ca="1" si="10"/>
        <v>-15.144597419935792</v>
      </c>
      <c r="F169" s="420">
        <f t="shared" ca="1" si="10"/>
        <v>-15.144597419935792</v>
      </c>
      <c r="G169" s="396">
        <f t="shared" ca="1" si="10"/>
        <v>-0.90248030346930719</v>
      </c>
      <c r="H169" s="396">
        <f t="shared" ca="1" si="10"/>
        <v>-274.39405319661273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-93.256295257186139</v>
      </c>
      <c r="C170" s="396">
        <f t="shared" ca="1" si="10"/>
        <v>84.420095576858841</v>
      </c>
      <c r="D170" s="419">
        <f t="shared" ca="1" si="10"/>
        <v>669.86711054348621</v>
      </c>
      <c r="E170" s="396">
        <f t="shared" ca="1" si="10"/>
        <v>-15.144597419935792</v>
      </c>
      <c r="F170" s="420">
        <f t="shared" ca="1" si="10"/>
        <v>-15.144597419935792</v>
      </c>
      <c r="G170" s="396">
        <f t="shared" ca="1" si="10"/>
        <v>-0.90248030346930719</v>
      </c>
      <c r="H170" s="396">
        <f t="shared" ca="1" si="10"/>
        <v>-274.39405319661273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-93.256295257186139</v>
      </c>
      <c r="C171" s="396">
        <f t="shared" ca="1" si="10"/>
        <v>84.420095576858841</v>
      </c>
      <c r="D171" s="419">
        <f t="shared" ca="1" si="10"/>
        <v>669.86711054348621</v>
      </c>
      <c r="E171" s="396">
        <f t="shared" ca="1" si="10"/>
        <v>-15.144597419935792</v>
      </c>
      <c r="F171" s="420">
        <f t="shared" ca="1" si="10"/>
        <v>-15.144597419935792</v>
      </c>
      <c r="G171" s="396">
        <f t="shared" ca="1" si="10"/>
        <v>-0.90248030346930719</v>
      </c>
      <c r="H171" s="396">
        <f t="shared" ca="1" si="10"/>
        <v>-274.39405319661273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-93.256295257186139</v>
      </c>
      <c r="C172" s="396">
        <f t="shared" ca="1" si="10"/>
        <v>84.420095576858841</v>
      </c>
      <c r="D172" s="419">
        <f t="shared" ca="1" si="10"/>
        <v>669.86711054348621</v>
      </c>
      <c r="E172" s="396">
        <f t="shared" ca="1" si="10"/>
        <v>-15.144597419935792</v>
      </c>
      <c r="F172" s="420">
        <f t="shared" ca="1" si="10"/>
        <v>-15.144597419935792</v>
      </c>
      <c r="G172" s="396">
        <f t="shared" ca="1" si="10"/>
        <v>-0.90248030346930719</v>
      </c>
      <c r="H172" s="396">
        <f t="shared" ca="1" si="10"/>
        <v>-274.39405319661273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-93.256295257186139</v>
      </c>
      <c r="C173" s="396">
        <f t="shared" ca="1" si="10"/>
        <v>84.420095576858841</v>
      </c>
      <c r="D173" s="419">
        <f t="shared" ca="1" si="10"/>
        <v>669.86711054348621</v>
      </c>
      <c r="E173" s="396">
        <f t="shared" ca="1" si="10"/>
        <v>-15.144597419935792</v>
      </c>
      <c r="F173" s="420">
        <f t="shared" ca="1" si="10"/>
        <v>-15.144597419935792</v>
      </c>
      <c r="G173" s="396">
        <f t="shared" ca="1" si="10"/>
        <v>-0.90248030346930719</v>
      </c>
      <c r="H173" s="396">
        <f t="shared" ca="1" si="10"/>
        <v>-274.39405319661273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-93.256295257186139</v>
      </c>
      <c r="C174" s="396">
        <f t="shared" ca="1" si="10"/>
        <v>84.420095576858841</v>
      </c>
      <c r="D174" s="419">
        <f t="shared" ca="1" si="10"/>
        <v>669.86711054348621</v>
      </c>
      <c r="E174" s="396">
        <f t="shared" ca="1" si="10"/>
        <v>-15.144597419935792</v>
      </c>
      <c r="F174" s="420">
        <f t="shared" ca="1" si="10"/>
        <v>-15.144597419935792</v>
      </c>
      <c r="G174" s="396">
        <f t="shared" ca="1" si="10"/>
        <v>-0.90248030346930719</v>
      </c>
      <c r="H174" s="396">
        <f t="shared" ca="1" si="10"/>
        <v>-274.39405319661273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>
        <v>1.5</v>
      </c>
      <c r="S190" s="320">
        <v>100</v>
      </c>
      <c r="T190" s="337">
        <f>S190/R190</f>
        <v>66.666666666666671</v>
      </c>
      <c r="U190" s="320">
        <f ca="1">T190*B190</f>
        <v>2160588.3268348621</v>
      </c>
      <c r="V190" s="302">
        <f ca="1">Q190+T190</f>
        <v>3694.8169167431506</v>
      </c>
      <c r="W190" s="294">
        <f ca="1">P190+U190</f>
        <v>119744674.50160842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>
        <v>1.5</v>
      </c>
      <c r="S191" s="320">
        <v>100</v>
      </c>
      <c r="T191" s="337">
        <f>S191/R191</f>
        <v>66.666666666666671</v>
      </c>
      <c r="U191" s="320">
        <f ca="1">T191*B191</f>
        <v>107466.66666666667</v>
      </c>
      <c r="V191" s="302">
        <f ca="1">Q191+T191</f>
        <v>24004.183506054203</v>
      </c>
      <c r="W191" s="294">
        <f ca="1">P191+U191</f>
        <v>38694743.811759375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2268054.9935015286</v>
      </c>
      <c r="V193" s="303"/>
      <c r="W193" s="343">
        <f ca="1">SUM(W190:W192)</f>
        <v>169085377.37424487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13428.006219056335</v>
      </c>
      <c r="F208" s="6">
        <f ca="1">E208/B208</f>
        <v>0.41433178337826759</v>
      </c>
      <c r="G208" s="311">
        <f ca="1">E208/L208</f>
        <v>100192.46869948455</v>
      </c>
      <c r="H208" s="14">
        <f ca="1">G208/B208</f>
        <v>3.0915180973341885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2">G208*$N208*365</f>
        <v>119475287.67393433</v>
      </c>
      <c r="Q208" s="294">
        <f t="shared" ca="1" si="12"/>
        <v>3686.5047724897154</v>
      </c>
      <c r="R208">
        <v>1.5</v>
      </c>
      <c r="S208" s="320">
        <v>100</v>
      </c>
      <c r="T208" s="337">
        <f>S208/R208</f>
        <v>66.666666666666671</v>
      </c>
      <c r="U208" s="320">
        <f ca="1">T208*B208</f>
        <v>2160588.3268348621</v>
      </c>
      <c r="V208" s="302">
        <f ca="1">Q208+T208</f>
        <v>3753.1714391563819</v>
      </c>
      <c r="W208" s="294">
        <f ca="1">P208+U208</f>
        <v>121635876.00076918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4175.0258432145456</v>
      </c>
      <c r="F209" s="6">
        <f ca="1">E209/B209</f>
        <v>2.5899664039792465</v>
      </c>
      <c r="G209" s="49">
        <f ca="1">E209/L209</f>
        <v>31108.004483852135</v>
      </c>
      <c r="H209" s="14">
        <f ca="1">G209/B209</f>
        <v>19.297769530925642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2"/>
        <v>37094981.618008509</v>
      </c>
      <c r="Q209" s="294">
        <f t="shared" ca="1" si="12"/>
        <v>23011.775197275747</v>
      </c>
      <c r="R209">
        <v>1.5</v>
      </c>
      <c r="S209" s="320">
        <v>100</v>
      </c>
      <c r="T209" s="337">
        <f>S209/R209</f>
        <v>66.666666666666671</v>
      </c>
      <c r="U209" s="320">
        <f ca="1">T209*B209</f>
        <v>107466.66666666667</v>
      </c>
      <c r="V209" s="302">
        <f ca="1">Q209+T209</f>
        <v>23078.441863942415</v>
      </c>
      <c r="W209" s="294">
        <f ca="1">P209+U209</f>
        <v>37202448.284675173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3567.6464293318036</v>
      </c>
      <c r="F210" s="252">
        <f ca="1">E210/B210</f>
        <v>0.25411732473156101</v>
      </c>
      <c r="G210" s="94">
        <f ca="1">E210/L210</f>
        <v>317.42967005168572</v>
      </c>
      <c r="H210" s="252">
        <f ca="1">G210/B210</f>
        <v>2.2609969945666501E-2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11295800.070191612</v>
      </c>
      <c r="Q210" s="312">
        <f t="shared" ca="1" si="12"/>
        <v>804.58042897409246</v>
      </c>
      <c r="R210" s="284"/>
      <c r="S210" s="340"/>
      <c r="T210" s="341"/>
      <c r="U210" s="340"/>
      <c r="V210" s="338">
        <f ca="1">Q210+T210</f>
        <v>804.58042897409246</v>
      </c>
      <c r="W210" s="312">
        <f ca="1">P210+U210</f>
        <v>11295800.070191612</v>
      </c>
    </row>
    <row r="211" spans="1:23" x14ac:dyDescent="0.25">
      <c r="A211" s="91" t="s">
        <v>222</v>
      </c>
      <c r="B211" s="93"/>
      <c r="E211" s="93">
        <f ca="1">SUM(E208:E210)</f>
        <v>21170.678491602685</v>
      </c>
      <c r="G211" s="93">
        <f ca="1">G208*365</f>
        <v>36570251.075311862</v>
      </c>
      <c r="H211" s="342" t="s">
        <v>1473</v>
      </c>
      <c r="P211" s="295">
        <f ca="1">SUM(P208:P210)</f>
        <v>167866069.36213446</v>
      </c>
      <c r="Q211" s="303"/>
      <c r="T211" s="303"/>
      <c r="U211" s="295">
        <f ca="1">SUM(U208:U210)</f>
        <v>2268054.9935015286</v>
      </c>
      <c r="V211" s="303"/>
      <c r="W211" s="343">
        <f ca="1">SUM(W208:W210)</f>
        <v>170134124.35563597</v>
      </c>
    </row>
    <row r="212" spans="1:23" x14ac:dyDescent="0.25">
      <c r="G212" s="93">
        <f ca="1">G209*365</f>
        <v>11354421.63660603</v>
      </c>
      <c r="H212" s="342" t="s">
        <v>1472</v>
      </c>
    </row>
    <row r="213" spans="1:23" x14ac:dyDescent="0.25">
      <c r="G213" s="93">
        <f ca="1">G210*365</f>
        <v>115861.82956886529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169085377.37424487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170213306.78863946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1127929.4143945873</v>
      </c>
      <c r="D228" s="220" t="s">
        <v>669</v>
      </c>
    </row>
    <row r="230" spans="1:4" x14ac:dyDescent="0.25">
      <c r="A230" t="s">
        <v>637</v>
      </c>
      <c r="C230" s="344">
        <f ca="1">F$168</f>
        <v>-15.144597419935792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669.86711054348621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-74477.345492843699</v>
      </c>
      <c r="D233" s="345" t="s">
        <v>638</v>
      </c>
    </row>
    <row r="234" spans="1:4" x14ac:dyDescent="0.25">
      <c r="C234" s="295">
        <f ca="1">C$228/C231</f>
        <v>1683.8107090814765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12874.854408837398</v>
      </c>
      <c r="D238" s="345" t="s">
        <v>1572</v>
      </c>
    </row>
  </sheetData>
  <sheetProtection algorithmName="SHA-512" hashValue="l4GIxgSOgDdm3T9qjiM61PLLkZbl4ns8adcL6Dl0CmJamubnZoyVjSrs1BzizDVN28khXhBdb22gi41J4Jyvig==" saltValue="lX0uk1hSyiDc+oSyaJYDFg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3D4B5FF3-15F9-401D-AE61-11F355EE16AE}">
          <x14:formula1>
            <xm:f>CostData!$AB$10:$AB$13</xm:f>
          </x14:formula1>
          <xm:sqref>B219:C219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8DA6F-F0D9-48A2-8021-2DE006032C63}">
  <sheetPr codeName="Sheet5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1" width="11.140625" customWidth="1"/>
    <col min="22" max="22" width="10.42578125" customWidth="1"/>
    <col min="23" max="23" width="12.5703125" customWidth="1"/>
  </cols>
  <sheetData>
    <row r="1" spans="1:9" ht="18.75" x14ac:dyDescent="0.3">
      <c r="A1" s="504" t="s">
        <v>1617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1561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8" x14ac:dyDescent="0.25">
      <c r="B121" s="1"/>
      <c r="C121" s="326" t="s">
        <v>718</v>
      </c>
      <c r="D121" s="467">
        <f>1-1/(1+D120)</f>
        <v>1.477832512315258E-2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-621.67317029831895</v>
      </c>
      <c r="F145" s="330"/>
      <c r="G145" s="329">
        <f ca="1">B145*$B$68</f>
        <v>514.14458302037144</v>
      </c>
      <c r="H145" s="49">
        <f ca="1">SUM(D145:G145)</f>
        <v>14763.922940025575</v>
      </c>
      <c r="I145" s="428">
        <f ca="1">H145/B145-1</f>
        <v>-2.1902007344798413E-2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-200.98570243201965</v>
      </c>
      <c r="F146" s="330"/>
      <c r="G146" s="330"/>
      <c r="H146" s="49">
        <f ca="1">SUM(D146:G146)</f>
        <v>4606.9250683746714</v>
      </c>
      <c r="I146" s="428">
        <f ca="1">H146/B146-1</f>
        <v>-5.5963671485799504E-2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E147/F138-E147</f>
        <v>53.211585672142888</v>
      </c>
      <c r="G147" s="284"/>
      <c r="H147" s="94">
        <f ca="1">SUM(D147:G147)</f>
        <v>3567.6464293318036</v>
      </c>
      <c r="I147" s="429">
        <f ca="1">H147/B147-1</f>
        <v>6.1041096025124419E-2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-670.62577080993026</v>
      </c>
      <c r="F148" s="93">
        <f t="shared" ca="1" si="3"/>
        <v>53.211585672142888</v>
      </c>
      <c r="G148" s="93">
        <f t="shared" ca="1" si="3"/>
        <v>514.14458302037144</v>
      </c>
      <c r="H148" s="93">
        <f t="shared" ca="1" si="3"/>
        <v>22938.49443773205</v>
      </c>
      <c r="I148" s="430">
        <f ca="1">H148/B148-1</f>
        <v>-1.7074208934482638E-2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14.334340357581789</v>
      </c>
      <c r="C158" s="421">
        <f t="shared" ref="C158:H160" ca="1" si="6">C152*$H145*365/2000</f>
        <v>215.87850253386347</v>
      </c>
      <c r="D158" s="422">
        <f t="shared" ca="1" si="6"/>
        <v>4.2822082695160191</v>
      </c>
      <c r="E158" s="421">
        <f t="shared" ca="1" si="6"/>
        <v>1.2631064190817534</v>
      </c>
      <c r="F158" s="423">
        <f t="shared" ca="1" si="6"/>
        <v>1.2631064190817534</v>
      </c>
      <c r="G158" s="421">
        <f t="shared" ca="1" si="6"/>
        <v>0.49248278844190824</v>
      </c>
      <c r="H158" s="421">
        <f t="shared" ca="1" si="6"/>
        <v>9.0036073624747726</v>
      </c>
    </row>
    <row r="159" spans="1:9" x14ac:dyDescent="0.25">
      <c r="A159" t="s">
        <v>739</v>
      </c>
      <c r="B159" s="14">
        <f ca="1">B153*$H146*365/2000</f>
        <v>4.4728783941921542</v>
      </c>
      <c r="C159" s="14">
        <f t="shared" ca="1" si="6"/>
        <v>67.36258981345766</v>
      </c>
      <c r="D159" s="266">
        <f t="shared" ca="1" si="6"/>
        <v>1.33621752869976</v>
      </c>
      <c r="E159" s="14">
        <f t="shared" ca="1" si="6"/>
        <v>0.39413891888564762</v>
      </c>
      <c r="F159" s="424">
        <f t="shared" ca="1" si="6"/>
        <v>0.39413891888564762</v>
      </c>
      <c r="G159" s="14">
        <f t="shared" ca="1" si="6"/>
        <v>0.15367401421916094</v>
      </c>
      <c r="H159" s="14">
        <f t="shared" ca="1" si="6"/>
        <v>2.8094798809560797</v>
      </c>
    </row>
    <row r="160" spans="1:9" x14ac:dyDescent="0.25">
      <c r="A160" s="5" t="s">
        <v>486</v>
      </c>
      <c r="B160" s="251">
        <f ca="1">B154*$H147*365/2000</f>
        <v>1658.3792863884689</v>
      </c>
      <c r="C160" s="251">
        <f t="shared" ca="1" si="6"/>
        <v>77.927047200037407</v>
      </c>
      <c r="D160" s="395">
        <f t="shared" ca="1" si="6"/>
        <v>15.966835749318864</v>
      </c>
      <c r="E160" s="251">
        <f t="shared" ca="1" si="6"/>
        <v>451.10997176703256</v>
      </c>
      <c r="F160" s="425">
        <f t="shared" ca="1" si="6"/>
        <v>451.10997176703256</v>
      </c>
      <c r="G160" s="251">
        <f t="shared" ca="1" si="6"/>
        <v>16.970868830254815</v>
      </c>
      <c r="H160" s="251">
        <f t="shared" ca="1" si="6"/>
        <v>4793.0954465871027</v>
      </c>
    </row>
    <row r="161" spans="1:12" x14ac:dyDescent="0.25">
      <c r="A161" s="91" t="s">
        <v>222</v>
      </c>
      <c r="B161" s="397">
        <f ca="1">SUM(B158:B160)</f>
        <v>1677.1865051402428</v>
      </c>
      <c r="C161" s="397">
        <f t="shared" ref="C161:H161" ca="1" si="7">SUM(C158:C160)</f>
        <v>361.16813954735852</v>
      </c>
      <c r="D161" s="426">
        <f t="shared" ca="1" si="7"/>
        <v>21.585261547534643</v>
      </c>
      <c r="E161" s="397">
        <f t="shared" ca="1" si="7"/>
        <v>452.76721710499999</v>
      </c>
      <c r="F161" s="427">
        <f t="shared" ca="1" si="7"/>
        <v>452.76721710499999</v>
      </c>
      <c r="G161" s="397">
        <f t="shared" ca="1" si="7"/>
        <v>17.617025632915883</v>
      </c>
      <c r="H161" s="397">
        <f t="shared" ca="1" si="7"/>
        <v>4804.908533830534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-94.972673455874656</v>
      </c>
      <c r="C168" s="396">
        <f t="shared" ref="C168:H168" ca="1" si="8">(C$105-C$161)*$I168</f>
        <v>58.571040365979286</v>
      </c>
      <c r="D168" s="419">
        <f t="shared" ca="1" si="8"/>
        <v>669.35436362017526</v>
      </c>
      <c r="E168" s="396">
        <f t="shared" ca="1" si="8"/>
        <v>-15.295840397725783</v>
      </c>
      <c r="F168" s="420">
        <f t="shared" ca="1" si="8"/>
        <v>-15.295840397725783</v>
      </c>
      <c r="G168" s="396">
        <f t="shared" ca="1" si="8"/>
        <v>-0.96144965261441584</v>
      </c>
      <c r="H168" s="396">
        <f t="shared" ca="1" si="8"/>
        <v>-275.47213527091844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-94.972673455874656</v>
      </c>
      <c r="C169" s="396">
        <f t="shared" ca="1" si="10"/>
        <v>58.571040365979286</v>
      </c>
      <c r="D169" s="419">
        <f t="shared" ca="1" si="10"/>
        <v>669.35436362017526</v>
      </c>
      <c r="E169" s="396">
        <f t="shared" ca="1" si="10"/>
        <v>-15.295840397725783</v>
      </c>
      <c r="F169" s="420">
        <f t="shared" ca="1" si="10"/>
        <v>-15.295840397725783</v>
      </c>
      <c r="G169" s="396">
        <f t="shared" ca="1" si="10"/>
        <v>-0.96144965261441584</v>
      </c>
      <c r="H169" s="396">
        <f t="shared" ca="1" si="10"/>
        <v>-275.47213527091844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-94.972673455874656</v>
      </c>
      <c r="C170" s="396">
        <f t="shared" ca="1" si="10"/>
        <v>58.571040365979286</v>
      </c>
      <c r="D170" s="419">
        <f t="shared" ca="1" si="10"/>
        <v>669.35436362017526</v>
      </c>
      <c r="E170" s="396">
        <f t="shared" ca="1" si="10"/>
        <v>-15.295840397725783</v>
      </c>
      <c r="F170" s="420">
        <f t="shared" ca="1" si="10"/>
        <v>-15.295840397725783</v>
      </c>
      <c r="G170" s="396">
        <f t="shared" ca="1" si="10"/>
        <v>-0.96144965261441584</v>
      </c>
      <c r="H170" s="396">
        <f t="shared" ca="1" si="10"/>
        <v>-275.47213527091844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-94.972673455874656</v>
      </c>
      <c r="C171" s="396">
        <f t="shared" ca="1" si="10"/>
        <v>58.571040365979286</v>
      </c>
      <c r="D171" s="419">
        <f t="shared" ca="1" si="10"/>
        <v>669.35436362017526</v>
      </c>
      <c r="E171" s="396">
        <f t="shared" ca="1" si="10"/>
        <v>-15.295840397725783</v>
      </c>
      <c r="F171" s="420">
        <f t="shared" ca="1" si="10"/>
        <v>-15.295840397725783</v>
      </c>
      <c r="G171" s="396">
        <f t="shared" ca="1" si="10"/>
        <v>-0.96144965261441584</v>
      </c>
      <c r="H171" s="396">
        <f t="shared" ca="1" si="10"/>
        <v>-275.47213527091844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-94.972673455874656</v>
      </c>
      <c r="C172" s="396">
        <f t="shared" ca="1" si="10"/>
        <v>58.571040365979286</v>
      </c>
      <c r="D172" s="419">
        <f t="shared" ca="1" si="10"/>
        <v>669.35436362017526</v>
      </c>
      <c r="E172" s="396">
        <f t="shared" ca="1" si="10"/>
        <v>-15.295840397725783</v>
      </c>
      <c r="F172" s="420">
        <f t="shared" ca="1" si="10"/>
        <v>-15.295840397725783</v>
      </c>
      <c r="G172" s="396">
        <f t="shared" ca="1" si="10"/>
        <v>-0.96144965261441584</v>
      </c>
      <c r="H172" s="396">
        <f t="shared" ca="1" si="10"/>
        <v>-275.47213527091844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-94.972673455874656</v>
      </c>
      <c r="C173" s="396">
        <f t="shared" ca="1" si="10"/>
        <v>58.571040365979286</v>
      </c>
      <c r="D173" s="419">
        <f t="shared" ca="1" si="10"/>
        <v>669.35436362017526</v>
      </c>
      <c r="E173" s="396">
        <f t="shared" ca="1" si="10"/>
        <v>-15.295840397725783</v>
      </c>
      <c r="F173" s="420">
        <f t="shared" ca="1" si="10"/>
        <v>-15.295840397725783</v>
      </c>
      <c r="G173" s="396">
        <f t="shared" ca="1" si="10"/>
        <v>-0.96144965261441584</v>
      </c>
      <c r="H173" s="396">
        <f t="shared" ca="1" si="10"/>
        <v>-275.47213527091844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-94.972673455874656</v>
      </c>
      <c r="C174" s="396">
        <f t="shared" ca="1" si="10"/>
        <v>58.571040365979286</v>
      </c>
      <c r="D174" s="419">
        <f t="shared" ca="1" si="10"/>
        <v>669.35436362017526</v>
      </c>
      <c r="E174" s="396">
        <f t="shared" ca="1" si="10"/>
        <v>-15.295840397725783</v>
      </c>
      <c r="F174" s="420">
        <f t="shared" ca="1" si="10"/>
        <v>-15.295840397725783</v>
      </c>
      <c r="G174" s="396">
        <f t="shared" ca="1" si="10"/>
        <v>-0.96144965261441584</v>
      </c>
      <c r="H174" s="396">
        <f t="shared" ca="1" si="10"/>
        <v>-275.47213527091844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>
        <v>1.5</v>
      </c>
      <c r="S190" s="320">
        <v>100</v>
      </c>
      <c r="T190" s="337">
        <f>S190/R190</f>
        <v>66.666666666666671</v>
      </c>
      <c r="U190" s="294">
        <f ca="1">T190*B190</f>
        <v>2160588.3268348621</v>
      </c>
      <c r="V190" s="302">
        <f ca="1">Q190+T190</f>
        <v>3694.8169167431506</v>
      </c>
      <c r="W190" s="294">
        <f ca="1">P190+U190</f>
        <v>119744674.50160842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>
        <v>1.5</v>
      </c>
      <c r="S191" s="320">
        <v>100</v>
      </c>
      <c r="T191" s="337">
        <f>S191/R191</f>
        <v>66.666666666666671</v>
      </c>
      <c r="U191" s="294">
        <f ca="1">T191*B191</f>
        <v>107466.66666666667</v>
      </c>
      <c r="V191" s="302">
        <f ca="1">Q191+T191</f>
        <v>24004.183506054203</v>
      </c>
      <c r="W191" s="294">
        <f ca="1">P191+U191</f>
        <v>38694743.811759375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466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465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2268054.9935015286</v>
      </c>
      <c r="V193" s="303"/>
      <c r="W193" s="343">
        <f ca="1">SUM(W190:W192)</f>
        <v>169085377.37424487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14763.922940025575</v>
      </c>
      <c r="F208" s="6">
        <f ca="1">E208/B208</f>
        <v>0.45555255349218932</v>
      </c>
      <c r="G208" s="311">
        <f ca="1">E208/L208</f>
        <v>110160.35165003587</v>
      </c>
      <c r="H208" s="14">
        <f ca="1">G208/B208</f>
        <v>3.3990850325912376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2">G208*$N208*365</f>
        <v>131361567.13660765</v>
      </c>
      <c r="Q208" s="294">
        <f t="shared" ca="1" si="12"/>
        <v>4053.2653538567988</v>
      </c>
      <c r="R208">
        <v>1.5</v>
      </c>
      <c r="S208" s="320">
        <v>100</v>
      </c>
      <c r="T208" s="337">
        <f>S208/R208</f>
        <v>66.666666666666671</v>
      </c>
      <c r="U208" s="294">
        <f ca="1">T208*B208</f>
        <v>2160588.3268348621</v>
      </c>
      <c r="V208" s="302">
        <f ca="1">Q208+T208</f>
        <v>4119.9320205234653</v>
      </c>
      <c r="W208" s="294">
        <f ca="1">P208+U208</f>
        <v>133522155.4634425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4606.9250683746714</v>
      </c>
      <c r="F209" s="6">
        <f ca="1">E209/B209</f>
        <v>2.8578939630115827</v>
      </c>
      <c r="G209" s="49">
        <f ca="1">E209/L209</f>
        <v>34326.073913216154</v>
      </c>
      <c r="H209" s="14">
        <f ca="1">G209/B209</f>
        <v>21.294090516883472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2"/>
        <v>40932393.509526633</v>
      </c>
      <c r="Q209" s="294">
        <f t="shared" ca="1" si="12"/>
        <v>25392.303665959451</v>
      </c>
      <c r="R209">
        <v>1.5</v>
      </c>
      <c r="S209" s="320">
        <v>100</v>
      </c>
      <c r="T209" s="337">
        <f>S209/R209</f>
        <v>66.666666666666671</v>
      </c>
      <c r="U209" s="294">
        <f ca="1">T209*B209</f>
        <v>107466.66666666667</v>
      </c>
      <c r="V209" s="302">
        <f ca="1">Q209+T209</f>
        <v>25458.970332626119</v>
      </c>
      <c r="W209" s="294">
        <f ca="1">P209+U209</f>
        <v>41039860.176193297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3567.6464293318036</v>
      </c>
      <c r="F210" s="252">
        <f ca="1">E210/B210</f>
        <v>0.25411732473156101</v>
      </c>
      <c r="G210" s="94">
        <f ca="1">E210/L210</f>
        <v>317.42967005168572</v>
      </c>
      <c r="H210" s="252">
        <f ca="1">G210/B210</f>
        <v>2.2609969945666501E-2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466">
        <f>CostData!$I$17</f>
        <v>97.493713954151573</v>
      </c>
      <c r="O210" s="339" t="s">
        <v>290</v>
      </c>
      <c r="P210" s="312">
        <f t="shared" ca="1" si="12"/>
        <v>11295800.070191612</v>
      </c>
      <c r="Q210" s="312">
        <f t="shared" ca="1" si="12"/>
        <v>804.58042897409246</v>
      </c>
      <c r="R210" s="284"/>
      <c r="S210" s="340"/>
      <c r="T210" s="341"/>
      <c r="U210" s="465"/>
      <c r="V210" s="338">
        <f ca="1">Q210+T210</f>
        <v>804.58042897409246</v>
      </c>
      <c r="W210" s="312">
        <f ca="1">P210+U210</f>
        <v>11295800.070191612</v>
      </c>
    </row>
    <row r="211" spans="1:23" x14ac:dyDescent="0.25">
      <c r="A211" s="91" t="s">
        <v>222</v>
      </c>
      <c r="B211" s="93"/>
      <c r="E211" s="93">
        <f ca="1">SUM(E208:E210)</f>
        <v>22938.49443773205</v>
      </c>
      <c r="G211" s="93">
        <f ca="1">G208*365</f>
        <v>40208528.352263093</v>
      </c>
      <c r="H211" s="342" t="s">
        <v>1473</v>
      </c>
      <c r="P211" s="295">
        <f ca="1">SUM(P208:P210)</f>
        <v>183589760.71632591</v>
      </c>
      <c r="Q211" s="303"/>
      <c r="T211" s="303"/>
      <c r="U211" s="295">
        <f ca="1">SUM(U208:U210)</f>
        <v>2268054.9935015286</v>
      </c>
      <c r="V211" s="303"/>
      <c r="W211" s="343">
        <f ca="1">SUM(W208:W210)</f>
        <v>185857815.70982742</v>
      </c>
    </row>
    <row r="212" spans="1:23" x14ac:dyDescent="0.25">
      <c r="G212" s="93">
        <f ca="1">G209*365</f>
        <v>12529016.978323895</v>
      </c>
      <c r="H212" s="342" t="s">
        <v>1472</v>
      </c>
    </row>
    <row r="213" spans="1:23" x14ac:dyDescent="0.25">
      <c r="G213" s="93">
        <f ca="1">G210*365</f>
        <v>115861.82956886529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169085377.37424487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185936998.14283091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16851620.76858604</v>
      </c>
      <c r="D228" s="220" t="s">
        <v>669</v>
      </c>
    </row>
    <row r="230" spans="1:4" x14ac:dyDescent="0.25">
      <c r="A230" t="s">
        <v>637</v>
      </c>
      <c r="C230" s="344">
        <f ca="1">F$168</f>
        <v>-15.295840397725783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669.35436362017526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-1101712.6441180422</v>
      </c>
      <c r="D233" s="345" t="s">
        <v>638</v>
      </c>
    </row>
    <row r="234" spans="1:4" x14ac:dyDescent="0.25">
      <c r="C234" s="295">
        <f ca="1">C$228/C231</f>
        <v>25175.933234295731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192806.57764247491</v>
      </c>
      <c r="D238" s="345" t="s">
        <v>1572</v>
      </c>
    </row>
  </sheetData>
  <sheetProtection algorithmName="SHA-512" hashValue="V8SWT+jKC+i28vnfzvpZ/CMjN9yOwVn2dIXUwW0y8ibgkCnTqWBaKjAzkC7GFVjbwqsOZVluxWLtAjbprNKHYA==" saltValue="JWxOkGuYFot9QFdVwjt0dA==" spinCount="100000" sheet="1" objects="1" scenarios="1"/>
  <mergeCells count="64">
    <mergeCell ref="J209:K209"/>
    <mergeCell ref="J210:K210"/>
    <mergeCell ref="P206:Q206"/>
    <mergeCell ref="T206:U206"/>
    <mergeCell ref="V206:W206"/>
    <mergeCell ref="C207:D207"/>
    <mergeCell ref="J207:K207"/>
    <mergeCell ref="J208:K208"/>
    <mergeCell ref="E205:F205"/>
    <mergeCell ref="L205:M205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10BBF555-4D2E-48CD-B4B8-30C9C66B0ABE}">
          <x14:formula1>
            <xm:f>CostData!$AB$10:$AB$13</xm:f>
          </x14:formula1>
          <xm:sqref>B219:C219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766C-238A-45E4-9930-630E92B841CB}">
  <sheetPr codeName="Sheet6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1616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8" x14ac:dyDescent="0.25">
      <c r="B121" s="1"/>
      <c r="C121" s="326" t="s">
        <v>718</v>
      </c>
      <c r="D121" s="328">
        <f>1-1/(1+D120)</f>
        <v>1.477832512315258E-2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-621.67317029831895</v>
      </c>
      <c r="F145" s="330"/>
      <c r="G145" s="329">
        <f ca="1">B145*$B$68</f>
        <v>514.14458302037144</v>
      </c>
      <c r="H145" s="49">
        <f ca="1">SUM(D145:G145)</f>
        <v>14763.922940025575</v>
      </c>
      <c r="I145" s="428">
        <f ca="1">H145/B145-1</f>
        <v>-2.1902007344798413E-2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-200.98570243201965</v>
      </c>
      <c r="F146" s="330"/>
      <c r="G146" s="330"/>
      <c r="H146" s="49">
        <f ca="1">SUM(D146:G146)</f>
        <v>4606.9250683746714</v>
      </c>
      <c r="I146" s="428">
        <f ca="1">H146/B146-1</f>
        <v>-5.5963671485799504E-2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E147/F138-E147</f>
        <v>53.211585672142888</v>
      </c>
      <c r="G147" s="284"/>
      <c r="H147" s="94">
        <f ca="1">SUM(D147:G147)</f>
        <v>3567.6464293318036</v>
      </c>
      <c r="I147" s="429">
        <f ca="1">H147/B147-1</f>
        <v>6.1041096025124419E-2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-670.62577080993026</v>
      </c>
      <c r="F148" s="93">
        <f t="shared" ca="1" si="3"/>
        <v>53.211585672142888</v>
      </c>
      <c r="G148" s="93">
        <f t="shared" ca="1" si="3"/>
        <v>514.14458302037144</v>
      </c>
      <c r="H148" s="93">
        <f t="shared" ca="1" si="3"/>
        <v>22938.49443773205</v>
      </c>
      <c r="I148" s="430">
        <f ca="1">H148/B148-1</f>
        <v>-1.7074208934482638E-2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14.334340357581789</v>
      </c>
      <c r="C158" s="421">
        <f t="shared" ref="C158:H160" ca="1" si="6">C152*$H145*365/2000</f>
        <v>215.87850253386347</v>
      </c>
      <c r="D158" s="422">
        <f t="shared" ca="1" si="6"/>
        <v>4.2822082695160191</v>
      </c>
      <c r="E158" s="421">
        <f t="shared" ca="1" si="6"/>
        <v>1.2631064190817534</v>
      </c>
      <c r="F158" s="423">
        <f t="shared" ca="1" si="6"/>
        <v>1.2631064190817534</v>
      </c>
      <c r="G158" s="421">
        <f t="shared" ca="1" si="6"/>
        <v>0.49248278844190824</v>
      </c>
      <c r="H158" s="421">
        <f t="shared" ca="1" si="6"/>
        <v>9.0036073624747726</v>
      </c>
    </row>
    <row r="159" spans="1:9" x14ac:dyDescent="0.25">
      <c r="A159" t="s">
        <v>739</v>
      </c>
      <c r="B159" s="14">
        <f ca="1">B153*$H146*365/2000</f>
        <v>4.4728783941921542</v>
      </c>
      <c r="C159" s="14">
        <f t="shared" ca="1" si="6"/>
        <v>67.36258981345766</v>
      </c>
      <c r="D159" s="266">
        <f t="shared" ca="1" si="6"/>
        <v>1.33621752869976</v>
      </c>
      <c r="E159" s="14">
        <f t="shared" ca="1" si="6"/>
        <v>0.39413891888564762</v>
      </c>
      <c r="F159" s="424">
        <f t="shared" ca="1" si="6"/>
        <v>0.39413891888564762</v>
      </c>
      <c r="G159" s="14">
        <f t="shared" ca="1" si="6"/>
        <v>0.15367401421916094</v>
      </c>
      <c r="H159" s="14">
        <f t="shared" ca="1" si="6"/>
        <v>2.8094798809560797</v>
      </c>
    </row>
    <row r="160" spans="1:9" x14ac:dyDescent="0.25">
      <c r="A160" s="5" t="s">
        <v>486</v>
      </c>
      <c r="B160" s="251">
        <f ca="1">B154*$H147*365/2000</f>
        <v>1658.3792863884689</v>
      </c>
      <c r="C160" s="251">
        <f t="shared" ca="1" si="6"/>
        <v>77.927047200037407</v>
      </c>
      <c r="D160" s="395">
        <f t="shared" ca="1" si="6"/>
        <v>15.966835749318864</v>
      </c>
      <c r="E160" s="251">
        <f t="shared" ca="1" si="6"/>
        <v>451.10997176703256</v>
      </c>
      <c r="F160" s="425">
        <f t="shared" ca="1" si="6"/>
        <v>451.10997176703256</v>
      </c>
      <c r="G160" s="251">
        <f t="shared" ca="1" si="6"/>
        <v>16.970868830254815</v>
      </c>
      <c r="H160" s="251">
        <f t="shared" ca="1" si="6"/>
        <v>4793.0954465871027</v>
      </c>
    </row>
    <row r="161" spans="1:12" x14ac:dyDescent="0.25">
      <c r="A161" s="91" t="s">
        <v>222</v>
      </c>
      <c r="B161" s="397">
        <f ca="1">SUM(B158:B160)</f>
        <v>1677.1865051402428</v>
      </c>
      <c r="C161" s="397">
        <f t="shared" ref="C161:H161" ca="1" si="7">SUM(C158:C160)</f>
        <v>361.16813954735852</v>
      </c>
      <c r="D161" s="426">
        <f t="shared" ca="1" si="7"/>
        <v>21.585261547534643</v>
      </c>
      <c r="E161" s="397">
        <f t="shared" ca="1" si="7"/>
        <v>452.76721710499999</v>
      </c>
      <c r="F161" s="427">
        <f t="shared" ca="1" si="7"/>
        <v>452.76721710499999</v>
      </c>
      <c r="G161" s="397">
        <f t="shared" ca="1" si="7"/>
        <v>17.617025632915883</v>
      </c>
      <c r="H161" s="397">
        <f t="shared" ca="1" si="7"/>
        <v>4804.908533830534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-94.972673455874656</v>
      </c>
      <c r="C168" s="396">
        <f t="shared" ref="C168:H168" ca="1" si="8">(C$105-C$161)*$I168</f>
        <v>58.571040365979286</v>
      </c>
      <c r="D168" s="419">
        <f t="shared" ca="1" si="8"/>
        <v>669.35436362017526</v>
      </c>
      <c r="E168" s="396">
        <f t="shared" ca="1" si="8"/>
        <v>-15.295840397725783</v>
      </c>
      <c r="F168" s="420">
        <f t="shared" ca="1" si="8"/>
        <v>-15.295840397725783</v>
      </c>
      <c r="G168" s="396">
        <f t="shared" ca="1" si="8"/>
        <v>-0.96144965261441584</v>
      </c>
      <c r="H168" s="396">
        <f t="shared" ca="1" si="8"/>
        <v>-275.47213527091844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-94.972673455874656</v>
      </c>
      <c r="C169" s="396">
        <f t="shared" ca="1" si="10"/>
        <v>58.571040365979286</v>
      </c>
      <c r="D169" s="419">
        <f t="shared" ca="1" si="10"/>
        <v>669.35436362017526</v>
      </c>
      <c r="E169" s="396">
        <f t="shared" ca="1" si="10"/>
        <v>-15.295840397725783</v>
      </c>
      <c r="F169" s="420">
        <f t="shared" ca="1" si="10"/>
        <v>-15.295840397725783</v>
      </c>
      <c r="G169" s="396">
        <f t="shared" ca="1" si="10"/>
        <v>-0.96144965261441584</v>
      </c>
      <c r="H169" s="396">
        <f t="shared" ca="1" si="10"/>
        <v>-275.47213527091844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-94.972673455874656</v>
      </c>
      <c r="C170" s="396">
        <f t="shared" ca="1" si="10"/>
        <v>58.571040365979286</v>
      </c>
      <c r="D170" s="419">
        <f t="shared" ca="1" si="10"/>
        <v>669.35436362017526</v>
      </c>
      <c r="E170" s="396">
        <f t="shared" ca="1" si="10"/>
        <v>-15.295840397725783</v>
      </c>
      <c r="F170" s="420">
        <f t="shared" ca="1" si="10"/>
        <v>-15.295840397725783</v>
      </c>
      <c r="G170" s="396">
        <f t="shared" ca="1" si="10"/>
        <v>-0.96144965261441584</v>
      </c>
      <c r="H170" s="396">
        <f t="shared" ca="1" si="10"/>
        <v>-275.47213527091844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-94.972673455874656</v>
      </c>
      <c r="C171" s="396">
        <f t="shared" ca="1" si="10"/>
        <v>58.571040365979286</v>
      </c>
      <c r="D171" s="419">
        <f t="shared" ca="1" si="10"/>
        <v>669.35436362017526</v>
      </c>
      <c r="E171" s="396">
        <f t="shared" ca="1" si="10"/>
        <v>-15.295840397725783</v>
      </c>
      <c r="F171" s="420">
        <f t="shared" ca="1" si="10"/>
        <v>-15.295840397725783</v>
      </c>
      <c r="G171" s="396">
        <f t="shared" ca="1" si="10"/>
        <v>-0.96144965261441584</v>
      </c>
      <c r="H171" s="396">
        <f t="shared" ca="1" si="10"/>
        <v>-275.47213527091844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-94.972673455874656</v>
      </c>
      <c r="C172" s="396">
        <f t="shared" ca="1" si="10"/>
        <v>58.571040365979286</v>
      </c>
      <c r="D172" s="419">
        <f t="shared" ca="1" si="10"/>
        <v>669.35436362017526</v>
      </c>
      <c r="E172" s="396">
        <f t="shared" ca="1" si="10"/>
        <v>-15.295840397725783</v>
      </c>
      <c r="F172" s="420">
        <f t="shared" ca="1" si="10"/>
        <v>-15.295840397725783</v>
      </c>
      <c r="G172" s="396">
        <f t="shared" ca="1" si="10"/>
        <v>-0.96144965261441584</v>
      </c>
      <c r="H172" s="396">
        <f t="shared" ca="1" si="10"/>
        <v>-275.47213527091844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-94.972673455874656</v>
      </c>
      <c r="C173" s="396">
        <f t="shared" ca="1" si="10"/>
        <v>58.571040365979286</v>
      </c>
      <c r="D173" s="419">
        <f t="shared" ca="1" si="10"/>
        <v>669.35436362017526</v>
      </c>
      <c r="E173" s="396">
        <f t="shared" ca="1" si="10"/>
        <v>-15.295840397725783</v>
      </c>
      <c r="F173" s="420">
        <f t="shared" ca="1" si="10"/>
        <v>-15.295840397725783</v>
      </c>
      <c r="G173" s="396">
        <f t="shared" ca="1" si="10"/>
        <v>-0.96144965261441584</v>
      </c>
      <c r="H173" s="396">
        <f t="shared" ca="1" si="10"/>
        <v>-275.47213527091844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-94.972673455874656</v>
      </c>
      <c r="C174" s="396">
        <f t="shared" ca="1" si="10"/>
        <v>58.571040365979286</v>
      </c>
      <c r="D174" s="419">
        <f t="shared" ca="1" si="10"/>
        <v>669.35436362017526</v>
      </c>
      <c r="E174" s="396">
        <f t="shared" ca="1" si="10"/>
        <v>-15.295840397725783</v>
      </c>
      <c r="F174" s="420">
        <f t="shared" ca="1" si="10"/>
        <v>-15.295840397725783</v>
      </c>
      <c r="G174" s="396">
        <f t="shared" ca="1" si="10"/>
        <v>-0.96144965261441584</v>
      </c>
      <c r="H174" s="396">
        <f t="shared" ca="1" si="10"/>
        <v>-275.47213527091844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 s="14">
        <f>CostData!O$66</f>
        <v>1.1138181664406654</v>
      </c>
      <c r="S190" s="320">
        <f>CostData!O$65</f>
        <v>491.97546434304058</v>
      </c>
      <c r="T190" s="337">
        <f>S190/R190</f>
        <v>441.70177787206057</v>
      </c>
      <c r="U190" s="320">
        <f ca="1">T190*B190</f>
        <v>14315035.578188689</v>
      </c>
      <c r="V190" s="302">
        <f ca="1">Q190+T190</f>
        <v>4069.8520279485447</v>
      </c>
      <c r="W190" s="294">
        <f ca="1">P190+U190</f>
        <v>131899121.75296225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 s="14">
        <f>CostData!O$66</f>
        <v>1.1138181664406654</v>
      </c>
      <c r="S191" s="320">
        <f>CostData!O$65</f>
        <v>491.97546434304058</v>
      </c>
      <c r="T191" s="337">
        <f>S191/R191</f>
        <v>441.70177787206057</v>
      </c>
      <c r="U191" s="320">
        <f ca="1">T191*B191</f>
        <v>712023.26592976169</v>
      </c>
      <c r="V191" s="302">
        <f ca="1">Q191+T191</f>
        <v>24379.218617259598</v>
      </c>
      <c r="W191" s="294">
        <f ca="1">P191+U191</f>
        <v>39299300.411022469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15027058.844118452</v>
      </c>
      <c r="V193" s="303"/>
      <c r="W193" s="343">
        <f ca="1">SUM(W190:W192)</f>
        <v>181844381.2248618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14763.922940025575</v>
      </c>
      <c r="F208" s="6">
        <f ca="1">E208/B208</f>
        <v>0.45555255349218932</v>
      </c>
      <c r="G208" s="311">
        <f ca="1">E208/L208</f>
        <v>110160.35165003587</v>
      </c>
      <c r="H208" s="14">
        <f ca="1">G208/B208</f>
        <v>3.3990850325912376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2">G208*$N208*365</f>
        <v>131361567.13660765</v>
      </c>
      <c r="Q208" s="294">
        <f t="shared" ca="1" si="12"/>
        <v>4053.2653538567988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4149.2874794811596</v>
      </c>
      <c r="W208" s="294">
        <f ca="1">P208+U208</f>
        <v>134473531.39273563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4606.9250683746714</v>
      </c>
      <c r="F209" s="6">
        <f ca="1">E209/B209</f>
        <v>2.8578939630115827</v>
      </c>
      <c r="G209" s="49">
        <f ca="1">E209/L209</f>
        <v>34326.073913216154</v>
      </c>
      <c r="H209" s="14">
        <f ca="1">G209/B209</f>
        <v>21.294090516883472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2"/>
        <v>40932393.509526633</v>
      </c>
      <c r="Q209" s="294">
        <f t="shared" ca="1" si="12"/>
        <v>25392.303665959451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25488.325791583811</v>
      </c>
      <c r="W209" s="294">
        <f ca="1">P209+U209</f>
        <v>41087181.176033102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3567.6464293318036</v>
      </c>
      <c r="F210" s="252">
        <f ca="1">E210/B210</f>
        <v>0.25411732473156101</v>
      </c>
      <c r="G210" s="94">
        <f ca="1">E210/L210</f>
        <v>317.42967005168572</v>
      </c>
      <c r="H210" s="252">
        <f ca="1">G210/B210</f>
        <v>2.2609969945666501E-2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11295800.070191612</v>
      </c>
      <c r="Q210" s="312">
        <f t="shared" ca="1" si="12"/>
        <v>804.58042897409246</v>
      </c>
      <c r="R210" s="284"/>
      <c r="S210" s="340"/>
      <c r="T210" s="341"/>
      <c r="U210" s="340"/>
      <c r="V210" s="338">
        <f ca="1">Q210+T210</f>
        <v>804.58042897409246</v>
      </c>
      <c r="W210" s="312">
        <f ca="1">P210+U210</f>
        <v>11295800.070191612</v>
      </c>
    </row>
    <row r="211" spans="1:23" x14ac:dyDescent="0.25">
      <c r="A211" s="91" t="s">
        <v>222</v>
      </c>
      <c r="B211" s="93"/>
      <c r="E211" s="93">
        <f ca="1">SUM(E208:E210)</f>
        <v>22938.49443773205</v>
      </c>
      <c r="G211" s="93">
        <f ca="1">G208*365</f>
        <v>40208528.352263093</v>
      </c>
      <c r="H211" s="342" t="s">
        <v>1473</v>
      </c>
      <c r="P211" s="295">
        <f ca="1">SUM(P208:P210)</f>
        <v>183589760.71632591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186856512.63896036</v>
      </c>
    </row>
    <row r="212" spans="1:23" x14ac:dyDescent="0.25">
      <c r="G212" s="93">
        <f ca="1">G209*365</f>
        <v>12529016.978323895</v>
      </c>
      <c r="H212" s="342" t="s">
        <v>1472</v>
      </c>
    </row>
    <row r="213" spans="1:23" x14ac:dyDescent="0.25">
      <c r="G213" s="93">
        <f ca="1">G210*365</f>
        <v>115861.82956886529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181844381.2248618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186935695.07196385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5091313.847102046</v>
      </c>
      <c r="D228" s="220" t="s">
        <v>669</v>
      </c>
    </row>
    <row r="230" spans="1:4" x14ac:dyDescent="0.25">
      <c r="A230" t="s">
        <v>637</v>
      </c>
      <c r="C230" s="344">
        <f ca="1">F$168</f>
        <v>-15.295840397725783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669.35436362017526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-332856.10432095203</v>
      </c>
      <c r="D233" s="345" t="s">
        <v>638</v>
      </c>
    </row>
    <row r="234" spans="1:4" x14ac:dyDescent="0.25">
      <c r="C234" s="295">
        <f ca="1">C$228/C231</f>
        <v>7606.3056040538622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58251.892327971851</v>
      </c>
      <c r="D238" s="345" t="s">
        <v>1572</v>
      </c>
    </row>
  </sheetData>
  <sheetProtection algorithmName="SHA-512" hashValue="EqkWLWCYRZbx2QRf1f0nc2mp4BoRW08/EFzDYAwAlwocQwdNPUnU8SfAWfr/tE8YlDy2kZbpHKkUiRSfJjH6RQ==" saltValue="uP5OKW2WkxNRA7qO2syd+w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55553BE7-BA37-424B-A220-77EC80EAF965}">
          <x14:formula1>
            <xm:f>CostData!$AB$10:$AB$13</xm:f>
          </x14:formula1>
          <xm:sqref>B219:C219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2FD77-B4D4-40D9-A1B3-0112664864AB}">
  <sheetPr codeName="Sheet7">
    <tabColor rgb="FFFFFFCC"/>
    <pageSetUpPr fitToPage="1"/>
  </sheetPr>
  <dimension ref="A1:W238"/>
  <sheetViews>
    <sheetView zoomScale="80" zoomScaleNormal="8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1615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8" x14ac:dyDescent="0.25">
      <c r="A113" s="216" t="s">
        <v>712</v>
      </c>
    </row>
    <row r="114" spans="1:8" x14ac:dyDescent="0.25">
      <c r="A114" s="216" t="s">
        <v>713</v>
      </c>
    </row>
    <row r="115" spans="1:8" x14ac:dyDescent="0.25">
      <c r="A115" s="216" t="s">
        <v>714</v>
      </c>
    </row>
    <row r="117" spans="1:8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8" x14ac:dyDescent="0.25">
      <c r="B118" s="1"/>
      <c r="D118" s="64"/>
      <c r="E118" s="64"/>
      <c r="F118" s="228"/>
    </row>
    <row r="119" spans="1:8" x14ac:dyDescent="0.25">
      <c r="B119" s="1"/>
      <c r="C119" s="326" t="s">
        <v>716</v>
      </c>
      <c r="D119" s="408">
        <f>D138</f>
        <v>0.81</v>
      </c>
      <c r="E119" s="228"/>
    </row>
    <row r="120" spans="1:8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8" x14ac:dyDescent="0.25">
      <c r="B121" s="1"/>
      <c r="C121" s="326" t="s">
        <v>718</v>
      </c>
      <c r="D121" s="328">
        <f>1-1/(1+D120)</f>
        <v>1.477832512315258E-2</v>
      </c>
      <c r="F121" s="228"/>
    </row>
    <row r="122" spans="1:8" x14ac:dyDescent="0.25">
      <c r="B122" s="1"/>
      <c r="D122" s="326"/>
      <c r="E122" s="64"/>
      <c r="F122" s="228"/>
    </row>
    <row r="123" spans="1:8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8" x14ac:dyDescent="0.25">
      <c r="B124" s="1"/>
      <c r="D124" s="64"/>
      <c r="E124" s="326"/>
      <c r="F124" s="228"/>
    </row>
    <row r="125" spans="1:8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8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CostData!O71</f>
        <v>2.860307585698274</v>
      </c>
      <c r="H126" t="s">
        <v>753</v>
      </c>
    </row>
    <row r="127" spans="1:8" x14ac:dyDescent="0.25">
      <c r="B127" s="1"/>
      <c r="C127" s="326" t="s">
        <v>754</v>
      </c>
      <c r="D127" s="328">
        <f>D126/G126</f>
        <v>0.14218750529961419</v>
      </c>
      <c r="E127" s="64"/>
      <c r="F127" s="228"/>
    </row>
    <row r="128" spans="1:8" x14ac:dyDescent="0.25">
      <c r="B128" s="1"/>
      <c r="C128" s="326" t="s">
        <v>721</v>
      </c>
      <c r="D128" s="328">
        <f>-D125*D127</f>
        <v>4.1803126558086566E-2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4.5215626685277309E-2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-621.67317029831895</v>
      </c>
      <c r="F145" s="330"/>
      <c r="G145" s="329">
        <f ca="1">B145*$B$68</f>
        <v>514.14458302037144</v>
      </c>
      <c r="H145" s="49">
        <f ca="1">SUM(D145:G145)</f>
        <v>14763.922940025575</v>
      </c>
      <c r="I145" s="428">
        <f ca="1">H145/B145-1</f>
        <v>-2.1902007344798413E-2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-200.98570243201965</v>
      </c>
      <c r="F146" s="330"/>
      <c r="G146" s="330"/>
      <c r="H146" s="49">
        <f ca="1">SUM(D146:G146)</f>
        <v>4606.9250683746714</v>
      </c>
      <c r="I146" s="428">
        <f ca="1">H146/B146-1</f>
        <v>-5.5963671485799504E-2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152.03310192040826</v>
      </c>
      <c r="F147" s="332">
        <f ca="1">E147/F138-E147</f>
        <v>53.211585672142888</v>
      </c>
      <c r="G147" s="284"/>
      <c r="H147" s="94">
        <f ca="1">SUM(D147:G147)</f>
        <v>3567.6464293318036</v>
      </c>
      <c r="I147" s="429">
        <f ca="1">H147/B147-1</f>
        <v>6.1041096025124419E-2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-670.62577080993026</v>
      </c>
      <c r="F148" s="93">
        <f t="shared" ca="1" si="3"/>
        <v>53.211585672142888</v>
      </c>
      <c r="G148" s="93">
        <f t="shared" ca="1" si="3"/>
        <v>514.14458302037144</v>
      </c>
      <c r="H148" s="93">
        <f t="shared" ca="1" si="3"/>
        <v>22938.49443773205</v>
      </c>
      <c r="I148" s="430">
        <f ca="1">H148/B148-1</f>
        <v>-1.7074208934482638E-2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14.334340357581789</v>
      </c>
      <c r="C158" s="421">
        <f t="shared" ref="C158:H160" ca="1" si="6">C152*$H145*365/2000</f>
        <v>215.87850253386347</v>
      </c>
      <c r="D158" s="422">
        <f t="shared" ca="1" si="6"/>
        <v>4.2822082695160191</v>
      </c>
      <c r="E158" s="421">
        <f t="shared" ca="1" si="6"/>
        <v>1.2631064190817534</v>
      </c>
      <c r="F158" s="423">
        <f t="shared" ca="1" si="6"/>
        <v>1.2631064190817534</v>
      </c>
      <c r="G158" s="421">
        <f t="shared" ca="1" si="6"/>
        <v>0.49248278844190824</v>
      </c>
      <c r="H158" s="421">
        <f t="shared" ca="1" si="6"/>
        <v>9.0036073624747726</v>
      </c>
    </row>
    <row r="159" spans="1:9" x14ac:dyDescent="0.25">
      <c r="A159" t="s">
        <v>739</v>
      </c>
      <c r="B159" s="14">
        <f ca="1">B153*$H146*365/2000</f>
        <v>4.4728783941921542</v>
      </c>
      <c r="C159" s="14">
        <f t="shared" ca="1" si="6"/>
        <v>67.36258981345766</v>
      </c>
      <c r="D159" s="266">
        <f t="shared" ca="1" si="6"/>
        <v>1.33621752869976</v>
      </c>
      <c r="E159" s="14">
        <f t="shared" ca="1" si="6"/>
        <v>0.39413891888564762</v>
      </c>
      <c r="F159" s="424">
        <f t="shared" ca="1" si="6"/>
        <v>0.39413891888564762</v>
      </c>
      <c r="G159" s="14">
        <f t="shared" ca="1" si="6"/>
        <v>0.15367401421916094</v>
      </c>
      <c r="H159" s="14">
        <f t="shared" ca="1" si="6"/>
        <v>2.8094798809560797</v>
      </c>
    </row>
    <row r="160" spans="1:9" x14ac:dyDescent="0.25">
      <c r="A160" s="5" t="s">
        <v>486</v>
      </c>
      <c r="B160" s="251">
        <f ca="1">B154*$H147*365/2000</f>
        <v>1658.3792863884689</v>
      </c>
      <c r="C160" s="251">
        <f t="shared" ca="1" si="6"/>
        <v>77.927047200037407</v>
      </c>
      <c r="D160" s="395">
        <f t="shared" ca="1" si="6"/>
        <v>15.966835749318864</v>
      </c>
      <c r="E160" s="251">
        <f t="shared" ca="1" si="6"/>
        <v>451.10997176703256</v>
      </c>
      <c r="F160" s="425">
        <f t="shared" ca="1" si="6"/>
        <v>451.10997176703256</v>
      </c>
      <c r="G160" s="251">
        <f t="shared" ca="1" si="6"/>
        <v>16.970868830254815</v>
      </c>
      <c r="H160" s="251">
        <f t="shared" ca="1" si="6"/>
        <v>4793.0954465871027</v>
      </c>
    </row>
    <row r="161" spans="1:12" x14ac:dyDescent="0.25">
      <c r="A161" s="91" t="s">
        <v>222</v>
      </c>
      <c r="B161" s="397">
        <f ca="1">SUM(B158:B160)</f>
        <v>1677.1865051402428</v>
      </c>
      <c r="C161" s="397">
        <f t="shared" ref="C161:H161" ca="1" si="7">SUM(C158:C160)</f>
        <v>361.16813954735852</v>
      </c>
      <c r="D161" s="426">
        <f t="shared" ca="1" si="7"/>
        <v>21.585261547534643</v>
      </c>
      <c r="E161" s="397">
        <f t="shared" ca="1" si="7"/>
        <v>452.76721710499999</v>
      </c>
      <c r="F161" s="427">
        <f t="shared" ca="1" si="7"/>
        <v>452.76721710499999</v>
      </c>
      <c r="G161" s="397">
        <f t="shared" ca="1" si="7"/>
        <v>17.617025632915883</v>
      </c>
      <c r="H161" s="397">
        <f t="shared" ca="1" si="7"/>
        <v>4804.908533830534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-94.972673455874656</v>
      </c>
      <c r="C168" s="396">
        <f t="shared" ref="C168:H168" ca="1" si="8">(C$105-C$161)*$I168</f>
        <v>58.571040365979286</v>
      </c>
      <c r="D168" s="419">
        <f t="shared" ca="1" si="8"/>
        <v>669.35436362017526</v>
      </c>
      <c r="E168" s="396">
        <f t="shared" ca="1" si="8"/>
        <v>-15.295840397725783</v>
      </c>
      <c r="F168" s="420">
        <f t="shared" ca="1" si="8"/>
        <v>-15.295840397725783</v>
      </c>
      <c r="G168" s="396">
        <f t="shared" ca="1" si="8"/>
        <v>-0.96144965261441584</v>
      </c>
      <c r="H168" s="396">
        <f t="shared" ca="1" si="8"/>
        <v>-275.47213527091844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-94.972673455874656</v>
      </c>
      <c r="C169" s="396">
        <f t="shared" ca="1" si="10"/>
        <v>58.571040365979286</v>
      </c>
      <c r="D169" s="419">
        <f t="shared" ca="1" si="10"/>
        <v>669.35436362017526</v>
      </c>
      <c r="E169" s="396">
        <f t="shared" ca="1" si="10"/>
        <v>-15.295840397725783</v>
      </c>
      <c r="F169" s="420">
        <f t="shared" ca="1" si="10"/>
        <v>-15.295840397725783</v>
      </c>
      <c r="G169" s="396">
        <f t="shared" ca="1" si="10"/>
        <v>-0.96144965261441584</v>
      </c>
      <c r="H169" s="396">
        <f t="shared" ca="1" si="10"/>
        <v>-275.47213527091844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-94.972673455874656</v>
      </c>
      <c r="C170" s="396">
        <f t="shared" ca="1" si="10"/>
        <v>58.571040365979286</v>
      </c>
      <c r="D170" s="419">
        <f t="shared" ca="1" si="10"/>
        <v>669.35436362017526</v>
      </c>
      <c r="E170" s="396">
        <f t="shared" ca="1" si="10"/>
        <v>-15.295840397725783</v>
      </c>
      <c r="F170" s="420">
        <f t="shared" ca="1" si="10"/>
        <v>-15.295840397725783</v>
      </c>
      <c r="G170" s="396">
        <f t="shared" ca="1" si="10"/>
        <v>-0.96144965261441584</v>
      </c>
      <c r="H170" s="396">
        <f t="shared" ca="1" si="10"/>
        <v>-275.47213527091844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-94.972673455874656</v>
      </c>
      <c r="C171" s="396">
        <f t="shared" ca="1" si="10"/>
        <v>58.571040365979286</v>
      </c>
      <c r="D171" s="419">
        <f t="shared" ca="1" si="10"/>
        <v>669.35436362017526</v>
      </c>
      <c r="E171" s="396">
        <f t="shared" ca="1" si="10"/>
        <v>-15.295840397725783</v>
      </c>
      <c r="F171" s="420">
        <f t="shared" ca="1" si="10"/>
        <v>-15.295840397725783</v>
      </c>
      <c r="G171" s="396">
        <f t="shared" ca="1" si="10"/>
        <v>-0.96144965261441584</v>
      </c>
      <c r="H171" s="396">
        <f t="shared" ca="1" si="10"/>
        <v>-275.47213527091844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-94.972673455874656</v>
      </c>
      <c r="C172" s="396">
        <f t="shared" ca="1" si="10"/>
        <v>58.571040365979286</v>
      </c>
      <c r="D172" s="419">
        <f t="shared" ca="1" si="10"/>
        <v>669.35436362017526</v>
      </c>
      <c r="E172" s="396">
        <f t="shared" ca="1" si="10"/>
        <v>-15.295840397725783</v>
      </c>
      <c r="F172" s="420">
        <f t="shared" ca="1" si="10"/>
        <v>-15.295840397725783</v>
      </c>
      <c r="G172" s="396">
        <f t="shared" ca="1" si="10"/>
        <v>-0.96144965261441584</v>
      </c>
      <c r="H172" s="396">
        <f t="shared" ca="1" si="10"/>
        <v>-275.47213527091844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-94.972673455874656</v>
      </c>
      <c r="C173" s="396">
        <f t="shared" ca="1" si="10"/>
        <v>58.571040365979286</v>
      </c>
      <c r="D173" s="419">
        <f t="shared" ca="1" si="10"/>
        <v>669.35436362017526</v>
      </c>
      <c r="E173" s="396">
        <f t="shared" ca="1" si="10"/>
        <v>-15.295840397725783</v>
      </c>
      <c r="F173" s="420">
        <f t="shared" ca="1" si="10"/>
        <v>-15.295840397725783</v>
      </c>
      <c r="G173" s="396">
        <f t="shared" ca="1" si="10"/>
        <v>-0.96144965261441584</v>
      </c>
      <c r="H173" s="396">
        <f t="shared" ca="1" si="10"/>
        <v>-275.47213527091844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-94.972673455874656</v>
      </c>
      <c r="C174" s="396">
        <f t="shared" ca="1" si="10"/>
        <v>58.571040365979286</v>
      </c>
      <c r="D174" s="419">
        <f t="shared" ca="1" si="10"/>
        <v>669.35436362017526</v>
      </c>
      <c r="E174" s="396">
        <f t="shared" ca="1" si="10"/>
        <v>-15.295840397725783</v>
      </c>
      <c r="F174" s="420">
        <f t="shared" ca="1" si="10"/>
        <v>-15.295840397725783</v>
      </c>
      <c r="G174" s="396">
        <f t="shared" ca="1" si="10"/>
        <v>-0.96144965261441584</v>
      </c>
      <c r="H174" s="396">
        <f t="shared" ca="1" si="10"/>
        <v>-275.47213527091844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CostData!O71</f>
        <v>2.860307585698274</v>
      </c>
      <c r="O190" s="309" t="str">
        <f>CostData!$F$9</f>
        <v>/gal</v>
      </c>
      <c r="P190" s="294">
        <f t="shared" ref="P190:Q192" ca="1" si="11">G190*$N190*365</f>
        <v>117584086.17477356</v>
      </c>
      <c r="Q190" s="294">
        <f t="shared" ca="1" si="11"/>
        <v>3628.1502500764841</v>
      </c>
      <c r="R190" s="14">
        <f>CostData!O$66</f>
        <v>1.1138181664406654</v>
      </c>
      <c r="S190" s="320">
        <f>CostData!O$65</f>
        <v>491.97546434304058</v>
      </c>
      <c r="T190" s="337">
        <f>S190/R190</f>
        <v>441.70177787206057</v>
      </c>
      <c r="U190" s="320">
        <f ca="1">T190*B190</f>
        <v>14315035.578188689</v>
      </c>
      <c r="V190" s="302">
        <f ca="1">Q190+T190</f>
        <v>4069.8520279485447</v>
      </c>
      <c r="W190" s="294">
        <f ca="1">P190+U190</f>
        <v>131899121.75296225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 ca="1">OFFSET(Lookup!$AJ$15,MATCH($B$4,Lookup!$AB$16:$AB$42,0),0)</f>
        <v>2.9074740266084684</v>
      </c>
      <c r="O191" s="309" t="str">
        <f>CostData!$F$9</f>
        <v>/gal</v>
      </c>
      <c r="P191" s="294">
        <f t="shared" ca="1" si="11"/>
        <v>38587277.145092711</v>
      </c>
      <c r="Q191" s="294">
        <f t="shared" ca="1" si="11"/>
        <v>23937.516839387536</v>
      </c>
      <c r="R191" s="14">
        <f>CostData!O$66</f>
        <v>1.1138181664406654</v>
      </c>
      <c r="S191" s="320">
        <f>CostData!O$65</f>
        <v>491.97546434304058</v>
      </c>
      <c r="T191" s="337">
        <f>S191/R191</f>
        <v>441.70177787206057</v>
      </c>
      <c r="U191" s="320">
        <f ca="1">T191*B191</f>
        <v>712023.26592976169</v>
      </c>
      <c r="V191" s="302">
        <f ca="1">Q191+T191</f>
        <v>24379.218617259598</v>
      </c>
      <c r="W191" s="294">
        <f ca="1">P191+U191</f>
        <v>39299300.411022469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166817322.38074335</v>
      </c>
      <c r="Q193" s="303"/>
      <c r="T193" s="303"/>
      <c r="U193" s="295">
        <f ca="1">SUM(U190:U192)</f>
        <v>15027058.844118452</v>
      </c>
      <c r="V193" s="303"/>
      <c r="W193" s="343">
        <f ca="1">SUM(W190:W192)</f>
        <v>181844381.2248618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14763.922940025575</v>
      </c>
      <c r="F208" s="6">
        <f ca="1">E208/B208</f>
        <v>0.45555255349218932</v>
      </c>
      <c r="G208" s="311">
        <f ca="1">E208/L208</f>
        <v>110160.35165003587</v>
      </c>
      <c r="H208" s="14">
        <f ca="1">G208/B208</f>
        <v>3.3990850325912376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3.2670075856982739</v>
      </c>
      <c r="O208" s="309" t="str">
        <f>CostData!$F$9</f>
        <v>/gal</v>
      </c>
      <c r="P208" s="294">
        <f t="shared" ref="P208:Q210" ca="1" si="12">G208*$N208*365</f>
        <v>131361567.13660765</v>
      </c>
      <c r="Q208" s="294">
        <f t="shared" ca="1" si="12"/>
        <v>4053.2653538567988</v>
      </c>
      <c r="R208" s="14">
        <v>3</v>
      </c>
      <c r="S208" s="320">
        <f>CostData!O$65</f>
        <v>491.97546434304058</v>
      </c>
      <c r="T208" s="337">
        <f>S208/R208</f>
        <v>163.99182144768019</v>
      </c>
      <c r="U208" s="320">
        <f ca="1">T208*B208</f>
        <v>5314782.226743672</v>
      </c>
      <c r="V208" s="302">
        <f ca="1">Q208+T208</f>
        <v>4217.2571753044795</v>
      </c>
      <c r="W208" s="294">
        <f ca="1">P208+U208</f>
        <v>136676349.36335132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4606.9250683746714</v>
      </c>
      <c r="F209" s="6">
        <f ca="1">E209/B209</f>
        <v>2.8578939630115827</v>
      </c>
      <c r="G209" s="49">
        <f ca="1">E209/L209</f>
        <v>34326.073913216154</v>
      </c>
      <c r="H209" s="14">
        <f ca="1">G209/B209</f>
        <v>21.294090516883472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3.2670075856982739</v>
      </c>
      <c r="O209" s="309" t="str">
        <f>CostData!$F$9</f>
        <v>/gal</v>
      </c>
      <c r="P209" s="294">
        <f t="shared" ca="1" si="12"/>
        <v>40932393.509526633</v>
      </c>
      <c r="Q209" s="294">
        <f t="shared" ca="1" si="12"/>
        <v>25392.303665959451</v>
      </c>
      <c r="R209" s="14">
        <v>3</v>
      </c>
      <c r="S209" s="320">
        <f>CostData!O$65</f>
        <v>491.97546434304058</v>
      </c>
      <c r="T209" s="337">
        <f>S209/R209</f>
        <v>163.99182144768019</v>
      </c>
      <c r="U209" s="320">
        <f ca="1">T209*B209</f>
        <v>264354.81617366045</v>
      </c>
      <c r="V209" s="302">
        <f ca="1">Q209+T209</f>
        <v>25556.295487407129</v>
      </c>
      <c r="W209" s="294">
        <f ca="1">P209+U209</f>
        <v>41196748.325700291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3567.6464293318036</v>
      </c>
      <c r="F210" s="252">
        <f ca="1">E210/B210</f>
        <v>0.25411732473156101</v>
      </c>
      <c r="G210" s="94">
        <f ca="1">E210/L210</f>
        <v>317.42967005168572</v>
      </c>
      <c r="H210" s="252">
        <f ca="1">G210/B210</f>
        <v>2.2609969945666501E-2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11295800.070191612</v>
      </c>
      <c r="Q210" s="312">
        <f t="shared" ca="1" si="12"/>
        <v>804.58042897409246</v>
      </c>
      <c r="R210" s="284"/>
      <c r="S210" s="340"/>
      <c r="T210" s="341"/>
      <c r="U210" s="340"/>
      <c r="V210" s="338">
        <f ca="1">Q210+T210</f>
        <v>804.58042897409246</v>
      </c>
      <c r="W210" s="312">
        <f ca="1">P210+U210</f>
        <v>11295800.070191612</v>
      </c>
    </row>
    <row r="211" spans="1:23" x14ac:dyDescent="0.25">
      <c r="A211" s="91" t="s">
        <v>222</v>
      </c>
      <c r="B211" s="93"/>
      <c r="E211" s="93">
        <f ca="1">SUM(E208:E210)</f>
        <v>22938.49443773205</v>
      </c>
      <c r="G211" s="93">
        <f ca="1">G208*365</f>
        <v>40208528.352263093</v>
      </c>
      <c r="H211" s="342" t="s">
        <v>1473</v>
      </c>
      <c r="P211" s="295">
        <f ca="1">SUM(P208:P210)</f>
        <v>183589760.71632591</v>
      </c>
      <c r="Q211" s="303"/>
      <c r="T211" s="303"/>
      <c r="U211" s="295">
        <f ca="1">SUM(U208:U210)</f>
        <v>5579137.0429173326</v>
      </c>
      <c r="V211" s="303"/>
      <c r="W211" s="343">
        <f ca="1">SUM(W208:W210)</f>
        <v>189168897.75924322</v>
      </c>
    </row>
    <row r="212" spans="1:23" x14ac:dyDescent="0.25">
      <c r="G212" s="93">
        <f ca="1">G209*365</f>
        <v>12529016.978323895</v>
      </c>
      <c r="H212" s="342" t="s">
        <v>1472</v>
      </c>
    </row>
    <row r="213" spans="1:23" x14ac:dyDescent="0.25">
      <c r="G213" s="93">
        <f ca="1">G210*365</f>
        <v>115861.82956886529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181844381.2248618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189248080.19224671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7403698.9673849046</v>
      </c>
      <c r="D228" s="220" t="s">
        <v>669</v>
      </c>
    </row>
    <row r="230" spans="1:4" x14ac:dyDescent="0.25">
      <c r="A230" t="s">
        <v>637</v>
      </c>
      <c r="C230" s="344">
        <f ca="1">F$168</f>
        <v>-15.295840397725783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669.35436362017526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-484033.48720124603</v>
      </c>
      <c r="D233" s="345" t="s">
        <v>638</v>
      </c>
    </row>
    <row r="234" spans="1:4" x14ac:dyDescent="0.25">
      <c r="C234" s="295">
        <f ca="1">C$228/C231</f>
        <v>11060.955705647912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84708.876338924631</v>
      </c>
      <c r="D238" s="345" t="s">
        <v>1572</v>
      </c>
    </row>
  </sheetData>
  <sheetProtection algorithmName="SHA-512" hashValue="G5i/ahsG3yobKVtBAm324SMhR0MkGY5ZfXPVqjY36W4ixwge2vnbTENaOEAGfgQ+sUXVEjBNwZihV46xRol5yQ==" saltValue="lAlSe1u7b7WEggoF4EvpSA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904AE69E-E770-4908-AE0A-A6EAD13CB6BD}">
          <x14:formula1>
            <xm:f>CostData!$AB$10:$AB$13</xm:f>
          </x14:formula1>
          <xm:sqref>B219:C219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362A-7F09-4025-81C2-E600038A6C5D}">
  <sheetPr codeName="Sheet9">
    <tabColor rgb="FFFFFFCC"/>
    <pageSetUpPr fitToPage="1"/>
  </sheetPr>
  <dimension ref="A1:W238"/>
  <sheetViews>
    <sheetView zoomScaleNormal="100" workbookViewId="0">
      <selection sqref="A1:I1"/>
    </sheetView>
  </sheetViews>
  <sheetFormatPr defaultRowHeight="15" x14ac:dyDescent="0.25"/>
  <cols>
    <col min="1" max="1" width="32" customWidth="1"/>
    <col min="2" max="2" width="10.42578125" bestFit="1" customWidth="1"/>
    <col min="3" max="3" width="12.42578125" customWidth="1"/>
    <col min="4" max="4" width="9.5703125" bestFit="1" customWidth="1"/>
    <col min="5" max="6" width="9" bestFit="1" customWidth="1"/>
    <col min="7" max="7" width="10.140625" bestFit="1" customWidth="1"/>
    <col min="8" max="8" width="9.42578125" bestFit="1" customWidth="1"/>
    <col min="16" max="16" width="11.85546875" bestFit="1" customWidth="1"/>
    <col min="21" max="22" width="10.42578125" customWidth="1"/>
    <col min="23" max="23" width="12.5703125" customWidth="1"/>
  </cols>
  <sheetData>
    <row r="1" spans="1:9" ht="18.75" x14ac:dyDescent="0.3">
      <c r="A1" s="504" t="s">
        <v>1620</v>
      </c>
      <c r="B1" s="504"/>
      <c r="C1" s="504"/>
      <c r="D1" s="504"/>
      <c r="E1" s="504"/>
      <c r="F1" s="504"/>
      <c r="G1" s="504"/>
      <c r="H1" s="504"/>
      <c r="I1" s="504"/>
    </row>
    <row r="3" spans="1:9" x14ac:dyDescent="0.25">
      <c r="A3" s="214" t="s">
        <v>453</v>
      </c>
      <c r="B3" s="91" t="s">
        <v>1420</v>
      </c>
    </row>
    <row r="4" spans="1:9" x14ac:dyDescent="0.25">
      <c r="A4" s="214" t="s">
        <v>600</v>
      </c>
      <c r="B4" s="257">
        <v>2021</v>
      </c>
    </row>
    <row r="5" spans="1:9" x14ac:dyDescent="0.25">
      <c r="A5" s="214" t="s">
        <v>1421</v>
      </c>
      <c r="B5" s="257">
        <f>CostData!$O$64</f>
        <v>15</v>
      </c>
      <c r="C5" s="91" t="s">
        <v>1424</v>
      </c>
    </row>
    <row r="7" spans="1:9" ht="15.75" x14ac:dyDescent="0.25">
      <c r="A7" s="505" t="s">
        <v>454</v>
      </c>
      <c r="B7" s="505"/>
      <c r="C7" s="505"/>
      <c r="D7" s="505"/>
      <c r="E7" s="505"/>
      <c r="F7" s="505"/>
      <c r="G7" s="505"/>
      <c r="H7" s="505"/>
    </row>
    <row r="8" spans="1:9" x14ac:dyDescent="0.25">
      <c r="A8" s="2"/>
      <c r="B8" s="2"/>
      <c r="C8" s="2"/>
      <c r="D8" s="2"/>
      <c r="E8" s="2"/>
      <c r="F8" s="2"/>
      <c r="G8" s="2"/>
      <c r="H8" s="2"/>
    </row>
    <row r="9" spans="1:9" x14ac:dyDescent="0.25">
      <c r="A9" s="215" t="s">
        <v>455</v>
      </c>
      <c r="B9" s="2"/>
      <c r="C9" s="2"/>
      <c r="D9" s="2"/>
      <c r="E9" s="2"/>
      <c r="F9" s="2"/>
      <c r="G9" s="2"/>
      <c r="H9" s="2"/>
    </row>
    <row r="10" spans="1:9" x14ac:dyDescent="0.25">
      <c r="A10" s="216" t="s">
        <v>456</v>
      </c>
      <c r="B10" s="2"/>
      <c r="C10" s="2"/>
      <c r="D10" s="2"/>
      <c r="E10" s="2"/>
      <c r="F10" s="2"/>
      <c r="G10" s="2"/>
      <c r="H10" s="2"/>
    </row>
    <row r="11" spans="1:9" x14ac:dyDescent="0.25">
      <c r="A11" s="216" t="s">
        <v>457</v>
      </c>
      <c r="B11" s="2"/>
      <c r="C11" s="2"/>
      <c r="D11" s="2"/>
      <c r="E11" s="2"/>
      <c r="F11" s="2"/>
      <c r="G11" s="2"/>
      <c r="H11" s="2"/>
    </row>
    <row r="12" spans="1:9" x14ac:dyDescent="0.25">
      <c r="A12" s="216" t="s">
        <v>458</v>
      </c>
      <c r="B12" s="2"/>
      <c r="C12" s="2"/>
      <c r="D12" s="2"/>
      <c r="E12" s="2"/>
      <c r="F12" s="2"/>
      <c r="G12" s="2"/>
      <c r="H12" s="2"/>
    </row>
    <row r="13" spans="1:9" x14ac:dyDescent="0.25">
      <c r="A13" s="216" t="s">
        <v>459</v>
      </c>
      <c r="B13" s="2"/>
      <c r="C13" s="2"/>
      <c r="D13" s="2"/>
      <c r="E13" s="2"/>
      <c r="F13" s="2"/>
      <c r="G13" s="2"/>
      <c r="H13" s="2"/>
    </row>
    <row r="14" spans="1:9" x14ac:dyDescent="0.25">
      <c r="A14" s="216" t="s">
        <v>460</v>
      </c>
      <c r="B14" s="2"/>
      <c r="C14" s="2"/>
      <c r="D14" s="2"/>
      <c r="E14" s="2"/>
      <c r="F14" s="2"/>
      <c r="G14" s="2"/>
      <c r="H14" s="2"/>
    </row>
    <row r="15" spans="1:9" x14ac:dyDescent="0.25">
      <c r="A15" s="2"/>
      <c r="B15" s="2"/>
      <c r="C15" s="2"/>
      <c r="D15" s="2"/>
      <c r="E15" s="2"/>
      <c r="F15" s="2"/>
      <c r="G15" s="2"/>
      <c r="H15" s="2"/>
    </row>
    <row r="16" spans="1:9" x14ac:dyDescent="0.25">
      <c r="A16" s="91"/>
      <c r="B16" s="496" t="s">
        <v>461</v>
      </c>
      <c r="C16" s="496"/>
      <c r="D16" s="2" t="s">
        <v>462</v>
      </c>
      <c r="F16" s="496" t="s">
        <v>1559</v>
      </c>
      <c r="G16" s="496"/>
      <c r="H16" s="2"/>
    </row>
    <row r="17" spans="1:8" x14ac:dyDescent="0.25">
      <c r="A17" s="5" t="s">
        <v>463</v>
      </c>
      <c r="B17" s="15" t="s">
        <v>260</v>
      </c>
      <c r="C17" s="15" t="s">
        <v>252</v>
      </c>
      <c r="D17" s="15" t="s">
        <v>464</v>
      </c>
      <c r="F17" s="496" t="s">
        <v>1560</v>
      </c>
      <c r="G17" s="496"/>
      <c r="H17" s="217">
        <f>CostData!S$36</f>
        <v>0.48258800449429673</v>
      </c>
    </row>
    <row r="18" spans="1:8" x14ac:dyDescent="0.25">
      <c r="A18" t="s">
        <v>465</v>
      </c>
      <c r="B18" s="217">
        <v>0.31772881708698097</v>
      </c>
      <c r="C18" s="217">
        <v>0.68227118291301903</v>
      </c>
      <c r="D18" s="218">
        <f>SUMPRODUCT(B18:C18,B$20:C$20)</f>
        <v>2035.3928754647418</v>
      </c>
      <c r="G18" s="1"/>
    </row>
    <row r="19" spans="1:8" x14ac:dyDescent="0.25">
      <c r="A19" t="s">
        <v>466</v>
      </c>
      <c r="B19" s="144">
        <v>1</v>
      </c>
      <c r="C19" s="144">
        <v>0</v>
      </c>
      <c r="D19" s="218">
        <f>SUMPRODUCT(B19:C19,B$20:C$20)</f>
        <v>896</v>
      </c>
      <c r="G19" s="1"/>
      <c r="H19" s="1"/>
    </row>
    <row r="20" spans="1:8" x14ac:dyDescent="0.25">
      <c r="A20" t="s">
        <v>467</v>
      </c>
      <c r="B20" s="219">
        <v>896</v>
      </c>
      <c r="C20" s="219">
        <v>2566</v>
      </c>
      <c r="E20" s="218">
        <v>2035.3928754647418</v>
      </c>
      <c r="F20" t="s">
        <v>1627</v>
      </c>
      <c r="G20" s="1"/>
      <c r="H20" s="1"/>
    </row>
    <row r="22" spans="1:8" x14ac:dyDescent="0.25">
      <c r="B22" s="502" t="str">
        <f>$B$4&amp;" Baseline Space Heating Emission Factors (lb/mmBTU)"</f>
        <v>2021 Baseline Space Heating Emission Factors (lb/mmBTU)</v>
      </c>
      <c r="C22" s="502"/>
      <c r="D22" s="502"/>
      <c r="E22" s="502"/>
      <c r="F22" s="502"/>
      <c r="G22" s="502"/>
      <c r="H22" s="502"/>
    </row>
    <row r="23" spans="1:8" x14ac:dyDescent="0.25">
      <c r="A23" s="5" t="s">
        <v>468</v>
      </c>
      <c r="B23" s="15" t="s">
        <v>99</v>
      </c>
      <c r="C23" s="15" t="s">
        <v>100</v>
      </c>
      <c r="D23" s="256" t="s">
        <v>101</v>
      </c>
      <c r="E23" s="15" t="s">
        <v>102</v>
      </c>
      <c r="F23" s="256" t="s">
        <v>103</v>
      </c>
      <c r="G23" s="15" t="s">
        <v>104</v>
      </c>
      <c r="H23" s="15" t="s">
        <v>105</v>
      </c>
    </row>
    <row r="24" spans="1:8" x14ac:dyDescent="0.25">
      <c r="A24" t="s">
        <v>469</v>
      </c>
      <c r="B24" s="99">
        <f ca="1">INDIRECT("'DevSumOut-"&amp;$B$4&amp;"BSR'!Y76")</f>
        <v>5.3200176569290257E-3</v>
      </c>
      <c r="C24" s="99">
        <f ca="1">INDIRECT("'DevSumOut-"&amp;$B$4&amp;"BSR'!Z76")</f>
        <v>8.3691312569453044E-2</v>
      </c>
      <c r="D24" s="406">
        <f ca="1">INDIRECT("'DevSumOut-"&amp;$B$4&amp;"BSR'!AA76")</f>
        <v>0.21565530114290543</v>
      </c>
      <c r="E24" s="99">
        <f ca="1">INDIRECT("'DevSumOut-"&amp;$B$4&amp;"BSR'!AB76")</f>
        <v>3.4040911708245721E-3</v>
      </c>
      <c r="F24" s="406">
        <f ca="1">INDIRECT("'DevSumOut-"&amp;$B$4&amp;"BSR'!AC76")</f>
        <v>3.4040911708245721E-3</v>
      </c>
      <c r="G24" s="99">
        <f ca="1">INDIRECT("'DevSumOut-"&amp;$B$4&amp;"BSR'!AD76")</f>
        <v>1.8277905120752915E-4</v>
      </c>
      <c r="H24" s="99">
        <f ca="1">INDIRECT("'DevSumOut-"&amp;$B$4&amp;"BSR'!AE76")</f>
        <v>3.3415803552541441E-3</v>
      </c>
    </row>
    <row r="25" spans="1:8" x14ac:dyDescent="0.25">
      <c r="A25" t="s">
        <v>470</v>
      </c>
      <c r="B25" s="99">
        <f ca="1">INDIRECT("'DevSumOut-"&amp;$B$4&amp;"BSR'!Y78")</f>
        <v>5.1480144404332101E-3</v>
      </c>
      <c r="C25" s="99">
        <f ca="1">INDIRECT("'DevSumOut-"&amp;$B$4&amp;"BSR'!Z78")</f>
        <v>0.12996389891696747</v>
      </c>
      <c r="D25" s="406">
        <f ca="1">INDIRECT("'DevSumOut-"&amp;$B$4&amp;"BSR'!AA78")</f>
        <v>9.1864259927797828E-2</v>
      </c>
      <c r="E25" s="99">
        <f ca="1">INDIRECT("'DevSumOut-"&amp;$B$4&amp;"BSR'!AB78")</f>
        <v>3.2967299611507705E-3</v>
      </c>
      <c r="F25" s="406">
        <f ca="1">INDIRECT("'DevSumOut-"&amp;$B$4&amp;"BSR'!AC78")</f>
        <v>3.2967299611507705E-3</v>
      </c>
      <c r="G25" s="99">
        <f ca="1">INDIRECT("'DevSumOut-"&amp;$B$4&amp;"BSR'!AD78")</f>
        <v>1.7686956241573886E-4</v>
      </c>
      <c r="H25" s="99">
        <f ca="1">INDIRECT("'DevSumOut-"&amp;$B$4&amp;"BSR'!AE78")</f>
        <v>3.2335426368953805E-3</v>
      </c>
    </row>
    <row r="26" spans="1:8" x14ac:dyDescent="0.25">
      <c r="A26" t="s">
        <v>471</v>
      </c>
      <c r="B26" s="99">
        <f ca="1">INDIRECT("'DevSumOut-"&amp;$B$4&amp;"BSR'!Y79")</f>
        <v>2.547060076839482</v>
      </c>
      <c r="C26" s="99">
        <f ca="1">INDIRECT("'DevSumOut-"&amp;$B$4&amp;"BSR'!Z79")</f>
        <v>0.11968605279763904</v>
      </c>
      <c r="D26" s="406">
        <f ca="1">INDIRECT("'DevSumOut-"&amp;$B$4&amp;"BSR'!AA79")</f>
        <v>2.4523032954125466E-2</v>
      </c>
      <c r="E26" s="99">
        <f ca="1">INDIRECT("'DevSumOut-"&amp;$B$4&amp;"BSR'!AB79")</f>
        <v>0.69284765480533428</v>
      </c>
      <c r="F26" s="406">
        <f ca="1">INDIRECT("'DevSumOut-"&amp;$B$4&amp;"BSR'!AC79")</f>
        <v>0.69284765480533428</v>
      </c>
      <c r="G26" s="99">
        <f ca="1">INDIRECT("'DevSumOut-"&amp;$B$4&amp;"BSR'!AD79")</f>
        <v>2.606510031909318E-2</v>
      </c>
      <c r="H26" s="99">
        <f ca="1">INDIRECT("'DevSumOut-"&amp;$B$4&amp;"BSR'!AE79")</f>
        <v>7.36158619242629</v>
      </c>
    </row>
    <row r="27" spans="1:8" x14ac:dyDescent="0.25">
      <c r="A27" s="222"/>
    </row>
    <row r="28" spans="1:8" ht="15.75" x14ac:dyDescent="0.25">
      <c r="A28" s="505" t="s">
        <v>701</v>
      </c>
      <c r="B28" s="505"/>
      <c r="C28" s="505"/>
      <c r="D28" s="505"/>
      <c r="E28" s="505"/>
      <c r="F28" s="505"/>
      <c r="G28" s="505"/>
      <c r="H28" s="505"/>
    </row>
    <row r="29" spans="1:8" x14ac:dyDescent="0.25">
      <c r="A29" s="222"/>
    </row>
    <row r="30" spans="1:8" x14ac:dyDescent="0.25">
      <c r="A30" s="215" t="s">
        <v>455</v>
      </c>
    </row>
    <row r="31" spans="1:8" ht="18" x14ac:dyDescent="0.35">
      <c r="A31" s="216" t="s">
        <v>740</v>
      </c>
    </row>
    <row r="32" spans="1:8" ht="18" x14ac:dyDescent="0.35">
      <c r="A32" s="216" t="s">
        <v>601</v>
      </c>
    </row>
    <row r="33" spans="1:7" x14ac:dyDescent="0.25">
      <c r="A33" s="216" t="s">
        <v>702</v>
      </c>
    </row>
    <row r="34" spans="1:7" x14ac:dyDescent="0.25">
      <c r="A34" s="216" t="s">
        <v>703</v>
      </c>
    </row>
    <row r="35" spans="1:7" x14ac:dyDescent="0.25">
      <c r="A35" s="216" t="s">
        <v>704</v>
      </c>
    </row>
    <row r="36" spans="1:7" x14ac:dyDescent="0.25">
      <c r="A36" s="216" t="s">
        <v>705</v>
      </c>
    </row>
    <row r="37" spans="1:7" x14ac:dyDescent="0.25">
      <c r="A37" s="216"/>
    </row>
    <row r="38" spans="1:7" x14ac:dyDescent="0.25">
      <c r="A38" s="503" t="s">
        <v>472</v>
      </c>
      <c r="B38" s="503"/>
      <c r="C38" s="503"/>
      <c r="D38" s="503"/>
      <c r="E38" s="503"/>
      <c r="F38" s="503"/>
      <c r="G38" s="503"/>
    </row>
    <row r="52" spans="1:8" x14ac:dyDescent="0.25">
      <c r="A52" s="222" t="s">
        <v>741</v>
      </c>
    </row>
    <row r="53" spans="1:8" x14ac:dyDescent="0.25">
      <c r="A53" s="222"/>
    </row>
    <row r="54" spans="1:8" x14ac:dyDescent="0.25">
      <c r="A54" s="222"/>
      <c r="B54" s="136" t="s">
        <v>706</v>
      </c>
    </row>
    <row r="55" spans="1:8" x14ac:dyDescent="0.25">
      <c r="A55" s="222"/>
      <c r="B55" s="223" t="s">
        <v>707</v>
      </c>
      <c r="C55" s="224">
        <f>ULSEFs!$O$69</f>
        <v>1.942443864412639E-6</v>
      </c>
      <c r="D55" s="225" t="s">
        <v>473</v>
      </c>
      <c r="E55" s="224">
        <f>ULSEFs!$Q$69</f>
        <v>5.9763082405351123E-4</v>
      </c>
    </row>
    <row r="57" spans="1:8" x14ac:dyDescent="0.25">
      <c r="E57" t="s">
        <v>474</v>
      </c>
    </row>
    <row r="58" spans="1:8" x14ac:dyDescent="0.25">
      <c r="C58" s="2" t="s">
        <v>462</v>
      </c>
      <c r="E58" s="2" t="s">
        <v>91</v>
      </c>
    </row>
    <row r="59" spans="1:8" x14ac:dyDescent="0.25">
      <c r="A59" s="5" t="s">
        <v>708</v>
      </c>
      <c r="B59" s="5"/>
      <c r="C59" s="15" t="s">
        <v>464</v>
      </c>
      <c r="D59" s="5"/>
      <c r="E59" s="5" t="s">
        <v>197</v>
      </c>
      <c r="F59" s="5"/>
    </row>
    <row r="60" spans="1:8" x14ac:dyDescent="0.25">
      <c r="A60" t="s">
        <v>709</v>
      </c>
      <c r="C60" s="13">
        <f>D18</f>
        <v>2035.3928754647418</v>
      </c>
      <c r="E60" s="323">
        <f>C60*C$55+E$55</f>
        <v>4.5512672266691976E-3</v>
      </c>
    </row>
    <row r="61" spans="1:8" x14ac:dyDescent="0.25">
      <c r="A61" s="5" t="s">
        <v>710</v>
      </c>
      <c r="B61" s="5"/>
      <c r="C61" s="333">
        <f>$B$5</f>
        <v>15</v>
      </c>
      <c r="D61" s="5"/>
      <c r="E61" s="324">
        <f>C61*C$55+E$55</f>
        <v>6.2676748201970082E-4</v>
      </c>
      <c r="F61" s="5"/>
    </row>
    <row r="62" spans="1:8" x14ac:dyDescent="0.25">
      <c r="D62" s="214" t="s">
        <v>1425</v>
      </c>
      <c r="E62" s="325">
        <f>1-E61/E60</f>
        <v>0.86228725961266073</v>
      </c>
    </row>
    <row r="64" spans="1:8" x14ac:dyDescent="0.25">
      <c r="A64" s="496" t="s">
        <v>747</v>
      </c>
      <c r="B64" s="496"/>
      <c r="C64" s="496"/>
      <c r="D64" s="496"/>
      <c r="E64" s="496"/>
      <c r="F64" s="496"/>
      <c r="G64" s="496"/>
      <c r="H64" s="496"/>
    </row>
    <row r="66" spans="1:8" x14ac:dyDescent="0.25">
      <c r="A66" s="1" t="s">
        <v>748</v>
      </c>
      <c r="B66" s="49">
        <v>130116.60120120121</v>
      </c>
      <c r="C66" t="s">
        <v>51</v>
      </c>
      <c r="D66" t="s">
        <v>1470</v>
      </c>
    </row>
    <row r="67" spans="1:8" x14ac:dyDescent="0.25">
      <c r="A67" s="1" t="s">
        <v>749</v>
      </c>
      <c r="B67" s="49">
        <v>125684.61323191733</v>
      </c>
      <c r="C67" t="s">
        <v>51</v>
      </c>
      <c r="D67" t="s">
        <v>1470</v>
      </c>
    </row>
    <row r="68" spans="1:8" x14ac:dyDescent="0.25">
      <c r="A68" s="1" t="s">
        <v>750</v>
      </c>
      <c r="B68" s="221">
        <f>1-B67/B66</f>
        <v>3.406166414100098E-2</v>
      </c>
    </row>
    <row r="69" spans="1:8" x14ac:dyDescent="0.25">
      <c r="A69" s="315" t="s">
        <v>1429</v>
      </c>
      <c r="B69" s="221"/>
    </row>
    <row r="70" spans="1:8" x14ac:dyDescent="0.25">
      <c r="A70" s="1"/>
      <c r="B70" s="221"/>
    </row>
    <row r="72" spans="1:8" x14ac:dyDescent="0.25">
      <c r="B72" s="502" t="s">
        <v>1426</v>
      </c>
      <c r="C72" s="502"/>
      <c r="D72" s="502"/>
      <c r="E72" s="502"/>
      <c r="F72" s="502"/>
      <c r="G72" s="502"/>
      <c r="H72" s="502"/>
    </row>
    <row r="73" spans="1:8" x14ac:dyDescent="0.25">
      <c r="A73" s="5" t="s">
        <v>1427</v>
      </c>
      <c r="B73" s="15" t="s">
        <v>99</v>
      </c>
      <c r="C73" s="15" t="s">
        <v>100</v>
      </c>
      <c r="D73" s="239" t="s">
        <v>101</v>
      </c>
      <c r="E73" s="15" t="s">
        <v>102</v>
      </c>
      <c r="F73" s="239" t="s">
        <v>103</v>
      </c>
      <c r="G73" s="15" t="s">
        <v>104</v>
      </c>
      <c r="H73" s="15" t="s">
        <v>105</v>
      </c>
    </row>
    <row r="74" spans="1:8" x14ac:dyDescent="0.25">
      <c r="A74" t="s">
        <v>1428</v>
      </c>
      <c r="B74" s="394">
        <f ca="1">B$24</f>
        <v>5.3200176569290257E-3</v>
      </c>
      <c r="C74" s="99">
        <f ca="1">AVERAGE(C24:C25)*(1-25%)</f>
        <v>8.0120704307407697E-2</v>
      </c>
      <c r="D74" s="407">
        <f ca="1">D$24*C61/D$18</f>
        <v>1.5892899872733278E-3</v>
      </c>
      <c r="E74" s="323">
        <f ca="1">F74</f>
        <v>4.6878672366259806E-4</v>
      </c>
      <c r="F74" s="407">
        <f ca="1">F$24*(1-E62)</f>
        <v>4.6878672366259806E-4</v>
      </c>
      <c r="G74" s="394">
        <f ca="1">G24</f>
        <v>1.8277905120752915E-4</v>
      </c>
      <c r="H74" s="394">
        <f ca="1">H24</f>
        <v>3.3415803552541441E-3</v>
      </c>
    </row>
    <row r="75" spans="1:8" x14ac:dyDescent="0.25">
      <c r="A75" s="222"/>
    </row>
    <row r="76" spans="1:8" ht="15.75" thickBot="1" x14ac:dyDescent="0.3">
      <c r="A76" s="222"/>
    </row>
    <row r="77" spans="1:8" ht="16.5" thickBot="1" x14ac:dyDescent="0.3">
      <c r="A77" s="498" t="s">
        <v>475</v>
      </c>
      <c r="B77" s="499"/>
      <c r="C77" s="500"/>
    </row>
    <row r="79" spans="1:8" x14ac:dyDescent="0.25">
      <c r="A79" s="215" t="s">
        <v>455</v>
      </c>
    </row>
    <row r="80" spans="1:8" x14ac:dyDescent="0.25">
      <c r="A80" s="216" t="s">
        <v>476</v>
      </c>
    </row>
    <row r="81" spans="1:8" x14ac:dyDescent="0.25">
      <c r="A81" s="216" t="s">
        <v>477</v>
      </c>
    </row>
    <row r="82" spans="1:8" x14ac:dyDescent="0.25">
      <c r="A82" s="216" t="s">
        <v>478</v>
      </c>
    </row>
    <row r="83" spans="1:8" x14ac:dyDescent="0.25">
      <c r="A83" s="216" t="s">
        <v>479</v>
      </c>
    </row>
    <row r="85" spans="1:8" x14ac:dyDescent="0.25">
      <c r="B85" s="496" t="str">
        <f>$B$4&amp;" Nonattainment Area Heating Energy by"</f>
        <v>2021 Nonattainment Area Heating Energy by</v>
      </c>
      <c r="C85" s="496"/>
      <c r="D85" s="496"/>
      <c r="E85" s="496"/>
      <c r="F85" s="496"/>
    </row>
    <row r="86" spans="1:8" x14ac:dyDescent="0.25">
      <c r="B86" s="496" t="s">
        <v>480</v>
      </c>
      <c r="C86" s="496"/>
      <c r="D86" s="496"/>
      <c r="E86" s="496"/>
      <c r="F86" s="496"/>
    </row>
    <row r="87" spans="1:8" x14ac:dyDescent="0.25">
      <c r="C87" s="2"/>
      <c r="D87" s="2" t="s">
        <v>1558</v>
      </c>
      <c r="E87" s="2" t="s">
        <v>481</v>
      </c>
    </row>
    <row r="88" spans="1:8" x14ac:dyDescent="0.25">
      <c r="A88" s="5" t="s">
        <v>468</v>
      </c>
      <c r="B88" s="5"/>
      <c r="C88" s="15" t="s">
        <v>602</v>
      </c>
      <c r="D88" s="15" t="s">
        <v>482</v>
      </c>
      <c r="E88" s="15" t="s">
        <v>483</v>
      </c>
      <c r="F88" s="5"/>
    </row>
    <row r="89" spans="1:8" x14ac:dyDescent="0.25">
      <c r="A89" t="s">
        <v>484</v>
      </c>
      <c r="C89" s="49">
        <f ca="1">INDIRECT("'DevSumOut-"&amp;$B$4&amp;"BSR'!U76")</f>
        <v>31278.281183202227</v>
      </c>
      <c r="D89" s="463">
        <f>CostData!S$36</f>
        <v>0.48258800449429673</v>
      </c>
      <c r="E89" s="49">
        <f ca="1">C89*D89</f>
        <v>15094.523300213074</v>
      </c>
    </row>
    <row r="90" spans="1:8" x14ac:dyDescent="0.25">
      <c r="A90" t="s">
        <v>485</v>
      </c>
      <c r="C90" s="49">
        <f ca="1">INDIRECT("'DevSumOut-"&amp;$B$4&amp;"BSR'!U78")</f>
        <v>10112.206244087163</v>
      </c>
      <c r="D90" s="464">
        <f>CostData!S$36</f>
        <v>0.48258800449429673</v>
      </c>
      <c r="E90" s="49">
        <f ca="1">C90*D90</f>
        <v>4880.0294323687913</v>
      </c>
    </row>
    <row r="91" spans="1:8" x14ac:dyDescent="0.25">
      <c r="A91" s="5" t="s">
        <v>486</v>
      </c>
      <c r="B91" s="5"/>
      <c r="C91" s="94">
        <f ca="1">INDIRECT("'DevSumOut-"&amp;$B$4&amp;"BSR'!U79")</f>
        <v>6967.4374630648108</v>
      </c>
      <c r="D91" s="226">
        <f>CostData!S$36</f>
        <v>0.48258800449429673</v>
      </c>
      <c r="E91" s="94">
        <f ca="1">C91*D91</f>
        <v>3362.4017417392524</v>
      </c>
      <c r="F91" s="5"/>
    </row>
    <row r="92" spans="1:8" x14ac:dyDescent="0.25">
      <c r="A92" s="91" t="s">
        <v>222</v>
      </c>
      <c r="C92" s="93">
        <f ca="1">SUM(C89:C91)</f>
        <v>48357.924890354203</v>
      </c>
      <c r="D92" s="91"/>
      <c r="E92" s="93">
        <f ca="1">SUM(E89:E91)</f>
        <v>23336.954474321119</v>
      </c>
    </row>
    <row r="94" spans="1:8" x14ac:dyDescent="0.25">
      <c r="B94" s="502" t="s">
        <v>487</v>
      </c>
      <c r="C94" s="502"/>
      <c r="D94" s="502"/>
      <c r="E94" s="502"/>
      <c r="F94" s="502"/>
      <c r="G94" s="502"/>
      <c r="H94" s="502"/>
    </row>
    <row r="95" spans="1:8" x14ac:dyDescent="0.25">
      <c r="A95" s="5" t="s">
        <v>468</v>
      </c>
      <c r="B95" s="15" t="s">
        <v>99</v>
      </c>
      <c r="C95" s="15" t="s">
        <v>100</v>
      </c>
      <c r="D95" s="15" t="s">
        <v>101</v>
      </c>
      <c r="E95" s="15" t="s">
        <v>102</v>
      </c>
      <c r="F95" s="15" t="s">
        <v>103</v>
      </c>
      <c r="G95" s="15" t="s">
        <v>104</v>
      </c>
      <c r="H95" s="15" t="s">
        <v>105</v>
      </c>
    </row>
    <row r="96" spans="1:8" x14ac:dyDescent="0.25">
      <c r="A96" t="s">
        <v>488</v>
      </c>
      <c r="B96" s="99">
        <f t="shared" ref="B96:H98" ca="1" si="0">B24</f>
        <v>5.3200176569290257E-3</v>
      </c>
      <c r="C96" s="99">
        <f t="shared" ca="1" si="0"/>
        <v>8.3691312569453044E-2</v>
      </c>
      <c r="D96" s="99">
        <f t="shared" ca="1" si="0"/>
        <v>0.21565530114290543</v>
      </c>
      <c r="E96" s="99">
        <f t="shared" ca="1" si="0"/>
        <v>3.4040911708245721E-3</v>
      </c>
      <c r="F96" s="99">
        <f t="shared" ca="1" si="0"/>
        <v>3.4040911708245721E-3</v>
      </c>
      <c r="G96" s="99">
        <f t="shared" ca="1" si="0"/>
        <v>1.8277905120752915E-4</v>
      </c>
      <c r="H96" s="99">
        <f t="shared" ca="1" si="0"/>
        <v>3.3415803552541441E-3</v>
      </c>
    </row>
    <row r="97" spans="1:8" x14ac:dyDescent="0.25">
      <c r="A97" t="s">
        <v>489</v>
      </c>
      <c r="B97" s="99">
        <f t="shared" ca="1" si="0"/>
        <v>5.1480144404332101E-3</v>
      </c>
      <c r="C97" s="99">
        <f t="shared" ca="1" si="0"/>
        <v>0.12996389891696747</v>
      </c>
      <c r="D97" s="99">
        <f t="shared" ca="1" si="0"/>
        <v>9.1864259927797828E-2</v>
      </c>
      <c r="E97" s="99">
        <f t="shared" ca="1" si="0"/>
        <v>3.2967299611507705E-3</v>
      </c>
      <c r="F97" s="99">
        <f t="shared" ca="1" si="0"/>
        <v>3.2967299611507705E-3</v>
      </c>
      <c r="G97" s="99">
        <f t="shared" ca="1" si="0"/>
        <v>1.7686956241573886E-4</v>
      </c>
      <c r="H97" s="99">
        <f t="shared" ca="1" si="0"/>
        <v>3.2335426368953805E-3</v>
      </c>
    </row>
    <row r="98" spans="1:8" x14ac:dyDescent="0.25">
      <c r="A98" s="5" t="s">
        <v>486</v>
      </c>
      <c r="B98" s="101">
        <f t="shared" ca="1" si="0"/>
        <v>2.547060076839482</v>
      </c>
      <c r="C98" s="101">
        <f t="shared" ca="1" si="0"/>
        <v>0.11968605279763904</v>
      </c>
      <c r="D98" s="101">
        <f t="shared" ca="1" si="0"/>
        <v>2.4523032954125466E-2</v>
      </c>
      <c r="E98" s="101">
        <f t="shared" ca="1" si="0"/>
        <v>0.69284765480533428</v>
      </c>
      <c r="F98" s="101">
        <f t="shared" ca="1" si="0"/>
        <v>0.69284765480533428</v>
      </c>
      <c r="G98" s="101">
        <f t="shared" ca="1" si="0"/>
        <v>2.606510031909318E-2</v>
      </c>
      <c r="H98" s="101">
        <f t="shared" ca="1" si="0"/>
        <v>7.36158619242629</v>
      </c>
    </row>
    <row r="99" spans="1:8" x14ac:dyDescent="0.25">
      <c r="B99" s="6"/>
      <c r="C99" s="6"/>
      <c r="D99" s="6"/>
      <c r="E99" s="6"/>
      <c r="F99" s="6"/>
      <c r="G99" s="6"/>
      <c r="H99" s="6"/>
    </row>
    <row r="100" spans="1:8" x14ac:dyDescent="0.25">
      <c r="B100" s="496" t="str">
        <f>$B$4&amp;" Baseline Emissions by Affected Fuel Type (tons/year)"</f>
        <v>2021 Baseline Emissions by Affected Fuel Type (tons/year)</v>
      </c>
      <c r="C100" s="496"/>
      <c r="D100" s="496"/>
      <c r="E100" s="496"/>
      <c r="F100" s="496"/>
      <c r="G100" s="496"/>
      <c r="H100" s="496"/>
    </row>
    <row r="101" spans="1:8" x14ac:dyDescent="0.25">
      <c r="A101" s="5" t="s">
        <v>23</v>
      </c>
      <c r="B101" s="15" t="s">
        <v>99</v>
      </c>
      <c r="C101" s="15" t="s">
        <v>100</v>
      </c>
      <c r="D101" s="265" t="s">
        <v>101</v>
      </c>
      <c r="E101" s="15" t="s">
        <v>102</v>
      </c>
      <c r="F101" s="263" t="s">
        <v>103</v>
      </c>
      <c r="G101" s="15" t="s">
        <v>104</v>
      </c>
      <c r="H101" s="15" t="s">
        <v>105</v>
      </c>
    </row>
    <row r="102" spans="1:8" x14ac:dyDescent="0.25">
      <c r="A102" t="s">
        <v>488</v>
      </c>
      <c r="B102" s="421">
        <f ca="1">B96*$E89*365/2000</f>
        <v>14.655321312610974</v>
      </c>
      <c r="C102" s="421">
        <f t="shared" ref="C102:H104" ca="1" si="1">C96*$E89*365/2000</f>
        <v>230.54868533791694</v>
      </c>
      <c r="D102" s="422">
        <f t="shared" ca="1" si="1"/>
        <v>594.07654914467969</v>
      </c>
      <c r="E102" s="421">
        <f t="shared" ca="1" si="1"/>
        <v>9.3774218626661519</v>
      </c>
      <c r="F102" s="423">
        <f t="shared" ca="1" si="1"/>
        <v>9.3774218626661519</v>
      </c>
      <c r="G102" s="421">
        <f t="shared" ca="1" si="1"/>
        <v>0.5035106831218269</v>
      </c>
      <c r="H102" s="421">
        <f t="shared" ca="1" si="1"/>
        <v>9.2052201620750278</v>
      </c>
    </row>
    <row r="103" spans="1:8" x14ac:dyDescent="0.25">
      <c r="A103" t="s">
        <v>489</v>
      </c>
      <c r="B103" s="14">
        <f ca="1">B97*$E90*365/2000</f>
        <v>4.5848493127321852</v>
      </c>
      <c r="C103" s="14">
        <f t="shared" ca="1" si="1"/>
        <v>115.74654646448718</v>
      </c>
      <c r="D103" s="266">
        <f t="shared" ca="1" si="1"/>
        <v>81.814803332053529</v>
      </c>
      <c r="E103" s="14">
        <f t="shared" ca="1" si="1"/>
        <v>2.9360854114802706</v>
      </c>
      <c r="F103" s="424">
        <f t="shared" ca="1" si="1"/>
        <v>2.9360854114802706</v>
      </c>
      <c r="G103" s="14">
        <f t="shared" ca="1" si="1"/>
        <v>0.15752098232591652</v>
      </c>
      <c r="H103" s="14">
        <f t="shared" ca="1" si="1"/>
        <v>2.8798104410935648</v>
      </c>
    </row>
    <row r="104" spans="1:8" x14ac:dyDescent="0.25">
      <c r="A104" s="5" t="s">
        <v>486</v>
      </c>
      <c r="B104" s="251">
        <f ca="1">B98*$E91*365/2000</f>
        <v>1562.9736610590251</v>
      </c>
      <c r="C104" s="251">
        <f t="shared" ca="1" si="1"/>
        <v>73.443948110933661</v>
      </c>
      <c r="D104" s="395">
        <f t="shared" ca="1" si="1"/>
        <v>15.048272690976701</v>
      </c>
      <c r="E104" s="251">
        <f t="shared" ca="1" si="1"/>
        <v>425.15786943312776</v>
      </c>
      <c r="F104" s="425">
        <f t="shared" ca="1" si="1"/>
        <v>425.15786943312776</v>
      </c>
      <c r="G104" s="251">
        <f t="shared" ca="1" si="1"/>
        <v>15.994544314853723</v>
      </c>
      <c r="H104" s="251">
        <f t="shared" ca="1" si="1"/>
        <v>4517.3513679564467</v>
      </c>
    </row>
    <row r="105" spans="1:8" x14ac:dyDescent="0.25">
      <c r="A105" s="91" t="s">
        <v>222</v>
      </c>
      <c r="B105" s="397">
        <f ca="1">SUM(B102:B104)</f>
        <v>1582.2138316843682</v>
      </c>
      <c r="C105" s="397">
        <f t="shared" ref="C105:H105" ca="1" si="2">SUM(C102:C104)</f>
        <v>419.73917991333781</v>
      </c>
      <c r="D105" s="426">
        <f t="shared" ca="1" si="2"/>
        <v>690.93962516770989</v>
      </c>
      <c r="E105" s="397">
        <f t="shared" ca="1" si="2"/>
        <v>437.4713767072742</v>
      </c>
      <c r="F105" s="427">
        <f t="shared" ca="1" si="2"/>
        <v>437.4713767072742</v>
      </c>
      <c r="G105" s="397">
        <f t="shared" ca="1" si="2"/>
        <v>16.655575980301467</v>
      </c>
      <c r="H105" s="397">
        <f t="shared" ca="1" si="2"/>
        <v>4529.4363985596156</v>
      </c>
    </row>
    <row r="106" spans="1:8" x14ac:dyDescent="0.25">
      <c r="A106" s="91"/>
      <c r="B106" s="227"/>
      <c r="C106" s="227"/>
      <c r="D106" s="227"/>
      <c r="E106" s="227"/>
      <c r="F106" s="227"/>
      <c r="G106" s="227"/>
      <c r="H106" s="227"/>
    </row>
    <row r="107" spans="1:8" ht="15.75" thickBot="1" x14ac:dyDescent="0.3"/>
    <row r="108" spans="1:8" ht="16.5" thickBot="1" x14ac:dyDescent="0.3">
      <c r="A108" s="498" t="s">
        <v>490</v>
      </c>
      <c r="B108" s="499"/>
      <c r="C108" s="500"/>
      <c r="H108" s="220"/>
    </row>
    <row r="110" spans="1:8" x14ac:dyDescent="0.25">
      <c r="A110" s="215" t="s">
        <v>455</v>
      </c>
    </row>
    <row r="111" spans="1:8" ht="18" x14ac:dyDescent="0.35">
      <c r="A111" s="216" t="s">
        <v>742</v>
      </c>
    </row>
    <row r="112" spans="1:8" x14ac:dyDescent="0.25">
      <c r="A112" s="216" t="s">
        <v>711</v>
      </c>
    </row>
    <row r="113" spans="1:9" x14ac:dyDescent="0.25">
      <c r="A113" s="216" t="s">
        <v>712</v>
      </c>
    </row>
    <row r="114" spans="1:9" x14ac:dyDescent="0.25">
      <c r="A114" s="216" t="s">
        <v>713</v>
      </c>
    </row>
    <row r="115" spans="1:9" x14ac:dyDescent="0.25">
      <c r="A115" s="216" t="s">
        <v>714</v>
      </c>
    </row>
    <row r="117" spans="1:9" x14ac:dyDescent="0.25">
      <c r="B117" s="503" t="s">
        <v>715</v>
      </c>
      <c r="C117" s="503"/>
      <c r="D117" s="503"/>
      <c r="E117" s="503"/>
      <c r="F117" s="503"/>
      <c r="G117" s="503"/>
      <c r="H117" s="503"/>
    </row>
    <row r="118" spans="1:9" x14ac:dyDescent="0.25">
      <c r="B118" s="1"/>
      <c r="D118" s="64"/>
      <c r="E118" s="64"/>
      <c r="F118" s="228"/>
    </row>
    <row r="119" spans="1:9" x14ac:dyDescent="0.25">
      <c r="B119" s="1"/>
      <c r="C119" s="326" t="s">
        <v>716</v>
      </c>
      <c r="D119" s="408">
        <f>D138</f>
        <v>0.81</v>
      </c>
      <c r="E119" s="228"/>
    </row>
    <row r="120" spans="1:9" x14ac:dyDescent="0.25">
      <c r="B120" s="1"/>
      <c r="C120" s="326" t="s">
        <v>717</v>
      </c>
      <c r="D120" s="467">
        <f>CostData!O$69</f>
        <v>1.4999999999999999E-2</v>
      </c>
      <c r="E120" s="14" t="s">
        <v>1568</v>
      </c>
    </row>
    <row r="121" spans="1:9" x14ac:dyDescent="0.25">
      <c r="B121" s="1"/>
      <c r="C121" s="326" t="s">
        <v>718</v>
      </c>
      <c r="D121" s="328">
        <f>1-1/(1+D120)</f>
        <v>1.477832512315258E-2</v>
      </c>
      <c r="F121" s="228"/>
    </row>
    <row r="122" spans="1:9" x14ac:dyDescent="0.25">
      <c r="B122" s="1"/>
      <c r="D122" s="326"/>
      <c r="E122" s="64"/>
      <c r="F122" s="228"/>
    </row>
    <row r="123" spans="1:9" x14ac:dyDescent="0.25">
      <c r="B123" s="503" t="s">
        <v>719</v>
      </c>
      <c r="C123" s="503"/>
      <c r="D123" s="503"/>
      <c r="E123" s="503"/>
      <c r="F123" s="503"/>
      <c r="G123" s="503"/>
      <c r="H123" s="503"/>
    </row>
    <row r="124" spans="1:9" x14ac:dyDescent="0.25">
      <c r="B124" s="1"/>
      <c r="D124" s="64"/>
      <c r="E124" s="326"/>
      <c r="F124" s="228"/>
    </row>
    <row r="125" spans="1:9" x14ac:dyDescent="0.25">
      <c r="B125" s="1"/>
      <c r="C125" s="326" t="s">
        <v>720</v>
      </c>
      <c r="D125" s="409">
        <v>-0.29399999999999998</v>
      </c>
      <c r="E125" s="229" t="str">
        <f>"("&amp;TEXT(-D125,"0.0%")&amp;" decrease in oil demand per 100% increase in oil price -- UAF estimate)"</f>
        <v>(29.4% decrease in oil demand per 100% increase in oil price -- UAF estimate)</v>
      </c>
      <c r="F125" s="228"/>
    </row>
    <row r="126" spans="1:9" x14ac:dyDescent="0.25">
      <c r="B126" s="1"/>
      <c r="C126" s="326" t="s">
        <v>1555</v>
      </c>
      <c r="D126" s="327">
        <v>0.40670000000000001</v>
      </c>
      <c r="E126" s="64"/>
      <c r="F126" s="1" t="s">
        <v>752</v>
      </c>
      <c r="G126" s="410">
        <f>CostData!O72</f>
        <v>5.0999999999999996</v>
      </c>
      <c r="H126" s="90" t="s">
        <v>753</v>
      </c>
      <c r="I126" s="471" t="str">
        <f>CostData!Q72</f>
        <v>(reported by Fairbanks residents July 2022)</v>
      </c>
    </row>
    <row r="127" spans="1:9" x14ac:dyDescent="0.25">
      <c r="B127" s="1"/>
      <c r="C127" s="326" t="s">
        <v>754</v>
      </c>
      <c r="D127" s="328">
        <f>D126/G126</f>
        <v>7.9745098039215687E-2</v>
      </c>
      <c r="E127" s="64"/>
      <c r="F127" s="228"/>
    </row>
    <row r="128" spans="1:9" x14ac:dyDescent="0.25">
      <c r="B128" s="1"/>
      <c r="C128" s="326" t="s">
        <v>721</v>
      </c>
      <c r="D128" s="328">
        <f>-D125*D127</f>
        <v>2.3445058823529409E-2</v>
      </c>
      <c r="E128" s="229"/>
      <c r="F128" s="228"/>
    </row>
    <row r="129" spans="1:9" x14ac:dyDescent="0.25">
      <c r="B129" s="1"/>
      <c r="C129" s="326" t="s">
        <v>722</v>
      </c>
      <c r="D129" s="409">
        <v>0.318</v>
      </c>
      <c r="E129" s="229" t="str">
        <f>"("&amp;TEXT(D129,"0.0%")&amp;" wood use increase per 100% increase in oil price)"</f>
        <v>(31.8% wood use increase per 100% increase in oil price)</v>
      </c>
      <c r="F129" s="228"/>
    </row>
    <row r="130" spans="1:9" x14ac:dyDescent="0.25">
      <c r="B130" s="1"/>
      <c r="C130" s="326" t="s">
        <v>723</v>
      </c>
      <c r="D130" s="328">
        <f>D127*D129</f>
        <v>2.5358941176470588E-2</v>
      </c>
      <c r="E130" s="229"/>
      <c r="F130" s="228"/>
    </row>
    <row r="131" spans="1:9" x14ac:dyDescent="0.25">
      <c r="B131" s="1"/>
      <c r="D131" s="64"/>
      <c r="E131" s="229"/>
      <c r="F131" s="228"/>
    </row>
    <row r="132" spans="1:9" x14ac:dyDescent="0.25">
      <c r="B132" s="503" t="s">
        <v>724</v>
      </c>
      <c r="C132" s="503"/>
      <c r="D132" s="503"/>
      <c r="E132" s="503"/>
      <c r="F132" s="503"/>
      <c r="G132" s="503"/>
      <c r="H132" s="503"/>
    </row>
    <row r="133" spans="1:9" x14ac:dyDescent="0.25">
      <c r="B133" s="496" t="s">
        <v>725</v>
      </c>
      <c r="C133" s="496"/>
      <c r="D133" s="496"/>
      <c r="E133" s="496"/>
      <c r="F133" s="496"/>
      <c r="G133" s="496"/>
      <c r="H133" s="496"/>
    </row>
    <row r="134" spans="1:9" x14ac:dyDescent="0.25">
      <c r="B134" s="2"/>
      <c r="C134" s="2"/>
      <c r="D134" s="2"/>
      <c r="E134" s="2"/>
      <c r="F134" s="2"/>
      <c r="G134" s="2"/>
      <c r="H134" s="2"/>
    </row>
    <row r="135" spans="1:9" x14ac:dyDescent="0.25">
      <c r="D135" s="496" t="s">
        <v>726</v>
      </c>
      <c r="E135" s="496"/>
      <c r="F135" s="2" t="s">
        <v>727</v>
      </c>
    </row>
    <row r="136" spans="1:9" x14ac:dyDescent="0.25">
      <c r="D136" s="2" t="s">
        <v>4</v>
      </c>
      <c r="E136" s="2" t="s">
        <v>6</v>
      </c>
      <c r="F136" s="2" t="s">
        <v>728</v>
      </c>
    </row>
    <row r="137" spans="1:9" x14ac:dyDescent="0.25">
      <c r="D137" s="15" t="s">
        <v>491</v>
      </c>
      <c r="E137" s="15" t="s">
        <v>491</v>
      </c>
      <c r="F137" s="15" t="s">
        <v>492</v>
      </c>
    </row>
    <row r="138" spans="1:9" x14ac:dyDescent="0.25">
      <c r="B138" s="1"/>
      <c r="D138" s="64">
        <f>'EFs-BTU'!D54</f>
        <v>0.81</v>
      </c>
      <c r="E138" s="64">
        <v>0.6</v>
      </c>
      <c r="F138" s="228">
        <f>E138/D138</f>
        <v>0.7407407407407407</v>
      </c>
    </row>
    <row r="139" spans="1:9" x14ac:dyDescent="0.25">
      <c r="B139" s="1"/>
      <c r="D139" s="64"/>
      <c r="E139" s="229"/>
      <c r="F139" s="228"/>
    </row>
    <row r="140" spans="1:9" x14ac:dyDescent="0.25">
      <c r="B140" s="496" t="str">
        <f>$B$4&amp;" Nonattainment Area Heating Energy by"</f>
        <v>2021 Nonattainment Area Heating Energy by</v>
      </c>
      <c r="C140" s="496"/>
      <c r="D140" s="496"/>
      <c r="E140" s="496"/>
      <c r="F140" s="496"/>
      <c r="G140" s="496"/>
      <c r="H140" s="496"/>
      <c r="I140" s="496"/>
    </row>
    <row r="141" spans="1:9" x14ac:dyDescent="0.25">
      <c r="B141" s="496" t="s">
        <v>1468</v>
      </c>
      <c r="C141" s="496"/>
      <c r="D141" s="496"/>
      <c r="E141" s="496"/>
      <c r="F141" s="496"/>
      <c r="G141" s="496"/>
      <c r="H141" s="496"/>
      <c r="I141" s="496"/>
    </row>
    <row r="142" spans="1:9" x14ac:dyDescent="0.25">
      <c r="B142" s="2" t="s">
        <v>481</v>
      </c>
      <c r="C142" s="2" t="s">
        <v>729</v>
      </c>
      <c r="D142" s="2" t="s">
        <v>730</v>
      </c>
      <c r="E142" s="2" t="s">
        <v>731</v>
      </c>
      <c r="F142" s="2" t="s">
        <v>728</v>
      </c>
      <c r="G142" s="2" t="s">
        <v>566</v>
      </c>
      <c r="H142" s="2" t="s">
        <v>481</v>
      </c>
    </row>
    <row r="143" spans="1:9" x14ac:dyDescent="0.25">
      <c r="B143" s="2" t="s">
        <v>1466</v>
      </c>
      <c r="C143" s="2" t="s">
        <v>732</v>
      </c>
      <c r="D143" s="2" t="s">
        <v>732</v>
      </c>
      <c r="E143" s="2" t="s">
        <v>733</v>
      </c>
      <c r="F143" s="2" t="s">
        <v>96</v>
      </c>
      <c r="G143" s="2" t="s">
        <v>562</v>
      </c>
      <c r="H143" s="2" t="s">
        <v>1466</v>
      </c>
    </row>
    <row r="144" spans="1:9" x14ac:dyDescent="0.25">
      <c r="A144" s="5" t="s">
        <v>468</v>
      </c>
      <c r="B144" s="15" t="s">
        <v>221</v>
      </c>
      <c r="C144" s="15" t="s">
        <v>734</v>
      </c>
      <c r="D144" s="15" t="s">
        <v>734</v>
      </c>
      <c r="E144" s="15" t="s">
        <v>735</v>
      </c>
      <c r="F144" s="15" t="s">
        <v>736</v>
      </c>
      <c r="G144" s="15" t="s">
        <v>736</v>
      </c>
      <c r="H144" s="5" t="s">
        <v>737</v>
      </c>
      <c r="I144" s="5" t="s">
        <v>1469</v>
      </c>
    </row>
    <row r="145" spans="1:9" x14ac:dyDescent="0.25">
      <c r="A145" t="s">
        <v>484</v>
      </c>
      <c r="B145" s="49">
        <f ca="1">E89</f>
        <v>15094.523300213074</v>
      </c>
      <c r="C145" s="49">
        <f ca="1">-B145*$D$121</f>
        <v>-223.07177290955087</v>
      </c>
      <c r="D145" s="49">
        <f ca="1">B145+C145</f>
        <v>14871.451527303523</v>
      </c>
      <c r="E145" s="329">
        <f ca="1">-D145*$D$128</f>
        <v>-348.66205584889735</v>
      </c>
      <c r="F145" s="330"/>
      <c r="G145" s="329">
        <f ca="1">B145*$B$68</f>
        <v>514.14458302037144</v>
      </c>
      <c r="H145" s="49">
        <f ca="1">SUM(D145:G145)</f>
        <v>15036.934054474998</v>
      </c>
      <c r="I145" s="428">
        <f ca="1">H145/B145-1</f>
        <v>-3.815241103855449E-3</v>
      </c>
    </row>
    <row r="146" spans="1:9" x14ac:dyDescent="0.25">
      <c r="A146" t="s">
        <v>485</v>
      </c>
      <c r="B146" s="49">
        <f ca="1">E90</f>
        <v>4880.0294323687913</v>
      </c>
      <c r="C146" s="49">
        <f ca="1">-B146*$D$121</f>
        <v>-72.118661562099732</v>
      </c>
      <c r="D146" s="49">
        <f ca="1">B146+C146</f>
        <v>4807.9107708066913</v>
      </c>
      <c r="E146" s="329">
        <f ca="1">-D146*$D$128</f>
        <v>-112.72175083984349</v>
      </c>
      <c r="F146" s="330"/>
      <c r="G146" s="330"/>
      <c r="H146" s="49">
        <f ca="1">SUM(D146:G146)</f>
        <v>4695.1890199668478</v>
      </c>
      <c r="I146" s="428">
        <f ca="1">H146/B146-1</f>
        <v>-3.7876905244856429E-2</v>
      </c>
    </row>
    <row r="147" spans="1:9" x14ac:dyDescent="0.25">
      <c r="A147" s="5" t="s">
        <v>486</v>
      </c>
      <c r="B147" s="94">
        <f ca="1">E91</f>
        <v>3362.4017417392524</v>
      </c>
      <c r="C147" s="331"/>
      <c r="D147" s="94">
        <f ca="1">B147+C147</f>
        <v>3362.4017417392524</v>
      </c>
      <c r="E147" s="332">
        <f ca="1">D147*D130</f>
        <v>85.266947980427958</v>
      </c>
      <c r="F147" s="332">
        <f ca="1">E147/F138-E147</f>
        <v>29.84343179314979</v>
      </c>
      <c r="G147" s="284"/>
      <c r="H147" s="94">
        <f ca="1">SUM(D147:G147)</f>
        <v>3477.5121215128302</v>
      </c>
      <c r="I147" s="429">
        <f ca="1">H147/B147-1</f>
        <v>3.4234570588235202E-2</v>
      </c>
    </row>
    <row r="148" spans="1:9" x14ac:dyDescent="0.25">
      <c r="A148" t="s">
        <v>222</v>
      </c>
      <c r="B148" s="93">
        <f t="shared" ref="B148:H148" ca="1" si="3">SUM(B145:B147)</f>
        <v>23336.954474321119</v>
      </c>
      <c r="C148" s="93">
        <f t="shared" ca="1" si="3"/>
        <v>-295.19043447165063</v>
      </c>
      <c r="D148" s="93">
        <f t="shared" ca="1" si="3"/>
        <v>23041.76403984947</v>
      </c>
      <c r="E148" s="93">
        <f t="shared" ca="1" si="3"/>
        <v>-376.11685870831286</v>
      </c>
      <c r="F148" s="93">
        <f t="shared" ca="1" si="3"/>
        <v>29.84343179314979</v>
      </c>
      <c r="G148" s="93">
        <f t="shared" ca="1" si="3"/>
        <v>514.14458302037144</v>
      </c>
      <c r="H148" s="93">
        <f t="shared" ca="1" si="3"/>
        <v>23209.635195954677</v>
      </c>
      <c r="I148" s="430">
        <f ca="1">H148/B148-1</f>
        <v>-5.4556938227110496E-3</v>
      </c>
    </row>
    <row r="149" spans="1:9" x14ac:dyDescent="0.25">
      <c r="B149" s="1"/>
      <c r="D149" s="64"/>
      <c r="E149" s="229"/>
      <c r="F149" s="228"/>
    </row>
    <row r="150" spans="1:9" x14ac:dyDescent="0.25">
      <c r="B150" s="502" t="s">
        <v>487</v>
      </c>
      <c r="C150" s="502"/>
      <c r="D150" s="502"/>
      <c r="E150" s="502"/>
      <c r="F150" s="502"/>
      <c r="G150" s="502"/>
      <c r="H150" s="502"/>
    </row>
    <row r="151" spans="1:9" x14ac:dyDescent="0.25">
      <c r="A151" s="5" t="s">
        <v>468</v>
      </c>
      <c r="B151" s="15" t="s">
        <v>99</v>
      </c>
      <c r="C151" s="15" t="s">
        <v>100</v>
      </c>
      <c r="D151" s="15" t="s">
        <v>101</v>
      </c>
      <c r="E151" s="15" t="s">
        <v>102</v>
      </c>
      <c r="F151" s="15" t="s">
        <v>103</v>
      </c>
      <c r="G151" s="15" t="s">
        <v>104</v>
      </c>
      <c r="H151" s="15" t="s">
        <v>105</v>
      </c>
    </row>
    <row r="152" spans="1:9" x14ac:dyDescent="0.25">
      <c r="A152" t="s">
        <v>738</v>
      </c>
      <c r="B152" s="99">
        <f ca="1">B$74</f>
        <v>5.3200176569290257E-3</v>
      </c>
      <c r="C152" s="99">
        <f t="shared" ref="C152:H153" ca="1" si="4">C$74</f>
        <v>8.0120704307407697E-2</v>
      </c>
      <c r="D152" s="99">
        <f t="shared" ca="1" si="4"/>
        <v>1.5892899872733278E-3</v>
      </c>
      <c r="E152" s="99">
        <f t="shared" ca="1" si="4"/>
        <v>4.6878672366259806E-4</v>
      </c>
      <c r="F152" s="99">
        <f t="shared" ca="1" si="4"/>
        <v>4.6878672366259806E-4</v>
      </c>
      <c r="G152" s="99">
        <f t="shared" ca="1" si="4"/>
        <v>1.8277905120752915E-4</v>
      </c>
      <c r="H152" s="99">
        <f t="shared" ca="1" si="4"/>
        <v>3.3415803552541441E-3</v>
      </c>
    </row>
    <row r="153" spans="1:9" x14ac:dyDescent="0.25">
      <c r="A153" t="s">
        <v>739</v>
      </c>
      <c r="B153" s="99">
        <f ca="1">B$74</f>
        <v>5.3200176569290257E-3</v>
      </c>
      <c r="C153" s="99">
        <f t="shared" ca="1" si="4"/>
        <v>8.0120704307407697E-2</v>
      </c>
      <c r="D153" s="99">
        <f t="shared" ca="1" si="4"/>
        <v>1.5892899872733278E-3</v>
      </c>
      <c r="E153" s="99">
        <f t="shared" ca="1" si="4"/>
        <v>4.6878672366259806E-4</v>
      </c>
      <c r="F153" s="99">
        <f t="shared" ca="1" si="4"/>
        <v>4.6878672366259806E-4</v>
      </c>
      <c r="G153" s="99">
        <f t="shared" ca="1" si="4"/>
        <v>1.8277905120752915E-4</v>
      </c>
      <c r="H153" s="99">
        <f t="shared" ca="1" si="4"/>
        <v>3.3415803552541441E-3</v>
      </c>
    </row>
    <row r="154" spans="1:9" x14ac:dyDescent="0.25">
      <c r="A154" s="5" t="s">
        <v>486</v>
      </c>
      <c r="B154" s="101">
        <f t="shared" ref="B154:H154" ca="1" si="5">B26</f>
        <v>2.547060076839482</v>
      </c>
      <c r="C154" s="101">
        <f t="shared" ca="1" si="5"/>
        <v>0.11968605279763904</v>
      </c>
      <c r="D154" s="101">
        <f t="shared" ca="1" si="5"/>
        <v>2.4523032954125466E-2</v>
      </c>
      <c r="E154" s="101">
        <f t="shared" ca="1" si="5"/>
        <v>0.69284765480533428</v>
      </c>
      <c r="F154" s="101">
        <f t="shared" ca="1" si="5"/>
        <v>0.69284765480533428</v>
      </c>
      <c r="G154" s="101">
        <f t="shared" ca="1" si="5"/>
        <v>2.606510031909318E-2</v>
      </c>
      <c r="H154" s="101">
        <f t="shared" ca="1" si="5"/>
        <v>7.36158619242629</v>
      </c>
    </row>
    <row r="155" spans="1:9" x14ac:dyDescent="0.25">
      <c r="B155" s="1"/>
      <c r="D155" s="64"/>
      <c r="E155" s="229"/>
      <c r="F155" s="228"/>
    </row>
    <row r="156" spans="1:9" x14ac:dyDescent="0.25">
      <c r="B156" s="496" t="str">
        <f>$B$4&amp;" After ULS Emissions by Affected Fuel Type (tons/year)"</f>
        <v>2021 After ULS Emissions by Affected Fuel Type (tons/year)</v>
      </c>
      <c r="C156" s="496"/>
      <c r="D156" s="496"/>
      <c r="E156" s="496"/>
      <c r="F156" s="496"/>
      <c r="G156" s="496"/>
      <c r="H156" s="496"/>
    </row>
    <row r="157" spans="1:9" x14ac:dyDescent="0.25">
      <c r="A157" s="5" t="s">
        <v>23</v>
      </c>
      <c r="B157" s="15" t="s">
        <v>99</v>
      </c>
      <c r="C157" s="15" t="s">
        <v>100</v>
      </c>
      <c r="D157" s="265" t="s">
        <v>101</v>
      </c>
      <c r="E157" s="15" t="s">
        <v>102</v>
      </c>
      <c r="F157" s="263" t="s">
        <v>103</v>
      </c>
      <c r="G157" s="15" t="s">
        <v>104</v>
      </c>
      <c r="H157" s="15" t="s">
        <v>105</v>
      </c>
    </row>
    <row r="158" spans="1:9" x14ac:dyDescent="0.25">
      <c r="A158" t="s">
        <v>738</v>
      </c>
      <c r="B158" s="421">
        <f ca="1">B152*$H145*365/2000</f>
        <v>14.599407728348893</v>
      </c>
      <c r="C158" s="421">
        <f t="shared" ref="C158:H160" ca="1" si="6">C152*$H145*365/2000</f>
        <v>219.87047884001595</v>
      </c>
      <c r="D158" s="422">
        <f t="shared" ca="1" si="6"/>
        <v>4.3613938936021253</v>
      </c>
      <c r="E158" s="421">
        <f t="shared" ca="1" si="6"/>
        <v>1.2864634965023383</v>
      </c>
      <c r="F158" s="423">
        <f t="shared" ca="1" si="6"/>
        <v>1.2864634965023383</v>
      </c>
      <c r="G158" s="421">
        <f t="shared" ca="1" si="6"/>
        <v>0.5015896684673502</v>
      </c>
      <c r="H158" s="421">
        <f t="shared" ca="1" si="6"/>
        <v>9.1701000277426417</v>
      </c>
    </row>
    <row r="159" spans="1:9" x14ac:dyDescent="0.25">
      <c r="A159" t="s">
        <v>739</v>
      </c>
      <c r="B159" s="14">
        <f ca="1">B153*$H146*365/2000</f>
        <v>4.5585741492138325</v>
      </c>
      <c r="C159" s="14">
        <f t="shared" ca="1" si="6"/>
        <v>68.653187832347584</v>
      </c>
      <c r="D159" s="266">
        <f t="shared" ca="1" si="6"/>
        <v>1.3618180838464888</v>
      </c>
      <c r="E159" s="14">
        <f t="shared" ca="1" si="6"/>
        <v>0.40169021567055258</v>
      </c>
      <c r="F159" s="424">
        <f t="shared" ca="1" si="6"/>
        <v>0.40169021567055258</v>
      </c>
      <c r="G159" s="14">
        <f t="shared" ca="1" si="6"/>
        <v>0.15661825046149272</v>
      </c>
      <c r="H159" s="14">
        <f t="shared" ca="1" si="6"/>
        <v>2.8633066292820271</v>
      </c>
    </row>
    <row r="160" spans="1:9" x14ac:dyDescent="0.25">
      <c r="A160" s="5" t="s">
        <v>486</v>
      </c>
      <c r="B160" s="251">
        <f ca="1">B154*$H147*365/2000</f>
        <v>1616.4813931861027</v>
      </c>
      <c r="C160" s="251">
        <f t="shared" ca="1" si="6"/>
        <v>75.958270136816111</v>
      </c>
      <c r="D160" s="395">
        <f t="shared" ca="1" si="6"/>
        <v>15.563443844646956</v>
      </c>
      <c r="E160" s="251">
        <f t="shared" ca="1" si="6"/>
        <v>439.71296652537984</v>
      </c>
      <c r="F160" s="425">
        <f t="shared" ca="1" si="6"/>
        <v>439.71296652537984</v>
      </c>
      <c r="G160" s="251">
        <f t="shared" ca="1" si="6"/>
        <v>16.542110671227242</v>
      </c>
      <c r="H160" s="251">
        <f t="shared" ca="1" si="6"/>
        <v>4672.0009522346127</v>
      </c>
    </row>
    <row r="161" spans="1:12" x14ac:dyDescent="0.25">
      <c r="A161" s="91" t="s">
        <v>222</v>
      </c>
      <c r="B161" s="397">
        <f ca="1">SUM(B158:B160)</f>
        <v>1635.6393750636653</v>
      </c>
      <c r="C161" s="397">
        <f t="shared" ref="C161:H161" ca="1" si="7">SUM(C158:C160)</f>
        <v>364.48193680917967</v>
      </c>
      <c r="D161" s="426">
        <f t="shared" ca="1" si="7"/>
        <v>21.286655822095568</v>
      </c>
      <c r="E161" s="397">
        <f t="shared" ca="1" si="7"/>
        <v>441.40112023755273</v>
      </c>
      <c r="F161" s="427">
        <f t="shared" ca="1" si="7"/>
        <v>441.40112023755273</v>
      </c>
      <c r="G161" s="397">
        <f t="shared" ca="1" si="7"/>
        <v>17.200318590156083</v>
      </c>
      <c r="H161" s="397">
        <f t="shared" ca="1" si="7"/>
        <v>4684.0343588916376</v>
      </c>
    </row>
    <row r="162" spans="1:12" x14ac:dyDescent="0.25">
      <c r="B162" s="1"/>
      <c r="D162" s="64"/>
      <c r="E162" s="229"/>
      <c r="F162" s="228"/>
    </row>
    <row r="163" spans="1:12" ht="15.75" thickBot="1" x14ac:dyDescent="0.3"/>
    <row r="164" spans="1:12" ht="16.5" thickBot="1" x14ac:dyDescent="0.3">
      <c r="A164" s="230" t="s">
        <v>603</v>
      </c>
      <c r="B164" s="231"/>
      <c r="C164" s="232"/>
    </row>
    <row r="165" spans="1:12" ht="15.75" x14ac:dyDescent="0.25">
      <c r="A165" s="233"/>
    </row>
    <row r="166" spans="1:12" ht="15.75" x14ac:dyDescent="0.25">
      <c r="A166" s="233"/>
      <c r="B166" s="496" t="s">
        <v>1393</v>
      </c>
      <c r="C166" s="496"/>
      <c r="D166" s="496"/>
      <c r="E166" s="496"/>
      <c r="F166" s="496"/>
      <c r="G166" s="496"/>
      <c r="H166" s="496"/>
      <c r="I166" s="2" t="s">
        <v>604</v>
      </c>
    </row>
    <row r="167" spans="1:12" x14ac:dyDescent="0.25">
      <c r="A167" s="15" t="s">
        <v>599</v>
      </c>
      <c r="B167" s="15" t="s">
        <v>99</v>
      </c>
      <c r="C167" s="15" t="s">
        <v>100</v>
      </c>
      <c r="D167" s="255" t="s">
        <v>101</v>
      </c>
      <c r="E167" s="15" t="s">
        <v>102</v>
      </c>
      <c r="F167" s="264" t="s">
        <v>103</v>
      </c>
      <c r="G167" s="15" t="s">
        <v>104</v>
      </c>
      <c r="H167" s="15" t="s">
        <v>105</v>
      </c>
      <c r="I167" s="15" t="s">
        <v>9</v>
      </c>
    </row>
    <row r="168" spans="1:12" x14ac:dyDescent="0.25">
      <c r="A168" s="2">
        <f>$B$4+I168-1</f>
        <v>2021</v>
      </c>
      <c r="B168" s="396">
        <f ca="1">(B$105-B$161)*$I168</f>
        <v>-53.425543379297096</v>
      </c>
      <c r="C168" s="396">
        <f t="shared" ref="C168:H168" ca="1" si="8">(C$105-C$161)*$I168</f>
        <v>55.257243104158135</v>
      </c>
      <c r="D168" s="419">
        <f t="shared" ca="1" si="8"/>
        <v>669.65296934561434</v>
      </c>
      <c r="E168" s="396">
        <f t="shared" ca="1" si="8"/>
        <v>-3.9297435302785289</v>
      </c>
      <c r="F168" s="420">
        <f t="shared" ca="1" si="8"/>
        <v>-3.9297435302785289</v>
      </c>
      <c r="G168" s="396">
        <f t="shared" ca="1" si="8"/>
        <v>-0.54474260985461598</v>
      </c>
      <c r="H168" s="396">
        <f t="shared" ca="1" si="8"/>
        <v>-154.59796033202201</v>
      </c>
      <c r="I168" s="2">
        <v>1</v>
      </c>
      <c r="L168" s="222" t="s">
        <v>622</v>
      </c>
    </row>
    <row r="169" spans="1:12" x14ac:dyDescent="0.25">
      <c r="A169" s="2">
        <f t="shared" ref="A169:A174" si="9">$B$4+I169-1</f>
        <v>2022</v>
      </c>
      <c r="B169" s="396">
        <f t="shared" ref="B169:H174" ca="1" si="10">B168</f>
        <v>-53.425543379297096</v>
      </c>
      <c r="C169" s="396">
        <f t="shared" ca="1" si="10"/>
        <v>55.257243104158135</v>
      </c>
      <c r="D169" s="419">
        <f t="shared" ca="1" si="10"/>
        <v>669.65296934561434</v>
      </c>
      <c r="E169" s="396">
        <f t="shared" ca="1" si="10"/>
        <v>-3.9297435302785289</v>
      </c>
      <c r="F169" s="420">
        <f t="shared" ca="1" si="10"/>
        <v>-3.9297435302785289</v>
      </c>
      <c r="G169" s="396">
        <f t="shared" ca="1" si="10"/>
        <v>-0.54474260985461598</v>
      </c>
      <c r="H169" s="396">
        <f t="shared" ca="1" si="10"/>
        <v>-154.59796033202201</v>
      </c>
      <c r="I169" s="2">
        <v>2</v>
      </c>
    </row>
    <row r="170" spans="1:12" x14ac:dyDescent="0.25">
      <c r="A170" s="2">
        <f t="shared" si="9"/>
        <v>2023</v>
      </c>
      <c r="B170" s="396">
        <f t="shared" ca="1" si="10"/>
        <v>-53.425543379297096</v>
      </c>
      <c r="C170" s="396">
        <f t="shared" ca="1" si="10"/>
        <v>55.257243104158135</v>
      </c>
      <c r="D170" s="419">
        <f t="shared" ca="1" si="10"/>
        <v>669.65296934561434</v>
      </c>
      <c r="E170" s="396">
        <f t="shared" ca="1" si="10"/>
        <v>-3.9297435302785289</v>
      </c>
      <c r="F170" s="420">
        <f t="shared" ca="1" si="10"/>
        <v>-3.9297435302785289</v>
      </c>
      <c r="G170" s="396">
        <f t="shared" ca="1" si="10"/>
        <v>-0.54474260985461598</v>
      </c>
      <c r="H170" s="396">
        <f t="shared" ca="1" si="10"/>
        <v>-154.59796033202201</v>
      </c>
      <c r="I170" s="2">
        <v>3</v>
      </c>
    </row>
    <row r="171" spans="1:12" x14ac:dyDescent="0.25">
      <c r="A171" s="2">
        <f t="shared" si="9"/>
        <v>2024</v>
      </c>
      <c r="B171" s="396">
        <f t="shared" ca="1" si="10"/>
        <v>-53.425543379297096</v>
      </c>
      <c r="C171" s="396">
        <f t="shared" ca="1" si="10"/>
        <v>55.257243104158135</v>
      </c>
      <c r="D171" s="419">
        <f t="shared" ca="1" si="10"/>
        <v>669.65296934561434</v>
      </c>
      <c r="E171" s="396">
        <f t="shared" ca="1" si="10"/>
        <v>-3.9297435302785289</v>
      </c>
      <c r="F171" s="420">
        <f t="shared" ca="1" si="10"/>
        <v>-3.9297435302785289</v>
      </c>
      <c r="G171" s="396">
        <f t="shared" ca="1" si="10"/>
        <v>-0.54474260985461598</v>
      </c>
      <c r="H171" s="396">
        <f t="shared" ca="1" si="10"/>
        <v>-154.59796033202201</v>
      </c>
      <c r="I171" s="2">
        <v>4</v>
      </c>
    </row>
    <row r="172" spans="1:12" x14ac:dyDescent="0.25">
      <c r="A172" s="2">
        <f t="shared" si="9"/>
        <v>2025</v>
      </c>
      <c r="B172" s="396">
        <f t="shared" ca="1" si="10"/>
        <v>-53.425543379297096</v>
      </c>
      <c r="C172" s="396">
        <f t="shared" ca="1" si="10"/>
        <v>55.257243104158135</v>
      </c>
      <c r="D172" s="419">
        <f t="shared" ca="1" si="10"/>
        <v>669.65296934561434</v>
      </c>
      <c r="E172" s="396">
        <f t="shared" ca="1" si="10"/>
        <v>-3.9297435302785289</v>
      </c>
      <c r="F172" s="420">
        <f t="shared" ca="1" si="10"/>
        <v>-3.9297435302785289</v>
      </c>
      <c r="G172" s="396">
        <f t="shared" ca="1" si="10"/>
        <v>-0.54474260985461598</v>
      </c>
      <c r="H172" s="396">
        <f t="shared" ca="1" si="10"/>
        <v>-154.59796033202201</v>
      </c>
      <c r="I172" s="2">
        <v>5</v>
      </c>
    </row>
    <row r="173" spans="1:12" x14ac:dyDescent="0.25">
      <c r="A173" s="2">
        <f t="shared" si="9"/>
        <v>2026</v>
      </c>
      <c r="B173" s="396">
        <f t="shared" ca="1" si="10"/>
        <v>-53.425543379297096</v>
      </c>
      <c r="C173" s="396">
        <f t="shared" ca="1" si="10"/>
        <v>55.257243104158135</v>
      </c>
      <c r="D173" s="419">
        <f t="shared" ca="1" si="10"/>
        <v>669.65296934561434</v>
      </c>
      <c r="E173" s="396">
        <f t="shared" ca="1" si="10"/>
        <v>-3.9297435302785289</v>
      </c>
      <c r="F173" s="420">
        <f t="shared" ca="1" si="10"/>
        <v>-3.9297435302785289</v>
      </c>
      <c r="G173" s="396">
        <f t="shared" ca="1" si="10"/>
        <v>-0.54474260985461598</v>
      </c>
      <c r="H173" s="396">
        <f t="shared" ca="1" si="10"/>
        <v>-154.59796033202201</v>
      </c>
      <c r="I173" s="2">
        <v>6</v>
      </c>
    </row>
    <row r="174" spans="1:12" x14ac:dyDescent="0.25">
      <c r="A174" s="2">
        <f t="shared" si="9"/>
        <v>2027</v>
      </c>
      <c r="B174" s="396">
        <f t="shared" ca="1" si="10"/>
        <v>-53.425543379297096</v>
      </c>
      <c r="C174" s="396">
        <f t="shared" ca="1" si="10"/>
        <v>55.257243104158135</v>
      </c>
      <c r="D174" s="419">
        <f t="shared" ca="1" si="10"/>
        <v>669.65296934561434</v>
      </c>
      <c r="E174" s="396">
        <f t="shared" ca="1" si="10"/>
        <v>-3.9297435302785289</v>
      </c>
      <c r="F174" s="420">
        <f t="shared" ca="1" si="10"/>
        <v>-3.9297435302785289</v>
      </c>
      <c r="G174" s="396">
        <f t="shared" ca="1" si="10"/>
        <v>-0.54474260985461598</v>
      </c>
      <c r="H174" s="396">
        <f t="shared" ca="1" si="10"/>
        <v>-154.59796033202201</v>
      </c>
      <c r="I174" s="2">
        <v>7</v>
      </c>
    </row>
    <row r="177" spans="1:23" ht="15.75" x14ac:dyDescent="0.25">
      <c r="A177" s="233" t="s">
        <v>627</v>
      </c>
    </row>
    <row r="178" spans="1:23" ht="15.75" thickBot="1" x14ac:dyDescent="0.3"/>
    <row r="179" spans="1:23" ht="16.5" thickBot="1" x14ac:dyDescent="0.3">
      <c r="A179" s="498" t="s">
        <v>755</v>
      </c>
      <c r="B179" s="499"/>
      <c r="C179" s="499"/>
      <c r="D179" s="500"/>
    </row>
    <row r="181" spans="1:23" x14ac:dyDescent="0.25">
      <c r="A181" s="304" t="s">
        <v>756</v>
      </c>
    </row>
    <row r="182" spans="1:23" x14ac:dyDescent="0.25">
      <c r="A182" s="304" t="s">
        <v>757</v>
      </c>
    </row>
    <row r="183" spans="1:23" x14ac:dyDescent="0.25">
      <c r="A183" s="304"/>
      <c r="C183" s="1" t="s">
        <v>758</v>
      </c>
      <c r="D183" s="221">
        <v>0.89669891861126916</v>
      </c>
    </row>
    <row r="184" spans="1:23" x14ac:dyDescent="0.25">
      <c r="A184" s="304"/>
      <c r="C184" s="1" t="s">
        <v>759</v>
      </c>
      <c r="D184" s="221">
        <v>0.38844621513944222</v>
      </c>
    </row>
    <row r="185" spans="1:23" x14ac:dyDescent="0.25">
      <c r="A185" s="304" t="s">
        <v>1467</v>
      </c>
    </row>
    <row r="186" spans="1:23" x14ac:dyDescent="0.25">
      <c r="A186" s="304"/>
    </row>
    <row r="187" spans="1:23" x14ac:dyDescent="0.25">
      <c r="A187" s="296"/>
      <c r="E187" s="496" t="s">
        <v>1397</v>
      </c>
      <c r="F187" s="496"/>
      <c r="L187" s="496" t="s">
        <v>760</v>
      </c>
      <c r="M187" s="496"/>
      <c r="P187" s="496" t="s">
        <v>670</v>
      </c>
      <c r="Q187" s="496"/>
      <c r="R187" s="496" t="s">
        <v>761</v>
      </c>
      <c r="S187" s="496"/>
      <c r="T187" s="496"/>
      <c r="U187" s="496"/>
      <c r="V187" s="496" t="s">
        <v>762</v>
      </c>
      <c r="W187" s="496"/>
    </row>
    <row r="188" spans="1:23" x14ac:dyDescent="0.25">
      <c r="B188" s="496" t="s">
        <v>763</v>
      </c>
      <c r="C188" s="496"/>
      <c r="D188" s="496"/>
      <c r="E188" s="496" t="s">
        <v>1398</v>
      </c>
      <c r="F188" s="496"/>
      <c r="G188" s="496" t="s">
        <v>1399</v>
      </c>
      <c r="H188" s="496"/>
      <c r="I188" s="496"/>
      <c r="L188" s="496" t="s">
        <v>668</v>
      </c>
      <c r="M188" s="496"/>
      <c r="N188" s="496" t="s">
        <v>764</v>
      </c>
      <c r="O188" s="496"/>
      <c r="P188" s="496" t="s">
        <v>1400</v>
      </c>
      <c r="Q188" s="496"/>
      <c r="R188" s="2" t="s">
        <v>765</v>
      </c>
      <c r="S188" s="2" t="s">
        <v>766</v>
      </c>
      <c r="T188" s="496" t="s">
        <v>1396</v>
      </c>
      <c r="U188" s="496"/>
      <c r="V188" s="496" t="s">
        <v>1400</v>
      </c>
      <c r="W188" s="496"/>
    </row>
    <row r="189" spans="1:23" x14ac:dyDescent="0.25">
      <c r="A189" s="5" t="s">
        <v>220</v>
      </c>
      <c r="B189" s="15" t="s">
        <v>767</v>
      </c>
      <c r="C189" s="497" t="s">
        <v>28</v>
      </c>
      <c r="D189" s="497"/>
      <c r="E189" s="15" t="s">
        <v>219</v>
      </c>
      <c r="F189" s="15" t="s">
        <v>768</v>
      </c>
      <c r="G189" s="15" t="s">
        <v>219</v>
      </c>
      <c r="H189" s="15" t="s">
        <v>768</v>
      </c>
      <c r="I189" s="15" t="s">
        <v>28</v>
      </c>
      <c r="J189" s="497" t="s">
        <v>23</v>
      </c>
      <c r="K189" s="497"/>
      <c r="L189" s="15" t="s">
        <v>217</v>
      </c>
      <c r="M189" s="15" t="s">
        <v>28</v>
      </c>
      <c r="N189" s="335" t="s">
        <v>628</v>
      </c>
      <c r="O189" s="336" t="s">
        <v>254</v>
      </c>
      <c r="P189" s="15" t="s">
        <v>219</v>
      </c>
      <c r="Q189" s="15" t="s">
        <v>768</v>
      </c>
      <c r="R189" s="15" t="s">
        <v>769</v>
      </c>
      <c r="S189" s="15" t="s">
        <v>770</v>
      </c>
      <c r="T189" s="15" t="s">
        <v>768</v>
      </c>
      <c r="U189" s="15" t="s">
        <v>219</v>
      </c>
      <c r="V189" s="15" t="s">
        <v>768</v>
      </c>
      <c r="W189" s="15" t="s">
        <v>219</v>
      </c>
    </row>
    <row r="190" spans="1:23" x14ac:dyDescent="0.25">
      <c r="A190" t="s">
        <v>771</v>
      </c>
      <c r="B190" s="49">
        <f ca="1">OFFSET(BuildSizeG3C!$BH$462,0,MATCH($B$4,BuildSizeG3C!$BI$2:$CH$2,0))*D183</f>
        <v>32408.824902522931</v>
      </c>
      <c r="C190" t="s">
        <v>772</v>
      </c>
      <c r="E190" s="49">
        <f ca="1">B145</f>
        <v>15094.523300213074</v>
      </c>
      <c r="F190" s="6">
        <f ca="1">E190/B190</f>
        <v>0.46575348984769915</v>
      </c>
      <c r="G190" s="311">
        <f ca="1">INDIRECT("'DevSumOut-"&amp;$B$4&amp;"BSR'!V76")*10^3*Ep2Ann</f>
        <v>112627.11147273515</v>
      </c>
      <c r="H190" s="14">
        <f ca="1">G190/B190</f>
        <v>3.4751988636270323</v>
      </c>
      <c r="I190" t="s">
        <v>773</v>
      </c>
      <c r="J190" s="496" t="s">
        <v>774</v>
      </c>
      <c r="K190" s="496"/>
      <c r="L190" s="99">
        <f ca="1">E190/G190</f>
        <v>0.13402211157539246</v>
      </c>
      <c r="M190" t="s">
        <v>775</v>
      </c>
      <c r="N190" s="302">
        <f>G$126</f>
        <v>5.0999999999999996</v>
      </c>
      <c r="O190" s="309" t="str">
        <f>CostData!$F$9</f>
        <v>/gal</v>
      </c>
      <c r="P190" s="294">
        <f t="shared" ref="P190:Q192" ca="1" si="11">G190*$N190*365</f>
        <v>209655368.00649646</v>
      </c>
      <c r="Q190" s="294">
        <f t="shared" ca="1" si="11"/>
        <v>6469.0826846417203</v>
      </c>
      <c r="R190" s="14">
        <f>CostData!O$66</f>
        <v>1.1138181664406654</v>
      </c>
      <c r="S190" s="320">
        <f>CostData!O$65</f>
        <v>491.97546434304058</v>
      </c>
      <c r="T190" s="337">
        <f>S190/R190</f>
        <v>441.70177787206057</v>
      </c>
      <c r="U190" s="320">
        <f ca="1">T190*B190</f>
        <v>14315035.578188689</v>
      </c>
      <c r="V190" s="302">
        <f ca="1">Q190+T190</f>
        <v>6910.7844625137805</v>
      </c>
      <c r="W190" s="294">
        <f ca="1">P190+U190</f>
        <v>223970403.58468515</v>
      </c>
    </row>
    <row r="191" spans="1:23" x14ac:dyDescent="0.25">
      <c r="A191" t="s">
        <v>776</v>
      </c>
      <c r="B191" s="49">
        <f ca="1">ROUND(OFFSET(BuildSizeG3C!$DG$462,0,MATCH($B$4,BuildSizeG3C!$DH$2:$EF$2,0))*98%,0)</f>
        <v>1612</v>
      </c>
      <c r="C191" t="s">
        <v>777</v>
      </c>
      <c r="E191" s="49">
        <f ca="1">B146</f>
        <v>4880.0294323687913</v>
      </c>
      <c r="F191" s="6">
        <f ca="1">E191/B191</f>
        <v>3.0273135436530962</v>
      </c>
      <c r="G191" s="49">
        <f ca="1">INDIRECT("'DevSumOut-"&amp;$B$4&amp;"BSR'!V78")*10^3*Ep2Ann</f>
        <v>36360.967132738697</v>
      </c>
      <c r="H191" s="14">
        <f ca="1">G191/B191</f>
        <v>22.55643122378331</v>
      </c>
      <c r="I191" t="s">
        <v>773</v>
      </c>
      <c r="J191" s="496" t="s">
        <v>778</v>
      </c>
      <c r="K191" s="496"/>
      <c r="L191" s="99">
        <f ca="1">E191/G191</f>
        <v>0.1342106609693258</v>
      </c>
      <c r="M191" t="s">
        <v>775</v>
      </c>
      <c r="N191" s="302">
        <f>G$126</f>
        <v>5.0999999999999996</v>
      </c>
      <c r="O191" s="309" t="str">
        <f>CostData!$F$9</f>
        <v>/gal</v>
      </c>
      <c r="P191" s="294">
        <f t="shared" ca="1" si="11"/>
        <v>67685940.317593083</v>
      </c>
      <c r="Q191" s="294">
        <f t="shared" ca="1" si="11"/>
        <v>41988.796723072628</v>
      </c>
      <c r="R191" s="14">
        <f>CostData!O$66</f>
        <v>1.1138181664406654</v>
      </c>
      <c r="S191" s="320">
        <f>CostData!O$65</f>
        <v>491.97546434304058</v>
      </c>
      <c r="T191" s="337">
        <f>S191/R191</f>
        <v>441.70177787206057</v>
      </c>
      <c r="U191" s="320">
        <f ca="1">T191*B191</f>
        <v>712023.26592976169</v>
      </c>
      <c r="V191" s="302">
        <f ca="1">Q191+T191</f>
        <v>42430.49850094469</v>
      </c>
      <c r="W191" s="294">
        <f ca="1">P191+U191</f>
        <v>68397963.583522841</v>
      </c>
    </row>
    <row r="192" spans="1:23" x14ac:dyDescent="0.25">
      <c r="A192" s="5" t="s">
        <v>486</v>
      </c>
      <c r="B192" s="94">
        <f ca="1">OFFSET(BuildSizeG3C!$BH$462,0,MATCH($B$4,BuildSizeG3C!$BI$2:$CH$2,0))*D184</f>
        <v>14039.367182463917</v>
      </c>
      <c r="C192" s="5" t="s">
        <v>779</v>
      </c>
      <c r="D192" s="5"/>
      <c r="E192" s="94">
        <f ca="1">B147</f>
        <v>3362.4017417392524</v>
      </c>
      <c r="F192" s="252">
        <f ca="1">E192/B192</f>
        <v>0.2394980983145103</v>
      </c>
      <c r="G192" s="94">
        <f ca="1">INDIRECT("'DevSumOut-"&amp;$B$4&amp;"BSR'!V79")*Ep2Ann</f>
        <v>299.16812010471773</v>
      </c>
      <c r="H192" s="252">
        <f ca="1">G192/B192</f>
        <v>2.1309231122496615E-2</v>
      </c>
      <c r="I192" s="5" t="s">
        <v>237</v>
      </c>
      <c r="J192" s="497" t="s">
        <v>6</v>
      </c>
      <c r="K192" s="497"/>
      <c r="L192" s="251">
        <f ca="1">E192/G192</f>
        <v>11.23917127454059</v>
      </c>
      <c r="M192" s="5" t="s">
        <v>290</v>
      </c>
      <c r="N192" s="313">
        <f>CostData!$I$17</f>
        <v>97.493713954151573</v>
      </c>
      <c r="O192" s="339" t="s">
        <v>290</v>
      </c>
      <c r="P192" s="312">
        <f t="shared" ca="1" si="11"/>
        <v>10645959.060877074</v>
      </c>
      <c r="Q192" s="312">
        <f t="shared" ca="1" si="11"/>
        <v>758.29337052845005</v>
      </c>
      <c r="R192" s="284"/>
      <c r="S192" s="340"/>
      <c r="T192" s="341"/>
      <c r="U192" s="340"/>
      <c r="V192" s="338">
        <f ca="1">Q192+T192</f>
        <v>758.29337052845005</v>
      </c>
      <c r="W192" s="312">
        <f ca="1">P192+U192</f>
        <v>10645959.060877074</v>
      </c>
    </row>
    <row r="193" spans="1:23" x14ac:dyDescent="0.25">
      <c r="A193" s="91" t="s">
        <v>222</v>
      </c>
      <c r="B193" s="93"/>
      <c r="E193" s="93">
        <f ca="1">SUM(E190:E192)</f>
        <v>23336.954474321119</v>
      </c>
      <c r="G193" s="93">
        <f ca="1">G190*365</f>
        <v>41108895.687548332</v>
      </c>
      <c r="H193" s="342" t="s">
        <v>1473</v>
      </c>
      <c r="P193" s="295">
        <f ca="1">SUM(P190:P192)</f>
        <v>287987267.38496661</v>
      </c>
      <c r="Q193" s="303"/>
      <c r="T193" s="303"/>
      <c r="U193" s="295">
        <f ca="1">SUM(U190:U192)</f>
        <v>15027058.844118452</v>
      </c>
      <c r="V193" s="303"/>
      <c r="W193" s="343">
        <f ca="1">SUM(W190:W192)</f>
        <v>303014326.22908509</v>
      </c>
    </row>
    <row r="194" spans="1:23" x14ac:dyDescent="0.25">
      <c r="G194" s="93">
        <f ca="1">G191*365</f>
        <v>13271753.003449624</v>
      </c>
      <c r="H194" s="342" t="s">
        <v>1472</v>
      </c>
    </row>
    <row r="195" spans="1:23" x14ac:dyDescent="0.25">
      <c r="G195" s="93">
        <f ca="1">G192*365</f>
        <v>109196.36383822197</v>
      </c>
      <c r="H195" s="342" t="s">
        <v>1471</v>
      </c>
    </row>
    <row r="196" spans="1:23" ht="15.75" thickBot="1" x14ac:dyDescent="0.3">
      <c r="G196" s="93"/>
      <c r="H196" s="342"/>
    </row>
    <row r="197" spans="1:23" ht="16.5" thickBot="1" x14ac:dyDescent="0.3">
      <c r="A197" s="498" t="s">
        <v>780</v>
      </c>
      <c r="B197" s="499"/>
      <c r="C197" s="499"/>
      <c r="D197" s="500"/>
      <c r="H197" s="220" t="s">
        <v>0</v>
      </c>
    </row>
    <row r="199" spans="1:23" x14ac:dyDescent="0.25">
      <c r="A199" s="304" t="s">
        <v>756</v>
      </c>
    </row>
    <row r="200" spans="1:23" x14ac:dyDescent="0.25">
      <c r="A200" s="304" t="s">
        <v>781</v>
      </c>
    </row>
    <row r="201" spans="1:23" x14ac:dyDescent="0.25">
      <c r="A201" s="304" t="s">
        <v>782</v>
      </c>
    </row>
    <row r="202" spans="1:23" x14ac:dyDescent="0.25">
      <c r="A202" s="304" t="s">
        <v>783</v>
      </c>
    </row>
    <row r="203" spans="1:23" x14ac:dyDescent="0.25">
      <c r="A203" s="304" t="s">
        <v>784</v>
      </c>
    </row>
    <row r="205" spans="1:23" x14ac:dyDescent="0.25">
      <c r="A205" s="296"/>
      <c r="E205" s="496" t="s">
        <v>1397</v>
      </c>
      <c r="F205" s="496"/>
      <c r="L205" s="501" t="s">
        <v>785</v>
      </c>
      <c r="M205" s="501"/>
      <c r="P205" s="496" t="s">
        <v>670</v>
      </c>
      <c r="Q205" s="496"/>
      <c r="R205" s="496" t="s">
        <v>761</v>
      </c>
      <c r="S205" s="496"/>
      <c r="T205" s="496"/>
      <c r="U205" s="496"/>
      <c r="V205" s="496" t="s">
        <v>762</v>
      </c>
      <c r="W205" s="496"/>
    </row>
    <row r="206" spans="1:23" x14ac:dyDescent="0.25">
      <c r="B206" s="496" t="s">
        <v>763</v>
      </c>
      <c r="C206" s="496"/>
      <c r="D206" s="496"/>
      <c r="E206" s="496" t="s">
        <v>1398</v>
      </c>
      <c r="F206" s="496"/>
      <c r="G206" s="496" t="s">
        <v>1399</v>
      </c>
      <c r="H206" s="496"/>
      <c r="I206" s="496"/>
      <c r="L206" s="496" t="s">
        <v>668</v>
      </c>
      <c r="M206" s="496"/>
      <c r="N206" s="496" t="s">
        <v>764</v>
      </c>
      <c r="O206" s="496"/>
      <c r="P206" s="496" t="s">
        <v>1400</v>
      </c>
      <c r="Q206" s="496"/>
      <c r="R206" s="2" t="s">
        <v>765</v>
      </c>
      <c r="S206" s="2" t="s">
        <v>766</v>
      </c>
      <c r="T206" s="496" t="s">
        <v>1396</v>
      </c>
      <c r="U206" s="496"/>
      <c r="V206" s="496" t="s">
        <v>1400</v>
      </c>
      <c r="W206" s="496"/>
    </row>
    <row r="207" spans="1:23" x14ac:dyDescent="0.25">
      <c r="A207" s="5" t="s">
        <v>220</v>
      </c>
      <c r="B207" s="15" t="s">
        <v>767</v>
      </c>
      <c r="C207" s="497" t="s">
        <v>28</v>
      </c>
      <c r="D207" s="497"/>
      <c r="E207" s="15" t="s">
        <v>219</v>
      </c>
      <c r="F207" s="15" t="s">
        <v>768</v>
      </c>
      <c r="G207" s="15" t="s">
        <v>219</v>
      </c>
      <c r="H207" s="15" t="s">
        <v>768</v>
      </c>
      <c r="I207" s="15" t="s">
        <v>28</v>
      </c>
      <c r="J207" s="497" t="s">
        <v>23</v>
      </c>
      <c r="K207" s="497"/>
      <c r="L207" s="15" t="s">
        <v>217</v>
      </c>
      <c r="M207" s="15" t="s">
        <v>28</v>
      </c>
      <c r="N207" s="335" t="s">
        <v>628</v>
      </c>
      <c r="O207" s="336" t="s">
        <v>254</v>
      </c>
      <c r="P207" s="15" t="s">
        <v>219</v>
      </c>
      <c r="Q207" s="15" t="s">
        <v>768</v>
      </c>
      <c r="R207" s="15" t="s">
        <v>769</v>
      </c>
      <c r="S207" s="15" t="s">
        <v>770</v>
      </c>
      <c r="T207" s="15" t="s">
        <v>768</v>
      </c>
      <c r="U207" s="15" t="s">
        <v>219</v>
      </c>
      <c r="V207" s="15" t="s">
        <v>768</v>
      </c>
      <c r="W207" s="15" t="s">
        <v>219</v>
      </c>
    </row>
    <row r="208" spans="1:23" x14ac:dyDescent="0.25">
      <c r="A208" t="s">
        <v>771</v>
      </c>
      <c r="B208" s="49">
        <f ca="1">B190</f>
        <v>32408.824902522931</v>
      </c>
      <c r="C208" t="s">
        <v>772</v>
      </c>
      <c r="E208" s="49">
        <f ca="1">H145</f>
        <v>15036.934054474998</v>
      </c>
      <c r="F208" s="6">
        <f ca="1">E208/B208</f>
        <v>0.4639765279889681</v>
      </c>
      <c r="G208" s="311">
        <f ca="1">E208/L208</f>
        <v>112197.41188763587</v>
      </c>
      <c r="H208" s="14">
        <f ca="1">G208/B208</f>
        <v>3.461940142078451</v>
      </c>
      <c r="I208" t="s">
        <v>773</v>
      </c>
      <c r="J208" s="496" t="s">
        <v>774</v>
      </c>
      <c r="K208" s="496"/>
      <c r="L208" s="99">
        <f ca="1">L190</f>
        <v>0.13402211157539246</v>
      </c>
      <c r="M208" t="s">
        <v>775</v>
      </c>
      <c r="N208" s="302">
        <f>N190+D$126</f>
        <v>5.5066999999999995</v>
      </c>
      <c r="O208" s="309" t="str">
        <f>CostData!$F$9</f>
        <v>/gal</v>
      </c>
      <c r="P208" s="294">
        <f t="shared" ref="P208:Q210" ca="1" si="12">G208*$N208*365</f>
        <v>225510683.13520017</v>
      </c>
      <c r="Q208" s="294">
        <f t="shared" ca="1" si="12"/>
        <v>6958.3110098399429</v>
      </c>
      <c r="R208" s="14">
        <f>CostData!$O$67</f>
        <v>5.1235635656270606</v>
      </c>
      <c r="S208" s="320">
        <f>CostData!O$65</f>
        <v>491.97546434304058</v>
      </c>
      <c r="T208" s="337">
        <f>S208/R208</f>
        <v>96.022125624360996</v>
      </c>
      <c r="U208" s="320">
        <f ca="1">T208*B208</f>
        <v>3111964.2561279759</v>
      </c>
      <c r="V208" s="302">
        <f ca="1">Q208+T208</f>
        <v>7054.3331354643042</v>
      </c>
      <c r="W208" s="294">
        <f ca="1">P208+U208</f>
        <v>228622647.39132816</v>
      </c>
    </row>
    <row r="209" spans="1:23" x14ac:dyDescent="0.25">
      <c r="A209" t="s">
        <v>776</v>
      </c>
      <c r="B209" s="49">
        <f ca="1">B191</f>
        <v>1612</v>
      </c>
      <c r="C209" t="s">
        <v>777</v>
      </c>
      <c r="E209" s="49">
        <f ca="1">H146</f>
        <v>4695.1890199668478</v>
      </c>
      <c r="F209" s="6">
        <f ca="1">E209/B209</f>
        <v>2.9126482754136771</v>
      </c>
      <c r="G209" s="49">
        <f ca="1">E209/L209</f>
        <v>34983.726226040613</v>
      </c>
      <c r="H209" s="14">
        <f ca="1">G209/B209</f>
        <v>21.70206341565795</v>
      </c>
      <c r="I209" t="s">
        <v>773</v>
      </c>
      <c r="J209" s="496" t="s">
        <v>778</v>
      </c>
      <c r="K209" s="496"/>
      <c r="L209" s="99">
        <f ca="1">L191</f>
        <v>0.1342106609693258</v>
      </c>
      <c r="M209" t="s">
        <v>775</v>
      </c>
      <c r="N209" s="302">
        <f>N208</f>
        <v>5.5066999999999995</v>
      </c>
      <c r="O209" s="309" t="str">
        <f>CostData!$F$9</f>
        <v>/gal</v>
      </c>
      <c r="P209" s="294">
        <f t="shared" ca="1" si="12"/>
        <v>70315383.101262316</v>
      </c>
      <c r="Q209" s="294">
        <f t="shared" ca="1" si="12"/>
        <v>43619.964703016318</v>
      </c>
      <c r="R209" s="14">
        <f>CostData!$O$67</f>
        <v>5.1235635656270606</v>
      </c>
      <c r="S209" s="320">
        <f>CostData!O$65</f>
        <v>491.97546434304058</v>
      </c>
      <c r="T209" s="337">
        <f>S209/R209</f>
        <v>96.022125624360996</v>
      </c>
      <c r="U209" s="320">
        <f ca="1">T209*B209</f>
        <v>154787.66650646992</v>
      </c>
      <c r="V209" s="302">
        <f ca="1">Q209+T209</f>
        <v>43715.986828640678</v>
      </c>
      <c r="W209" s="294">
        <f ca="1">P209+U209</f>
        <v>70470170.767768785</v>
      </c>
    </row>
    <row r="210" spans="1:23" x14ac:dyDescent="0.25">
      <c r="A210" s="5" t="s">
        <v>486</v>
      </c>
      <c r="B210" s="94">
        <f ca="1">B192</f>
        <v>14039.367182463917</v>
      </c>
      <c r="C210" s="5" t="s">
        <v>779</v>
      </c>
      <c r="D210" s="5"/>
      <c r="E210" s="94">
        <f ca="1">H147</f>
        <v>3477.5121215128302</v>
      </c>
      <c r="F210" s="252">
        <f ca="1">E210/B210</f>
        <v>0.24769721286700649</v>
      </c>
      <c r="G210" s="94">
        <f ca="1">E210/L210</f>
        <v>309.41001223019231</v>
      </c>
      <c r="H210" s="252">
        <f ca="1">G210/B210</f>
        <v>2.2038743499540745E-2</v>
      </c>
      <c r="I210" s="5" t="s">
        <v>237</v>
      </c>
      <c r="J210" s="497" t="s">
        <v>6</v>
      </c>
      <c r="K210" s="497"/>
      <c r="L210" s="251">
        <f ca="1">L192</f>
        <v>11.23917127454059</v>
      </c>
      <c r="M210" s="5" t="s">
        <v>290</v>
      </c>
      <c r="N210" s="313">
        <f>CostData!$I$17</f>
        <v>97.493713954151573</v>
      </c>
      <c r="O210" s="339" t="s">
        <v>290</v>
      </c>
      <c r="P210" s="312">
        <f t="shared" ca="1" si="12"/>
        <v>11010418.897826131</v>
      </c>
      <c r="Q210" s="312">
        <f t="shared" ca="1" si="12"/>
        <v>784.25321844839709</v>
      </c>
      <c r="R210" s="284"/>
      <c r="S210" s="340"/>
      <c r="T210" s="341"/>
      <c r="U210" s="340"/>
      <c r="V210" s="338">
        <f ca="1">Q210+T210</f>
        <v>784.25321844839709</v>
      </c>
      <c r="W210" s="312">
        <f ca="1">P210+U210</f>
        <v>11010418.897826131</v>
      </c>
    </row>
    <row r="211" spans="1:23" x14ac:dyDescent="0.25">
      <c r="A211" s="91" t="s">
        <v>222</v>
      </c>
      <c r="B211" s="93"/>
      <c r="E211" s="93">
        <f ca="1">SUM(E208:E210)</f>
        <v>23209.635195954677</v>
      </c>
      <c r="G211" s="93">
        <f ca="1">G208*365</f>
        <v>40952055.33898709</v>
      </c>
      <c r="H211" s="342" t="s">
        <v>1473</v>
      </c>
      <c r="P211" s="295">
        <f ca="1">SUM(P208:P210)</f>
        <v>306836485.13428861</v>
      </c>
      <c r="Q211" s="303"/>
      <c r="T211" s="303"/>
      <c r="U211" s="295">
        <f ca="1">SUM(U208:U210)</f>
        <v>3266751.9226344456</v>
      </c>
      <c r="V211" s="303"/>
      <c r="W211" s="343">
        <f ca="1">SUM(W208:W210)</f>
        <v>310103237.05692309</v>
      </c>
    </row>
    <row r="212" spans="1:23" x14ac:dyDescent="0.25">
      <c r="G212" s="93">
        <f ca="1">G209*365</f>
        <v>12769060.072504824</v>
      </c>
      <c r="H212" s="342" t="s">
        <v>1472</v>
      </c>
    </row>
    <row r="213" spans="1:23" x14ac:dyDescent="0.25">
      <c r="G213" s="93">
        <f ca="1">G210*365</f>
        <v>112934.65446402019</v>
      </c>
      <c r="H213" s="342" t="s">
        <v>1471</v>
      </c>
    </row>
    <row r="215" spans="1:23" x14ac:dyDescent="0.25">
      <c r="B215" s="2" t="s">
        <v>481</v>
      </c>
      <c r="C215" s="2" t="s">
        <v>481</v>
      </c>
    </row>
    <row r="216" spans="1:23" x14ac:dyDescent="0.25">
      <c r="B216" s="2" t="s">
        <v>7</v>
      </c>
      <c r="C216" s="2" t="s">
        <v>648</v>
      </c>
    </row>
    <row r="217" spans="1:23" x14ac:dyDescent="0.25">
      <c r="B217" s="258" t="s">
        <v>628</v>
      </c>
      <c r="C217" s="258" t="s">
        <v>628</v>
      </c>
    </row>
    <row r="218" spans="1:23" x14ac:dyDescent="0.25">
      <c r="B218" s="2" t="s">
        <v>1463</v>
      </c>
      <c r="C218" s="2" t="s">
        <v>1463</v>
      </c>
    </row>
    <row r="219" spans="1:23" x14ac:dyDescent="0.25">
      <c r="B219" s="88" t="s">
        <v>1446</v>
      </c>
      <c r="C219" s="88" t="s">
        <v>1446</v>
      </c>
    </row>
    <row r="220" spans="1:23" x14ac:dyDescent="0.25">
      <c r="B220" s="294">
        <f>IF(B219="Low",CostData!$W$11,IF(B219="Medium",CostData!$W$12,IF(B219="High",CostData!$W$13,0)))</f>
        <v>8367.9330034933209</v>
      </c>
      <c r="C220" s="294">
        <f>IF(C219="Low",CostData!$W$27,IF(C219="Medium",CostData!$W$28,IF(C219="High",CostData!$W$29,0)))</f>
        <v>70814.5</v>
      </c>
    </row>
    <row r="222" spans="1:23" ht="15.75" x14ac:dyDescent="0.25">
      <c r="A222" s="233" t="s">
        <v>786</v>
      </c>
    </row>
    <row r="224" spans="1:23" x14ac:dyDescent="0.25">
      <c r="A224" t="s">
        <v>661</v>
      </c>
      <c r="C224" s="294">
        <f ca="1">W193</f>
        <v>303014326.22908509</v>
      </c>
      <c r="D224" s="220" t="s">
        <v>669</v>
      </c>
    </row>
    <row r="225" spans="1:4" x14ac:dyDescent="0.25">
      <c r="B225" s="220"/>
      <c r="C225" s="306"/>
      <c r="D225" s="220"/>
    </row>
    <row r="226" spans="1:4" x14ac:dyDescent="0.25">
      <c r="A226" t="s">
        <v>660</v>
      </c>
      <c r="C226" s="294">
        <f ca="1">W211+B220+C220</f>
        <v>310182419.48992658</v>
      </c>
      <c r="D226" s="220" t="s">
        <v>669</v>
      </c>
    </row>
    <row r="227" spans="1:4" x14ac:dyDescent="0.25">
      <c r="C227" s="310"/>
      <c r="D227" s="220"/>
    </row>
    <row r="228" spans="1:4" x14ac:dyDescent="0.25">
      <c r="A228" t="s">
        <v>662</v>
      </c>
      <c r="C228" s="295">
        <f ca="1">C226-C224</f>
        <v>7168093.2608414888</v>
      </c>
      <c r="D228" s="220" t="s">
        <v>669</v>
      </c>
    </row>
    <row r="230" spans="1:4" x14ac:dyDescent="0.25">
      <c r="A230" t="s">
        <v>637</v>
      </c>
      <c r="C230" s="344">
        <f ca="1">F$168</f>
        <v>-3.9297435302785289</v>
      </c>
      <c r="D230" t="str">
        <f>"tons/year - "&amp;$B$4</f>
        <v>tons/year - 2021</v>
      </c>
    </row>
    <row r="231" spans="1:4" x14ac:dyDescent="0.25">
      <c r="A231" t="s">
        <v>787</v>
      </c>
      <c r="C231" s="344">
        <f ca="1">D$168</f>
        <v>669.65296934561434</v>
      </c>
      <c r="D231" t="str">
        <f>"tons/year - "&amp;$B$4</f>
        <v>tons/year - 2021</v>
      </c>
    </row>
    <row r="233" spans="1:4" x14ac:dyDescent="0.25">
      <c r="A233" t="s">
        <v>663</v>
      </c>
      <c r="C233" s="295">
        <f ca="1">C$228/C230</f>
        <v>-1824061.3428361404</v>
      </c>
      <c r="D233" s="345" t="s">
        <v>638</v>
      </c>
    </row>
    <row r="234" spans="1:4" x14ac:dyDescent="0.25">
      <c r="C234" s="295">
        <f ca="1">C$228/C231</f>
        <v>10704.190960052276</v>
      </c>
      <c r="D234" s="345" t="s">
        <v>788</v>
      </c>
    </row>
    <row r="235" spans="1:4" x14ac:dyDescent="0.25">
      <c r="A235" s="1" t="s">
        <v>1570</v>
      </c>
      <c r="B235" s="64">
        <f>'BACM Summary'!$G$3</f>
        <v>0.15</v>
      </c>
    </row>
    <row r="236" spans="1:4" x14ac:dyDescent="0.25">
      <c r="A236" s="1" t="s">
        <v>1571</v>
      </c>
      <c r="B236" s="64">
        <f>1-B235</f>
        <v>0.85</v>
      </c>
    </row>
    <row r="238" spans="1:4" x14ac:dyDescent="0.25">
      <c r="A238" t="s">
        <v>1569</v>
      </c>
      <c r="C238" s="295">
        <f ca="1">C228/(C231*B235+C230*B236)</f>
        <v>73815.937998976631</v>
      </c>
      <c r="D238" s="345" t="s">
        <v>1572</v>
      </c>
    </row>
  </sheetData>
  <sheetProtection algorithmName="SHA-512" hashValue="At3IpmckTLa2dKZh51qcpyBRqgQ7M9//cdnEhdPAGX6LOfzgioD8BeEO+rxYcYAZCD01YX/GhQKsWJRtiYI9LA==" saltValue="Cni/wxzXyg6Zq1nod4Z85w==" spinCount="100000" sheet="1" objects="1" scenarios="1"/>
  <mergeCells count="64">
    <mergeCell ref="B85:F85"/>
    <mergeCell ref="A1:I1"/>
    <mergeCell ref="A7:H7"/>
    <mergeCell ref="B16:C16"/>
    <mergeCell ref="F16:G16"/>
    <mergeCell ref="F17:G17"/>
    <mergeCell ref="B22:H22"/>
    <mergeCell ref="A28:H28"/>
    <mergeCell ref="A38:G38"/>
    <mergeCell ref="A64:H64"/>
    <mergeCell ref="B72:H72"/>
    <mergeCell ref="A77:C77"/>
    <mergeCell ref="B150:H150"/>
    <mergeCell ref="B86:F86"/>
    <mergeCell ref="B94:H94"/>
    <mergeCell ref="B100:H100"/>
    <mergeCell ref="A108:C108"/>
    <mergeCell ref="B117:H117"/>
    <mergeCell ref="B123:H123"/>
    <mergeCell ref="B132:H132"/>
    <mergeCell ref="B133:H133"/>
    <mergeCell ref="D135:E135"/>
    <mergeCell ref="B140:I140"/>
    <mergeCell ref="B141:I141"/>
    <mergeCell ref="C189:D189"/>
    <mergeCell ref="J189:K189"/>
    <mergeCell ref="J190:K190"/>
    <mergeCell ref="J191:K191"/>
    <mergeCell ref="B156:H156"/>
    <mergeCell ref="B166:H166"/>
    <mergeCell ref="A179:D179"/>
    <mergeCell ref="E187:F187"/>
    <mergeCell ref="R187:U187"/>
    <mergeCell ref="V187:W187"/>
    <mergeCell ref="B188:D188"/>
    <mergeCell ref="E188:F188"/>
    <mergeCell ref="G188:I188"/>
    <mergeCell ref="L188:M188"/>
    <mergeCell ref="N188:O188"/>
    <mergeCell ref="P188:Q188"/>
    <mergeCell ref="T188:U188"/>
    <mergeCell ref="V188:W188"/>
    <mergeCell ref="P187:Q187"/>
    <mergeCell ref="L187:M187"/>
    <mergeCell ref="J192:K192"/>
    <mergeCell ref="P205:Q205"/>
    <mergeCell ref="R205:U205"/>
    <mergeCell ref="V205:W205"/>
    <mergeCell ref="B206:D206"/>
    <mergeCell ref="E206:F206"/>
    <mergeCell ref="G206:I206"/>
    <mergeCell ref="L206:M206"/>
    <mergeCell ref="N206:O206"/>
    <mergeCell ref="A197:D197"/>
    <mergeCell ref="C207:D207"/>
    <mergeCell ref="J207:K207"/>
    <mergeCell ref="J208:K208"/>
    <mergeCell ref="E205:F205"/>
    <mergeCell ref="L205:M205"/>
    <mergeCell ref="J209:K209"/>
    <mergeCell ref="J210:K210"/>
    <mergeCell ref="P206:Q206"/>
    <mergeCell ref="T206:U206"/>
    <mergeCell ref="V206:W206"/>
  </mergeCells>
  <printOptions horizontalCentered="1" headings="1" gridLines="1"/>
  <pageMargins left="0.25" right="0.25" top="0.75" bottom="0.75" header="0.3" footer="0.3"/>
  <pageSetup scale="53" fitToHeight="0" orientation="landscape" r:id="rId1"/>
  <headerFooter>
    <oddFooter>Page &amp;P of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AF1CDCEC-474D-4F03-AD9E-CAC081040E1E}">
          <x14:formula1>
            <xm:f>CostData!$AB$10:$AB$13</xm:f>
          </x14:formula1>
          <xm:sqref>B219:C219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13</vt:i4>
      </vt:variant>
    </vt:vector>
  </HeadingPairs>
  <TitlesOfParts>
    <vt:vector size="45" baseType="lpstr">
      <vt:lpstr>BACM Summary</vt:lpstr>
      <vt:lpstr>CostData</vt:lpstr>
      <vt:lpstr>ULSRev1</vt:lpstr>
      <vt:lpstr>ULSRev2</vt:lpstr>
      <vt:lpstr>ULSRev3</vt:lpstr>
      <vt:lpstr>ULSRev4</vt:lpstr>
      <vt:lpstr>ULSRev5a</vt:lpstr>
      <vt:lpstr>ULSRev5b</vt:lpstr>
      <vt:lpstr>ULSRev6</vt:lpstr>
      <vt:lpstr>ULSRev7L</vt:lpstr>
      <vt:lpstr>ULSRev7H</vt:lpstr>
      <vt:lpstr>ULSRev8LA</vt:lpstr>
      <vt:lpstr>ULSRev8HA</vt:lpstr>
      <vt:lpstr>ULSRev8LR</vt:lpstr>
      <vt:lpstr>ULSRev8HR</vt:lpstr>
      <vt:lpstr>Lookup</vt:lpstr>
      <vt:lpstr>EIAProjections</vt:lpstr>
      <vt:lpstr>EFs-BTU</vt:lpstr>
      <vt:lpstr>Moisture</vt:lpstr>
      <vt:lpstr>ULSEFs</vt:lpstr>
      <vt:lpstr>BuildSizeG3C</vt:lpstr>
      <vt:lpstr>DevSumOut-2019BSR</vt:lpstr>
      <vt:lpstr>DevSumOut-2020BSR</vt:lpstr>
      <vt:lpstr>DevSumOut-2021BSR</vt:lpstr>
      <vt:lpstr>DevSumOut-2022BSR</vt:lpstr>
      <vt:lpstr>DevSumOut-2023BSR</vt:lpstr>
      <vt:lpstr>DevSumOut-2024BSR</vt:lpstr>
      <vt:lpstr>DevSumOut-2025BSR</vt:lpstr>
      <vt:lpstr>DevSumOut-2026BSR</vt:lpstr>
      <vt:lpstr>DevSumOut-2027BSR</vt:lpstr>
      <vt:lpstr>DevSumOut-2028BSR</vt:lpstr>
      <vt:lpstr>DevSumOut-2029BSR</vt:lpstr>
      <vt:lpstr>CostData!content</vt:lpstr>
      <vt:lpstr>ConvLoss</vt:lpstr>
      <vt:lpstr>CRR</vt:lpstr>
      <vt:lpstr>CRRCite</vt:lpstr>
      <vt:lpstr>Ep2Ann</vt:lpstr>
      <vt:lpstr>Ep2Wtr</vt:lpstr>
      <vt:lpstr>ExAir</vt:lpstr>
      <vt:lpstr>HHVOD</vt:lpstr>
      <vt:lpstr>CostData!Print_Area</vt:lpstr>
      <vt:lpstr>Ts</vt:lpstr>
      <vt:lpstr>Tw</vt:lpstr>
      <vt:lpstr>WinterDays</vt:lpstr>
      <vt:lpstr>Wtr2Ann</vt:lpstr>
    </vt:vector>
  </TitlesOfParts>
  <Company>Fairbanks North Star Borough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Carlson</dc:creator>
  <cp:lastModifiedBy>Alimi, Adeyemi S (DEC)</cp:lastModifiedBy>
  <cp:lastPrinted>2023-02-28T19:52:38Z</cp:lastPrinted>
  <dcterms:created xsi:type="dcterms:W3CDTF">2017-08-16T19:02:19Z</dcterms:created>
  <dcterms:modified xsi:type="dcterms:W3CDTF">2024-08-21T00:23:10Z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7dfeff4b-b01d-4a80-a469-6b5941810b35</vt:lpwstr>
  </property>
</Properties>
</file>