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codeName="ThisWorkbook" defaultThemeVersion="124226"/>
  <xr:revisionPtr revIDLastSave="0" documentId="13_ncr:1_{5BF417DA-72C6-4A96-A1DC-41FA87E5E3C4}" xr6:coauthVersionLast="47" xr6:coauthVersionMax="47" xr10:uidLastSave="{00000000-0000-0000-0000-000000000000}"/>
  <bookViews>
    <workbookView xWindow="-120" yWindow="-120" windowWidth="20730" windowHeight="11160" tabRatio="687" firstSheet="1" activeTab="2" xr2:uid="{00000000-000D-0000-FFFF-FFFF00000000}"/>
  </bookViews>
  <sheets>
    <sheet name="5-1 Available-SO2" sheetId="15" r:id="rId1"/>
    <sheet name="5-2 Feasible-SO2" sheetId="10" r:id="rId2"/>
    <sheet name="5-3 Ranking-SO2" sheetId="13" r:id="rId3"/>
    <sheet name="5-4 EU ID 1 ULSD CE -" sheetId="28" r:id="rId4"/>
    <sheet name="5-4 EU ID 1 ULSD CE +" sheetId="19" r:id="rId5"/>
    <sheet name="5-5 EU ID 2 ULSD CE -" sheetId="29" r:id="rId6"/>
    <sheet name="5-5 EU ID 2 ULSD +" sheetId="20" r:id="rId7"/>
    <sheet name="5-6 EU ID 5&amp;6 ULSD CE Norm -" sheetId="30" r:id="rId8"/>
    <sheet name="5-6 EU ID 5&amp;6 ULSD CE Norm +" sheetId="23" r:id="rId9"/>
    <sheet name="5-7 EU ID 7 ULSD CE -" sheetId="31" r:id="rId10"/>
    <sheet name="5-7 EU ID 7 ULSD +" sheetId="22" r:id="rId11"/>
    <sheet name="Table 5-8" sheetId="18" r:id="rId12"/>
    <sheet name="Table - 5-9" sheetId="17" r:id="rId13"/>
    <sheet name="5-10 TCI ULSD EU1-2" sheetId="26" r:id="rId14"/>
    <sheet name="ESRI_MAPINFO_SHEET" sheetId="27" state="veryHidden" r:id="rId15"/>
  </sheets>
  <externalReferences>
    <externalReference r:id="rId16"/>
    <externalReference r:id="rId17"/>
    <externalReference r:id="rId18"/>
  </externalReferences>
  <definedNames>
    <definedName name="_xlnm.Print_Area" localSheetId="2">'5-3 Ranking-SO2'!$A$1:$F$19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3" l="1"/>
  <c r="F5" i="13"/>
  <c r="K29" i="31"/>
  <c r="E20" i="31"/>
  <c r="K21" i="31" s="1"/>
  <c r="K19" i="31"/>
  <c r="I19" i="31"/>
  <c r="I18" i="31"/>
  <c r="K18" i="31" s="1"/>
  <c r="K23" i="31" s="1"/>
  <c r="E13" i="31"/>
  <c r="H13" i="31" s="1"/>
  <c r="K13" i="31" s="1"/>
  <c r="K10" i="31"/>
  <c r="I10" i="31"/>
  <c r="I9" i="31"/>
  <c r="K9" i="31" s="1"/>
  <c r="K15" i="31" l="1"/>
  <c r="K25" i="31" s="1"/>
  <c r="K31" i="31" s="1"/>
  <c r="E14" i="13" l="1"/>
  <c r="F14" i="13"/>
  <c r="D14" i="13"/>
  <c r="E15" i="13"/>
  <c r="E16" i="13"/>
  <c r="E14" i="23"/>
  <c r="E14" i="30"/>
  <c r="E11" i="13"/>
  <c r="F11" i="13"/>
  <c r="D11" i="13"/>
  <c r="E13" i="13"/>
  <c r="E21" i="30" l="1"/>
  <c r="K22" i="30" s="1"/>
  <c r="I20" i="30"/>
  <c r="K20" i="30" s="1"/>
  <c r="K19" i="30"/>
  <c r="I19" i="30"/>
  <c r="H14" i="30"/>
  <c r="K14" i="30" s="1"/>
  <c r="I11" i="30"/>
  <c r="K11" i="30" s="1"/>
  <c r="I10" i="30"/>
  <c r="K10" i="30" s="1"/>
  <c r="K16" i="30" l="1"/>
  <c r="K24" i="30"/>
  <c r="K26" i="30" l="1"/>
  <c r="K32" i="29" l="1"/>
  <c r="K33" i="29" s="1"/>
  <c r="K23" i="29"/>
  <c r="E20" i="29"/>
  <c r="K21" i="29" s="1"/>
  <c r="I19" i="29"/>
  <c r="K19" i="29" s="1"/>
  <c r="I18" i="29"/>
  <c r="K18" i="29" s="1"/>
  <c r="H13" i="29"/>
  <c r="K13" i="29" s="1"/>
  <c r="I10" i="29"/>
  <c r="K10" i="29" s="1"/>
  <c r="I9" i="29"/>
  <c r="K9" i="29" s="1"/>
  <c r="K32" i="28"/>
  <c r="K33" i="28" s="1"/>
  <c r="K23" i="28"/>
  <c r="E20" i="28"/>
  <c r="K21" i="28" s="1"/>
  <c r="I19" i="28"/>
  <c r="K19" i="28" s="1"/>
  <c r="I18" i="28"/>
  <c r="K18" i="28" s="1"/>
  <c r="H13" i="28"/>
  <c r="K13" i="28" s="1"/>
  <c r="I10" i="28"/>
  <c r="K10" i="28" s="1"/>
  <c r="K15" i="28" s="1"/>
  <c r="K25" i="28" s="1"/>
  <c r="I9" i="28"/>
  <c r="K9" i="28" s="1"/>
  <c r="K15" i="29" l="1"/>
  <c r="K25" i="29" s="1"/>
  <c r="E20" i="20"/>
  <c r="B15" i="26" l="1"/>
  <c r="E20" i="19"/>
  <c r="K30" i="30" l="1"/>
  <c r="K32" i="30" s="1"/>
  <c r="B8" i="26" l="1"/>
  <c r="E8" i="26"/>
  <c r="E9" i="26" s="1"/>
  <c r="E10" i="26" s="1"/>
  <c r="D8" i="26"/>
  <c r="D9" i="26" s="1"/>
  <c r="D10" i="26" s="1"/>
  <c r="C8" i="26"/>
  <c r="C9" i="26" s="1"/>
  <c r="C10" i="26" s="1"/>
  <c r="B9" i="26"/>
  <c r="B10" i="26" s="1"/>
  <c r="B12" i="26" s="1"/>
  <c r="B11" i="26" l="1"/>
  <c r="B13" i="26" s="1"/>
  <c r="K23" i="19" s="1"/>
  <c r="C12" i="26"/>
  <c r="C11" i="26"/>
  <c r="D12" i="26"/>
  <c r="D11" i="26"/>
  <c r="D13" i="26" s="1"/>
  <c r="E12" i="26"/>
  <c r="E11" i="26"/>
  <c r="K23" i="20" l="1"/>
  <c r="E13" i="26"/>
  <c r="C13" i="26"/>
  <c r="F32" i="18" l="1"/>
  <c r="A28" i="18"/>
  <c r="F28" i="18"/>
  <c r="A29" i="18"/>
  <c r="B29" i="18"/>
  <c r="A32" i="18"/>
  <c r="A33" i="18"/>
  <c r="B33" i="18"/>
  <c r="A36" i="18"/>
  <c r="A37" i="18"/>
  <c r="B37" i="18"/>
  <c r="A40" i="18"/>
  <c r="A41" i="18"/>
  <c r="B41" i="18"/>
  <c r="B44" i="18"/>
  <c r="K32" i="20" l="1"/>
  <c r="K32" i="19"/>
  <c r="C32" i="18"/>
  <c r="C10" i="18"/>
  <c r="C28" i="18"/>
  <c r="C6" i="18"/>
  <c r="K33" i="19" l="1"/>
  <c r="K33" i="20"/>
  <c r="D6" i="13" l="1"/>
  <c r="E6" i="13" s="1"/>
  <c r="D5" i="13"/>
  <c r="B28" i="18" s="1"/>
  <c r="K30" i="23" l="1"/>
  <c r="B36" i="18"/>
  <c r="A15" i="18"/>
  <c r="A14" i="18"/>
  <c r="E21" i="23" l="1"/>
  <c r="K22" i="23" s="1"/>
  <c r="I20" i="23"/>
  <c r="K20" i="23" s="1"/>
  <c r="I19" i="23"/>
  <c r="K19" i="23" s="1"/>
  <c r="H14" i="23"/>
  <c r="K14" i="23" s="1"/>
  <c r="I11" i="23"/>
  <c r="K11" i="23" s="1"/>
  <c r="I10" i="23"/>
  <c r="K10" i="23" s="1"/>
  <c r="B15" i="18"/>
  <c r="K24" i="23" l="1"/>
  <c r="B14" i="18"/>
  <c r="K16" i="23"/>
  <c r="B22" i="18"/>
  <c r="K26" i="23" l="1"/>
  <c r="D36" i="18" s="1"/>
  <c r="D14" i="18" l="1"/>
  <c r="K32" i="23"/>
  <c r="F36" i="18" s="1"/>
  <c r="E20" i="22"/>
  <c r="K21" i="22" s="1"/>
  <c r="I19" i="22"/>
  <c r="K19" i="22" s="1"/>
  <c r="I18" i="22"/>
  <c r="K18" i="22" s="1"/>
  <c r="E13" i="22"/>
  <c r="H13" i="22" s="1"/>
  <c r="K13" i="22" s="1"/>
  <c r="I10" i="22"/>
  <c r="K10" i="22" s="1"/>
  <c r="I9" i="22"/>
  <c r="K9" i="22" s="1"/>
  <c r="K21" i="20"/>
  <c r="I19" i="20"/>
  <c r="K19" i="20" s="1"/>
  <c r="I18" i="20"/>
  <c r="K18" i="20" s="1"/>
  <c r="H13" i="20"/>
  <c r="K13" i="20" s="1"/>
  <c r="I10" i="20"/>
  <c r="K10" i="20" s="1"/>
  <c r="I9" i="20"/>
  <c r="K9" i="20" s="1"/>
  <c r="K21" i="19"/>
  <c r="I19" i="19"/>
  <c r="K19" i="19" s="1"/>
  <c r="I18" i="19"/>
  <c r="K18" i="19" s="1"/>
  <c r="H13" i="19"/>
  <c r="K13" i="19" s="1"/>
  <c r="I10" i="19"/>
  <c r="K10" i="19" s="1"/>
  <c r="I9" i="19"/>
  <c r="K9" i="19" s="1"/>
  <c r="K15" i="19" l="1"/>
  <c r="K25" i="19" s="1"/>
  <c r="F14" i="18"/>
  <c r="K15" i="22"/>
  <c r="K15" i="20"/>
  <c r="K25" i="20" s="1"/>
  <c r="K23" i="22"/>
  <c r="E10" i="18" l="1"/>
  <c r="E6" i="18"/>
  <c r="K25" i="22"/>
  <c r="D40" i="18" s="1"/>
  <c r="D6" i="18" l="1"/>
  <c r="D10" i="18"/>
  <c r="D18" i="18"/>
  <c r="B19" i="18"/>
  <c r="A18" i="18"/>
  <c r="A19" i="18"/>
  <c r="B7" i="18"/>
  <c r="B11" i="18"/>
  <c r="A10" i="18"/>
  <c r="A11" i="18"/>
  <c r="A6" i="18"/>
  <c r="A7" i="18"/>
  <c r="D8" i="13" l="1"/>
  <c r="D9" i="13"/>
  <c r="E9" i="13" s="1"/>
  <c r="E8" i="13" l="1"/>
  <c r="B32" i="18" s="1"/>
  <c r="B40" i="18" l="1"/>
  <c r="F15" i="13" l="1"/>
  <c r="F6" i="13"/>
  <c r="K29" i="22"/>
  <c r="K31" i="22" s="1"/>
  <c r="F40" i="18" s="1"/>
  <c r="B18" i="18"/>
  <c r="B6" i="18"/>
  <c r="F8" i="13"/>
  <c r="K29" i="29" s="1"/>
  <c r="K31" i="29" s="1"/>
  <c r="B10" i="18"/>
  <c r="F9" i="13"/>
  <c r="K29" i="19" l="1"/>
  <c r="K31" i="19" s="1"/>
  <c r="K29" i="28"/>
  <c r="K31" i="28" s="1"/>
  <c r="K29" i="20"/>
  <c r="K31" i="20" s="1"/>
  <c r="F6" i="18"/>
  <c r="F18" i="18"/>
  <c r="F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D15413EF-EDF2-42F7-BAD7-EF8B054B9D1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672 MMBtu/hr @ 8760 hrs/yr and HHV of 0.13 MMBtu/gallon.</t>
        </r>
      </text>
    </comment>
    <comment ref="G13" authorId="0" shapeId="0" xr:uid="{6155A450-E456-459A-BE7A-D356E14BF7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from September 2019 - October 2020  based on data provided by GVEA 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672 MMBtu/hr @ 8760 hrs/yr and HHV of 0.13 MMBtu/gallon.</t>
        </r>
      </text>
    </comment>
    <comment ref="G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from January 2017 - October 2018  based on data provided by GVEA 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708F4AE4-C78E-4C9C-BEA5-C6A3F74DF61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limited operations. 672 MMBtu/hr @ 7992 hrs/yr and HHV of 0.13 MMBtu/gal</t>
        </r>
      </text>
    </comment>
    <comment ref="G13" authorId="0" shapeId="0" xr:uid="{6BBA86C6-041B-4BC0-AE1F-3C087356FC0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from September 2019 - October 2020  based on data provided by GVEA 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limited operations. 672 MMBtu/hr @ 7992 hrs/yr and HHV of 0.13 MMBtu/gal</t>
        </r>
      </text>
    </comment>
    <comment ref="G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from January 2017 - October 2018  based on data provided by GVEA.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4" authorId="0" shapeId="0" xr:uid="{CE8F2E1B-99B3-44CC-91D8-8C79D889FAF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HHV of 0.13 MMBtu/gal and maximum allowed operations of 455 MMBtu/hr for 8,302 hr/yr (8,760 - 458 hours per year for startup which equates to 1.5 million gallon limit).
</t>
        </r>
      </text>
    </comment>
    <comment ref="G14" authorId="0" shapeId="0" xr:uid="{BD8E3037-B77C-43C6-A82D-08495613D97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LSR fuel from September 2019 - October 2020  based on data provided by GVEA 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HHV of 0.13 MMBtu/gal and maximum allowed operations of 455 MMBtu/hr for 8,302 hr/yr (8,760 - 458 hours per year for startup which equates to 1.5 million gallon limit).
</t>
        </r>
      </text>
    </comment>
    <comment ref="G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LSR fuel from January 2017 - October 2018  based on data provided by GVEA.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882F50C5-3BFB-4FD8-911B-5E1E4BAFB9A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engine fuel consumption rate of 32 gals/hr and limited operations of 52 hours/yr. </t>
        </r>
      </text>
    </comment>
    <comment ref="G13" authorId="0" shapeId="0" xr:uid="{E8806765-7F4F-4291-8F04-A45D786CF0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No. 1 fuel oil from September 2019 - October 2020  based on data provided by GVEA 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engine fuel consumption rate of 32 gals/hr and limited operations of 52 hours/yr. </t>
        </r>
      </text>
    </comment>
    <comment ref="G1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No. 1 fuel oil from October 2021 - April 2023  based on data provided by GVEA .</t>
        </r>
      </text>
    </comment>
  </commentList>
</comments>
</file>

<file path=xl/sharedStrings.xml><?xml version="1.0" encoding="utf-8"?>
<sst xmlns="http://schemas.openxmlformats.org/spreadsheetml/2006/main" count="700" uniqueCount="177">
  <si>
    <t>Good Combustion Practices</t>
  </si>
  <si>
    <t>Low Sulfur Fuel</t>
  </si>
  <si>
    <t>Limited Operation</t>
  </si>
  <si>
    <t>ULSD</t>
  </si>
  <si>
    <t>Emission Unit</t>
  </si>
  <si>
    <t>ID</t>
  </si>
  <si>
    <t>Combined Cycle Gas Turbine</t>
  </si>
  <si>
    <t>7</t>
  </si>
  <si>
    <t>1</t>
  </si>
  <si>
    <t>2</t>
  </si>
  <si>
    <t>Low Sulfur Fuel (0.05 wt. pct. S)</t>
  </si>
  <si>
    <t>Limited Operation + Low Sulfur Fuel (0.05 wt. pct. S)</t>
  </si>
  <si>
    <t>Description</t>
  </si>
  <si>
    <t>Simple Cycle Gas Turbine</t>
  </si>
  <si>
    <t>1, 2</t>
  </si>
  <si>
    <t>5, 6</t>
  </si>
  <si>
    <t>11, 12</t>
  </si>
  <si>
    <t>Propane-Fired Boiler</t>
  </si>
  <si>
    <t>Technically Feasible Control Technology</t>
  </si>
  <si>
    <t>Low Sulfur Fuel (existing)</t>
  </si>
  <si>
    <t>ULSD (0.0015 wt. pct. S)</t>
  </si>
  <si>
    <t>Limited Operation + ULSD (0.0015 wt. pct. S)</t>
  </si>
  <si>
    <t>Limited Operation (0.1 wt. pct. S) (existing)</t>
  </si>
  <si>
    <t>Emergency Generator Engine</t>
  </si>
  <si>
    <t xml:space="preserve"> </t>
  </si>
  <si>
    <t>Fuel Oil</t>
  </si>
  <si>
    <t>Boiler</t>
  </si>
  <si>
    <t>Propane</t>
  </si>
  <si>
    <t>Control Technology Option</t>
  </si>
  <si>
    <t>Total Installed Capital ($)</t>
  </si>
  <si>
    <t>Annual O&amp;M Cost ($/year)</t>
  </si>
  <si>
    <t>~</t>
  </si>
  <si>
    <t>Emergency Generator Engine (EU ID 7)</t>
  </si>
  <si>
    <r>
      <t>SO</t>
    </r>
    <r>
      <rPr>
        <b/>
        <vertAlign val="subscript"/>
        <sz val="11"/>
        <color indexed="8"/>
        <rFont val="Arial"/>
        <family val="2"/>
      </rPr>
      <t xml:space="preserve">2 </t>
    </r>
    <r>
      <rPr>
        <b/>
        <sz val="11"/>
        <color indexed="8"/>
        <rFont val="Arial"/>
        <family val="2"/>
      </rPr>
      <t>Emissions (tpy)</t>
    </r>
  </si>
  <si>
    <r>
      <t>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Emissions Reduction (tpy)</t>
    </r>
  </si>
  <si>
    <r>
      <t>Emission Rate</t>
    </r>
    <r>
      <rPr>
        <b/>
        <vertAlign val="superscript"/>
        <sz val="11"/>
        <rFont val="Arial"/>
        <family val="2"/>
      </rPr>
      <t>1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</si>
  <si>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Emissions (tpy)</t>
    </r>
  </si>
  <si>
    <r>
      <t>Cost Effectiveness ($/ton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removed)</t>
    </r>
  </si>
  <si>
    <t>Shaded cells indicate user inputs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</si>
  <si>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</si>
  <si>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</si>
  <si>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</si>
  <si>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</si>
  <si>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</si>
  <si>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</si>
  <si>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</si>
  <si>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</si>
  <si>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</si>
  <si>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</si>
  <si>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</si>
  <si>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</si>
  <si>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</si>
  <si>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</si>
  <si>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</si>
  <si>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</si>
  <si>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</si>
  <si>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</si>
  <si>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</si>
  <si>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excluded in this estimate</t>
  </si>
  <si>
    <t>(4)</t>
  </si>
  <si>
    <t>Utilities</t>
  </si>
  <si>
    <t>(a)</t>
  </si>
  <si>
    <t>ULSD Costs:</t>
  </si>
  <si>
    <t>GAL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</si>
  <si>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</si>
  <si>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</si>
  <si>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</si>
  <si>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</si>
  <si>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</si>
  <si>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</si>
  <si>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</si>
  <si>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</si>
  <si>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</si>
  <si>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</si>
  <si>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</si>
  <si>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</si>
  <si>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>Total Indirect Annual Costs (TIAC)</t>
  </si>
  <si>
    <t xml:space="preserve"> TIAC   =</t>
  </si>
  <si>
    <t>TOTAL ANNUALIZED COSTS (TAC)</t>
  </si>
  <si>
    <t>TAC = (TDAC) + (TIAC)  =</t>
  </si>
  <si>
    <t>Cost Effectiveness Summary</t>
  </si>
  <si>
    <t>=</t>
  </si>
  <si>
    <t>COST EFFECTIVENESS ($ PER TON AVOIDED)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</si>
  <si>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</si>
  <si>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</si>
  <si>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</si>
  <si>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</si>
  <si>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</si>
  <si>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the Diesel-fired Simple Cycle Gas Turbine (EU ID 1)</t>
  </si>
  <si>
    <t>Table 5-4. Annualized Costs for ULSD on</t>
  </si>
  <si>
    <t>Table 5-5. Annualized Costs for ULSD on</t>
  </si>
  <si>
    <t>the Diesel-fired Simple Cycle Gas Turbine (EU ID 2)</t>
  </si>
  <si>
    <t>Table 5-6. Annualized Costs for ULSD on</t>
  </si>
  <si>
    <t>30 ppm S in fuel</t>
  </si>
  <si>
    <t>Simple Cycle Turbine</t>
  </si>
  <si>
    <t>0.0012 lb/kgal</t>
  </si>
  <si>
    <t>Combined Cycle Gas Turbines  (EU IDs 5 and 6)</t>
  </si>
  <si>
    <t>Propane Fired Boilers  (EU IDs 11 and 12)</t>
  </si>
  <si>
    <t>Low Sulfur Fuel (0.05 wt. pct. S) + Limited Operation</t>
  </si>
  <si>
    <t>ULSD (0.0015 wt. pct. S) + Limited Operation</t>
  </si>
  <si>
    <t>Emission Control Technology</t>
  </si>
  <si>
    <t>Control Efficiency (pct.)</t>
  </si>
  <si>
    <t>Available Emission Control Technology</t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</si>
  <si>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1 - GE Frame 7 CT)</t>
    </r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</si>
  <si>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2 - GE Frame 7 CT)</t>
    </r>
  </si>
  <si>
    <t>the Diesel-fired Emergency Generator Engine (EU ID 7)</t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</si>
  <si>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7 - Generac Gen Set Engine)</t>
    </r>
  </si>
  <si>
    <r>
      <t xml:space="preserve">1 </t>
    </r>
    <r>
      <rPr>
        <sz val="10"/>
        <rFont val="Arial"/>
        <family val="2"/>
      </rPr>
      <t>All emission costs are on a per emission unit basis.</t>
    </r>
  </si>
  <si>
    <t>Emission Rate for Each Emission Unit</t>
  </si>
  <si>
    <r>
      <t>1</t>
    </r>
    <r>
      <rPr>
        <sz val="11"/>
        <rFont val="Arial"/>
        <family val="2"/>
      </rPr>
      <t xml:space="preserve"> Emissions are on a per emission unit basis.</t>
    </r>
  </si>
  <si>
    <r>
      <t>Table 5-1. Summary of Available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</si>
  <si>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5-2. Summary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</si>
  <si>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5-3. Ranking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</si>
  <si>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t>LSR</t>
  </si>
  <si>
    <t>Table 5-7. Annualized Costs for ULSD on</t>
  </si>
  <si>
    <r>
      <t>Table 5-8. GVEA North Pole Facility -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BACT Cost Effectiveness</t>
    </r>
  </si>
  <si>
    <r>
      <t>Table 5-9.  GVEA North Pole Facility - Proposed 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BACT and Associated</t>
    </r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</si>
  <si>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IDs 5 and 6 - GE LM6000PC CT)</t>
    </r>
  </si>
  <si>
    <t>the Diesel-fired Combined Cycle Gas Turbines (EU IDs 5 and 6)</t>
  </si>
  <si>
    <t>Good Combustion Practices (0.50 wt. pct. S) (existing)</t>
  </si>
  <si>
    <t>Good Combustion Practices and LSR</t>
  </si>
  <si>
    <r>
      <t>TOTAL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PER YEAR</t>
    </r>
  </si>
  <si>
    <t>Combined Cycle Gas Turbines (per turbine)</t>
  </si>
  <si>
    <t>Low Sulfur Fuel (propane) (existing)</t>
  </si>
  <si>
    <t>Simple Cycle Gas Turbine (EU ID 1)</t>
  </si>
  <si>
    <t>Simple Cycle Gas Turbine (EU ID 2)</t>
  </si>
  <si>
    <t>Total Annualized Cost ($/year)</t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</si>
  <si>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</si>
  <si>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</si>
  <si>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</si>
  <si>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</si>
  <si>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</si>
  <si>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</si>
  <si>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</si>
  <si>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</si>
  <si>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</si>
  <si>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</si>
  <si>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</si>
  <si>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</si>
  <si>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</si>
  <si>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</si>
  <si>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</si>
  <si>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</si>
  <si>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Capital cost estimate for 1.27 million gallons of storage capacity.</t>
  </si>
  <si>
    <t>Table 5-10. Capital Cost for New ULSD Storage Based on</t>
  </si>
  <si>
    <r>
      <t xml:space="preserve">Total Indirect Annual Costs (TIAC)  </t>
    </r>
    <r>
      <rPr>
        <b/>
        <sz val="11"/>
        <rFont val="Calibri"/>
        <family val="2"/>
        <scheme val="minor"/>
      </rPr>
      <t>(refer to Table 5-10)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</si>
  <si>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</si>
  <si>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COST EFFECTIVENESS ($ PER TON AVOIDED BASED ON PTE)</t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</si>
  <si>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EQUIVALENT TO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</si>
  <si>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</si>
  <si>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AVOIDED BASED ON ACTUAL HISTORIC RUN TIMES, AVOIDING 142.3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</si>
  <si>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COST EFFECTIVENESS ($ PER TON AVOIDED BASED ON ACTUALS, AVOIDING 422.3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</si>
  <si>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 Based on PTE</t>
    </r>
  </si>
  <si>
    <r>
      <t>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 Based on Actuals</t>
    </r>
  </si>
  <si>
    <r>
      <t>Alaska Department of Environmental Conservation, Amendments to State Air Quality Control Plan Vol. III: Appendix III.D.5.7, page 52. In reference to fuel oil emissions,  "Ambient sampling and modeling in FNSB indicates that reduction of six tons of SO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emissions result in the same reduction in ambient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 xml:space="preserve"> concentration as the reduction of one ton of directly emitted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>".</t>
    </r>
  </si>
  <si>
    <t>500 ppm S in fuel</t>
  </si>
  <si>
    <t>Good Combustion Practices  (existing)</t>
  </si>
  <si>
    <t>Low Sulfur Fuel - Propane (existing)</t>
  </si>
  <si>
    <t>LSR (existing)</t>
  </si>
  <si>
    <t>Maximum Fuel Use and Actual Fuel Use</t>
  </si>
  <si>
    <t>Capital Cost Estimate</t>
  </si>
  <si>
    <t>North Pole 
EUs 1 and 2 Maximum Fuel Use</t>
  </si>
  <si>
    <t>North Pole 
EUs 1 and 2 Actual Fuel Use</t>
  </si>
  <si>
    <t>Annual average run hours for EU 1  from 2009-2016 is 833 hours, and the peak in the last four years has been 587 hours.  833 hours equates to 4,305,969 gallons of fuel, a TDAC of $1,148,832, and a TAC of $3,068,356.  The capital cost of bulk fuel storage would be less and the TIAC for actuals is shown in Table 5-10.</t>
  </si>
  <si>
    <t>Annual average run hours for EU 2  from 2009-2016 is 2472 hours, and the peak in the last four years has been 2873 hours.  2472 hours equates to 12,778,338 gallons of fuel, a TDAC of $3,409,261, and a TAC of $5,328,784. The capital cost of bulk fuel storage would be less and the TIAC for actuals is shown in Table 5-10.</t>
  </si>
  <si>
    <t>Zehnder 
EUs 1 and 2 Maximum Fuel Use</t>
  </si>
  <si>
    <t>Zehnder 
EUs 1 and 2 Actual Fuel Use</t>
  </si>
  <si>
    <t>LSR (0.0050 wt. pct. S) + JetA/No. 1 Diesel (0.3 wt. pct. S, 1.5x10^6 gal/yr) Good Combustion Practices (existing)</t>
  </si>
  <si>
    <t>wt % S (existing for EUs 5 &amp; 6)</t>
  </si>
  <si>
    <t>wt % S (existing for Naphtha)</t>
  </si>
  <si>
    <t>wt % S ULSD</t>
  </si>
  <si>
    <t>MMBtu/hr EUs 5 and 6 heat rate</t>
  </si>
  <si>
    <t>gal/yr limit for startup on EUs 5 and 6</t>
  </si>
  <si>
    <t>lb/gal Density for Jet A/No. 1 Diesel</t>
  </si>
  <si>
    <t>AP-42 Table 3.1-2a E.F. for Sulfur X wt% S</t>
  </si>
  <si>
    <t>hr/yr each, based on the use of 1.5 million gallons allowed during startup equating to 458 hours per year</t>
  </si>
  <si>
    <t>ULSD (0.0015 wt. pct. S) compared to JetA/No.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</si>
</sst>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&quot;$&quot;#,##0"/>
    <numFmt numFmtId="167" formatCode="&quot;$&quot;#,##0.00"/>
    <numFmt numFmtId="168" formatCode="_(* #,##0_);_(* \(#,##0\);_(* &quot;-&quot;??_);_(@_)"/>
    <numFmt numFmtId="169" formatCode="#,##0.0"/>
    <numFmt numFmtId="170" formatCode="0.0%"/>
    <numFmt numFmtId="171" formatCode="_(&quot;$&quot;* #,##0_);_(&quot;$&quot;* \(#,##0\);_(&quot;$&quot;* &quot;-&quot;??_);_(@_)"/>
    <numFmt numFmtId="172" formatCode="0.00000"/>
    <numFmt numFmtId="173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Helvetica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color indexed="8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b/>
      <vertAlign val="subscript"/>
      <sz val="12"/>
      <color theme="1"/>
      <name val="Calibri"/>
      <family val="2"/>
      <scheme val="minor"/>
    </font>
    <font>
      <sz val="12"/>
      <name val="Times New Roman"/>
      <family val="1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0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wrapText="1"/>
    </xf>
    <xf numFmtId="0" fontId="6" fillId="0" borderId="33" xfId="1" applyFont="1" applyBorder="1" applyAlignment="1">
      <alignment wrapText="1"/>
    </xf>
    <xf numFmtId="0" fontId="9" fillId="0" borderId="33" xfId="1" applyFont="1" applyBorder="1" applyAlignment="1">
      <alignment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top" wrapText="1"/>
    </xf>
    <xf numFmtId="0" fontId="10" fillId="4" borderId="22" xfId="1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top" wrapText="1"/>
    </xf>
    <xf numFmtId="0" fontId="10" fillId="3" borderId="38" xfId="1" applyFont="1" applyFill="1" applyBorder="1" applyAlignment="1">
      <alignment horizontal="center" vertical="top" wrapText="1"/>
    </xf>
    <xf numFmtId="0" fontId="10" fillId="3" borderId="21" xfId="1" applyFont="1" applyFill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164" fontId="9" fillId="0" borderId="0" xfId="1" applyNumberFormat="1" applyFont="1" applyAlignment="1">
      <alignment wrapText="1"/>
    </xf>
    <xf numFmtId="0" fontId="10" fillId="0" borderId="43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center" vertical="top" wrapText="1"/>
    </xf>
    <xf numFmtId="167" fontId="8" fillId="0" borderId="39" xfId="1" applyNumberFormat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50" xfId="0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0" fillId="0" borderId="54" xfId="0" applyBorder="1"/>
    <xf numFmtId="0" fontId="0" fillId="0" borderId="39" xfId="0" applyBorder="1"/>
    <xf numFmtId="0" fontId="0" fillId="0" borderId="0" xfId="0" applyAlignment="1">
      <alignment horizontal="right"/>
    </xf>
    <xf numFmtId="0" fontId="0" fillId="0" borderId="55" xfId="0" applyBorder="1" applyAlignment="1">
      <alignment horizontal="right"/>
    </xf>
    <xf numFmtId="0" fontId="0" fillId="0" borderId="56" xfId="0" applyBorder="1"/>
    <xf numFmtId="0" fontId="0" fillId="0" borderId="33" xfId="0" applyBorder="1"/>
    <xf numFmtId="0" fontId="0" fillId="0" borderId="33" xfId="0" applyBorder="1" applyAlignment="1">
      <alignment horizontal="right"/>
    </xf>
    <xf numFmtId="0" fontId="0" fillId="0" borderId="57" xfId="0" applyBorder="1" applyAlignment="1">
      <alignment horizontal="right"/>
    </xf>
    <xf numFmtId="0" fontId="15" fillId="0" borderId="58" xfId="0" applyFont="1" applyBorder="1"/>
    <xf numFmtId="0" fontId="15" fillId="0" borderId="59" xfId="0" applyFont="1" applyBorder="1"/>
    <xf numFmtId="0" fontId="0" fillId="0" borderId="59" xfId="0" applyBorder="1"/>
    <xf numFmtId="0" fontId="14" fillId="0" borderId="59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49" fontId="0" fillId="0" borderId="54" xfId="0" applyNumberFormat="1" applyBorder="1"/>
    <xf numFmtId="9" fontId="0" fillId="5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42" fontId="0" fillId="0" borderId="0" xfId="0" applyNumberFormat="1" applyAlignment="1">
      <alignment horizontal="right"/>
    </xf>
    <xf numFmtId="42" fontId="0" fillId="0" borderId="55" xfId="0" applyNumberFormat="1" applyBorder="1"/>
    <xf numFmtId="0" fontId="0" fillId="5" borderId="11" xfId="0" applyFill="1" applyBorder="1" applyAlignment="1">
      <alignment horizontal="center"/>
    </xf>
    <xf numFmtId="44" fontId="0" fillId="0" borderId="0" xfId="0" applyNumberFormat="1"/>
    <xf numFmtId="0" fontId="0" fillId="0" borderId="54" xfId="0" applyBorder="1" applyAlignment="1">
      <alignment horizontal="left"/>
    </xf>
    <xf numFmtId="49" fontId="17" fillId="0" borderId="0" xfId="0" applyNumberFormat="1" applyFont="1"/>
    <xf numFmtId="165" fontId="0" fillId="0" borderId="0" xfId="0" applyNumberFormat="1"/>
    <xf numFmtId="42" fontId="18" fillId="0" borderId="0" xfId="0" applyNumberFormat="1" applyFont="1"/>
    <xf numFmtId="49" fontId="17" fillId="0" borderId="61" xfId="0" applyNumberFormat="1" applyFont="1" applyBorder="1"/>
    <xf numFmtId="49" fontId="17" fillId="0" borderId="45" xfId="0" applyNumberFormat="1" applyFont="1" applyBorder="1"/>
    <xf numFmtId="0" fontId="0" fillId="0" borderId="45" xfId="0" applyBorder="1" applyAlignment="1">
      <alignment horizontal="left"/>
    </xf>
    <xf numFmtId="165" fontId="0" fillId="0" borderId="45" xfId="0" applyNumberFormat="1" applyBorder="1" applyAlignment="1">
      <alignment horizontal="center"/>
    </xf>
    <xf numFmtId="44" fontId="0" fillId="0" borderId="45" xfId="0" applyNumberFormat="1" applyBorder="1" applyAlignment="1">
      <alignment horizontal="right"/>
    </xf>
    <xf numFmtId="42" fontId="0" fillId="0" borderId="45" xfId="0" applyNumberFormat="1" applyBorder="1" applyAlignment="1">
      <alignment horizontal="right"/>
    </xf>
    <xf numFmtId="42" fontId="0" fillId="0" borderId="45" xfId="0" applyNumberFormat="1" applyBorder="1"/>
    <xf numFmtId="42" fontId="18" fillId="0" borderId="45" xfId="0" applyNumberFormat="1" applyFont="1" applyBorder="1"/>
    <xf numFmtId="42" fontId="17" fillId="0" borderId="45" xfId="0" applyNumberFormat="1" applyFont="1" applyBorder="1" applyAlignment="1">
      <alignment horizontal="right"/>
    </xf>
    <xf numFmtId="42" fontId="0" fillId="0" borderId="62" xfId="0" applyNumberFormat="1" applyBorder="1"/>
    <xf numFmtId="42" fontId="17" fillId="0" borderId="0" xfId="0" applyNumberFormat="1" applyFont="1" applyAlignment="1">
      <alignment horizontal="right"/>
    </xf>
    <xf numFmtId="0" fontId="15" fillId="0" borderId="54" xfId="0" applyFont="1" applyBorder="1" applyAlignment="1">
      <alignment horizontal="left"/>
    </xf>
    <xf numFmtId="0" fontId="15" fillId="0" borderId="0" xfId="0" applyFont="1"/>
    <xf numFmtId="44" fontId="0" fillId="0" borderId="0" xfId="0" applyNumberFormat="1" applyAlignment="1">
      <alignment horizontal="right"/>
    </xf>
    <xf numFmtId="10" fontId="0" fillId="5" borderId="11" xfId="0" applyNumberForma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0" xfId="0" applyFont="1"/>
    <xf numFmtId="42" fontId="17" fillId="0" borderId="0" xfId="0" applyNumberFormat="1" applyFont="1"/>
    <xf numFmtId="42" fontId="16" fillId="0" borderId="0" xfId="0" applyNumberFormat="1" applyFont="1" applyAlignment="1">
      <alignment horizontal="right"/>
    </xf>
    <xf numFmtId="0" fontId="18" fillId="0" borderId="45" xfId="0" applyFont="1" applyBorder="1"/>
    <xf numFmtId="0" fontId="18" fillId="0" borderId="45" xfId="0" applyFont="1" applyBorder="1" applyAlignment="1">
      <alignment horizontal="center"/>
    </xf>
    <xf numFmtId="49" fontId="14" fillId="0" borderId="54" xfId="0" applyNumberFormat="1" applyFont="1" applyBorder="1"/>
    <xf numFmtId="49" fontId="14" fillId="0" borderId="0" xfId="0" applyNumberFormat="1" applyFont="1"/>
    <xf numFmtId="49" fontId="20" fillId="0" borderId="61" xfId="0" applyNumberFormat="1" applyFont="1" applyBorder="1"/>
    <xf numFmtId="49" fontId="20" fillId="0" borderId="45" xfId="0" applyNumberFormat="1" applyFont="1" applyBorder="1"/>
    <xf numFmtId="0" fontId="0" fillId="0" borderId="45" xfId="0" applyBorder="1"/>
    <xf numFmtId="0" fontId="0" fillId="0" borderId="45" xfId="0" applyBorder="1" applyAlignment="1">
      <alignment horizontal="center"/>
    </xf>
    <xf numFmtId="42" fontId="17" fillId="0" borderId="45" xfId="0" applyNumberFormat="1" applyFont="1" applyBorder="1"/>
    <xf numFmtId="0" fontId="0" fillId="0" borderId="55" xfId="0" applyBorder="1"/>
    <xf numFmtId="0" fontId="15" fillId="0" borderId="54" xfId="0" applyFont="1" applyBorder="1"/>
    <xf numFmtId="49" fontId="0" fillId="0" borderId="0" xfId="0" applyNumberFormat="1" applyAlignment="1">
      <alignment horizontal="right"/>
    </xf>
    <xf numFmtId="0" fontId="15" fillId="0" borderId="67" xfId="0" applyFont="1" applyBorder="1"/>
    <xf numFmtId="0" fontId="15" fillId="0" borderId="68" xfId="0" applyFont="1" applyBorder="1"/>
    <xf numFmtId="0" fontId="0" fillId="0" borderId="68" xfId="0" applyBorder="1"/>
    <xf numFmtId="0" fontId="21" fillId="0" borderId="68" xfId="0" applyFont="1" applyBorder="1"/>
    <xf numFmtId="49" fontId="17" fillId="0" borderId="68" xfId="0" applyNumberFormat="1" applyFont="1" applyBorder="1" applyAlignment="1">
      <alignment horizontal="right"/>
    </xf>
    <xf numFmtId="42" fontId="0" fillId="0" borderId="69" xfId="0" applyNumberFormat="1" applyBorder="1"/>
    <xf numFmtId="0" fontId="14" fillId="0" borderId="70" xfId="0" applyFont="1" applyBorder="1" applyAlignment="1">
      <alignment horizontal="left"/>
    </xf>
    <xf numFmtId="0" fontId="14" fillId="0" borderId="7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72" xfId="0" applyBorder="1"/>
    <xf numFmtId="2" fontId="0" fillId="5" borderId="11" xfId="0" applyNumberFormat="1" applyFill="1" applyBorder="1" applyAlignment="1">
      <alignment horizontal="center"/>
    </xf>
    <xf numFmtId="0" fontId="0" fillId="0" borderId="47" xfId="0" applyBorder="1"/>
    <xf numFmtId="0" fontId="0" fillId="0" borderId="73" xfId="0" applyBorder="1"/>
    <xf numFmtId="0" fontId="0" fillId="5" borderId="14" xfId="0" applyFill="1" applyBorder="1" applyAlignment="1">
      <alignment horizontal="center"/>
    </xf>
    <xf numFmtId="0" fontId="0" fillId="0" borderId="74" xfId="0" applyBorder="1"/>
    <xf numFmtId="168" fontId="0" fillId="5" borderId="11" xfId="3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6" fontId="8" fillId="0" borderId="11" xfId="1" applyNumberFormat="1" applyFont="1" applyBorder="1" applyAlignment="1">
      <alignment horizontal="center" vertical="center" wrapText="1"/>
    </xf>
    <xf numFmtId="0" fontId="26" fillId="0" borderId="0" xfId="0" applyFont="1"/>
    <xf numFmtId="166" fontId="8" fillId="0" borderId="12" xfId="1" applyNumberFormat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/>
    </xf>
    <xf numFmtId="2" fontId="9" fillId="0" borderId="50" xfId="0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27" fillId="0" borderId="0" xfId="1" applyFont="1"/>
    <xf numFmtId="0" fontId="5" fillId="0" borderId="0" xfId="0" applyFont="1" applyAlignment="1">
      <alignment wrapText="1"/>
    </xf>
    <xf numFmtId="1" fontId="8" fillId="0" borderId="11" xfId="1" applyNumberFormat="1" applyFont="1" applyBorder="1" applyAlignment="1">
      <alignment horizontal="center" vertical="center" wrapText="1"/>
    </xf>
    <xf numFmtId="167" fontId="8" fillId="0" borderId="11" xfId="1" applyNumberFormat="1" applyFont="1" applyBorder="1" applyAlignment="1">
      <alignment horizontal="center" vertical="center" wrapText="1"/>
    </xf>
    <xf numFmtId="167" fontId="8" fillId="0" borderId="5" xfId="1" applyNumberFormat="1" applyFont="1" applyBorder="1" applyAlignment="1">
      <alignment horizontal="center" vertical="center" wrapText="1"/>
    </xf>
    <xf numFmtId="0" fontId="13" fillId="0" borderId="0" xfId="1" applyFont="1"/>
    <xf numFmtId="0" fontId="0" fillId="0" borderId="11" xfId="0" applyBorder="1" applyAlignment="1">
      <alignment horizontal="center"/>
    </xf>
    <xf numFmtId="1" fontId="8" fillId="0" borderId="14" xfId="1" applyNumberFormat="1" applyFont="1" applyBorder="1" applyAlignment="1">
      <alignment horizontal="center" vertical="center" wrapText="1"/>
    </xf>
    <xf numFmtId="167" fontId="8" fillId="0" borderId="14" xfId="1" applyNumberFormat="1" applyFont="1" applyBorder="1" applyAlignment="1">
      <alignment horizontal="center" vertical="center" wrapText="1"/>
    </xf>
    <xf numFmtId="0" fontId="30" fillId="0" borderId="0" xfId="1" applyFont="1"/>
    <xf numFmtId="3" fontId="8" fillId="0" borderId="11" xfId="1" applyNumberFormat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9" fillId="0" borderId="72" xfId="1" applyFont="1" applyBorder="1" applyAlignment="1">
      <alignment vertical="center"/>
    </xf>
    <xf numFmtId="0" fontId="9" fillId="0" borderId="47" xfId="1" applyFont="1" applyBorder="1" applyAlignment="1">
      <alignment vertical="center" wrapText="1"/>
    </xf>
    <xf numFmtId="0" fontId="8" fillId="0" borderId="74" xfId="1" applyFont="1" applyBorder="1" applyAlignment="1">
      <alignment horizontal="center" vertical="center" wrapText="1"/>
    </xf>
    <xf numFmtId="0" fontId="30" fillId="0" borderId="0" xfId="0" applyFont="1"/>
    <xf numFmtId="0" fontId="2" fillId="0" borderId="0" xfId="0" applyFont="1"/>
    <xf numFmtId="3" fontId="0" fillId="5" borderId="11" xfId="0" applyNumberFormat="1" applyFill="1" applyBorder="1" applyAlignment="1">
      <alignment horizontal="center"/>
    </xf>
    <xf numFmtId="1" fontId="9" fillId="0" borderId="11" xfId="1" applyNumberFormat="1" applyFont="1" applyBorder="1" applyAlignment="1">
      <alignment horizontal="center" vertical="center" wrapText="1"/>
    </xf>
    <xf numFmtId="3" fontId="0" fillId="5" borderId="66" xfId="0" applyNumberForma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9" fontId="5" fillId="0" borderId="6" xfId="0" applyNumberFormat="1" applyFont="1" applyBorder="1" applyAlignment="1">
      <alignment horizontal="center" vertical="center"/>
    </xf>
    <xf numFmtId="169" fontId="5" fillId="0" borderId="1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0" fillId="5" borderId="66" xfId="0" applyNumberFormat="1" applyFill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31" fillId="0" borderId="0" xfId="1" applyFont="1"/>
    <xf numFmtId="0" fontId="25" fillId="0" borderId="0" xfId="4" applyFont="1" applyAlignment="1">
      <alignment horizontal="centerContinuous" vertical="center"/>
    </xf>
    <xf numFmtId="0" fontId="25" fillId="0" borderId="0" xfId="4" applyFont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6" fillId="0" borderId="0" xfId="1" applyFont="1" applyAlignment="1">
      <alignment horizontal="center"/>
    </xf>
    <xf numFmtId="0" fontId="10" fillId="2" borderId="28" xfId="1" applyFont="1" applyFill="1" applyBorder="1" applyAlignment="1">
      <alignment horizontal="center" vertical="center" wrapText="1"/>
    </xf>
    <xf numFmtId="0" fontId="21" fillId="0" borderId="0" xfId="0" applyFont="1"/>
    <xf numFmtId="49" fontId="17" fillId="0" borderId="0" xfId="0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6" fillId="0" borderId="77" xfId="0" applyFont="1" applyBorder="1" applyAlignment="1">
      <alignment horizontal="center" vertical="center"/>
    </xf>
    <xf numFmtId="0" fontId="9" fillId="2" borderId="7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/>
    </xf>
    <xf numFmtId="169" fontId="5" fillId="2" borderId="78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/>
    </xf>
    <xf numFmtId="169" fontId="5" fillId="2" borderId="12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9" fontId="5" fillId="2" borderId="14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9" fontId="5" fillId="0" borderId="29" xfId="0" applyNumberFormat="1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 wrapText="1"/>
    </xf>
    <xf numFmtId="164" fontId="9" fillId="2" borderId="78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0" fontId="8" fillId="2" borderId="83" xfId="0" quotePrefix="1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 wrapText="1"/>
    </xf>
    <xf numFmtId="0" fontId="9" fillId="2" borderId="85" xfId="0" applyFont="1" applyFill="1" applyBorder="1" applyAlignment="1">
      <alignment horizontal="center"/>
    </xf>
    <xf numFmtId="0" fontId="5" fillId="2" borderId="84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center"/>
    </xf>
    <xf numFmtId="0" fontId="10" fillId="6" borderId="41" xfId="1" applyFont="1" applyFill="1" applyBorder="1" applyAlignment="1">
      <alignment horizontal="center" vertical="center" wrapText="1"/>
    </xf>
    <xf numFmtId="0" fontId="10" fillId="6" borderId="42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top"/>
    </xf>
    <xf numFmtId="0" fontId="6" fillId="6" borderId="27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88" xfId="0" applyBorder="1" applyAlignment="1">
      <alignment horizontal="right"/>
    </xf>
    <xf numFmtId="0" fontId="0" fillId="0" borderId="90" xfId="0" applyBorder="1" applyAlignment="1">
      <alignment horizontal="right"/>
    </xf>
    <xf numFmtId="0" fontId="1" fillId="0" borderId="1" xfId="10" applyBorder="1" applyAlignment="1">
      <alignment vertical="center"/>
    </xf>
    <xf numFmtId="0" fontId="25" fillId="0" borderId="2" xfId="10" applyFont="1" applyBorder="1" applyAlignment="1">
      <alignment horizontal="center" vertical="center" wrapText="1"/>
    </xf>
    <xf numFmtId="0" fontId="25" fillId="0" borderId="3" xfId="10" applyFont="1" applyBorder="1" applyAlignment="1">
      <alignment horizontal="center" vertical="center" wrapText="1"/>
    </xf>
    <xf numFmtId="0" fontId="1" fillId="0" borderId="7" xfId="10" applyBorder="1" applyAlignment="1">
      <alignment vertical="center" wrapText="1"/>
    </xf>
    <xf numFmtId="3" fontId="1" fillId="0" borderId="11" xfId="10" applyNumberFormat="1" applyBorder="1" applyAlignment="1">
      <alignment horizontal="center" vertical="center"/>
    </xf>
    <xf numFmtId="3" fontId="1" fillId="0" borderId="12" xfId="10" applyNumberFormat="1" applyBorder="1" applyAlignment="1">
      <alignment horizontal="center" vertical="center"/>
    </xf>
    <xf numFmtId="170" fontId="1" fillId="0" borderId="11" xfId="11" applyNumberFormat="1" applyFont="1" applyBorder="1" applyAlignment="1">
      <alignment horizontal="center" vertical="center"/>
    </xf>
    <xf numFmtId="170" fontId="1" fillId="0" borderId="12" xfId="11" applyNumberFormat="1" applyFont="1" applyBorder="1" applyAlignment="1">
      <alignment horizontal="center" vertical="center"/>
    </xf>
    <xf numFmtId="0" fontId="1" fillId="0" borderId="7" xfId="10" applyBorder="1" applyAlignment="1">
      <alignment horizontal="left" vertical="center" wrapText="1"/>
    </xf>
    <xf numFmtId="171" fontId="1" fillId="0" borderId="11" xfId="12" applyNumberFormat="1" applyFont="1" applyBorder="1" applyAlignment="1">
      <alignment vertical="center"/>
    </xf>
    <xf numFmtId="171" fontId="1" fillId="0" borderId="12" xfId="12" applyNumberFormat="1" applyFont="1" applyBorder="1" applyAlignment="1">
      <alignment vertical="center"/>
    </xf>
    <xf numFmtId="171" fontId="1" fillId="0" borderId="11" xfId="10" applyNumberFormat="1" applyBorder="1" applyAlignment="1">
      <alignment vertical="center"/>
    </xf>
    <xf numFmtId="171" fontId="1" fillId="0" borderId="12" xfId="10" applyNumberFormat="1" applyBorder="1" applyAlignment="1">
      <alignment vertical="center"/>
    </xf>
    <xf numFmtId="0" fontId="25" fillId="0" borderId="8" xfId="10" applyFont="1" applyBorder="1" applyAlignment="1">
      <alignment vertical="center" wrapText="1"/>
    </xf>
    <xf numFmtId="171" fontId="25" fillId="0" borderId="14" xfId="10" applyNumberFormat="1" applyFont="1" applyBorder="1" applyAlignment="1">
      <alignment vertical="center"/>
    </xf>
    <xf numFmtId="171" fontId="25" fillId="0" borderId="16" xfId="10" applyNumberFormat="1" applyFont="1" applyBorder="1" applyAlignment="1">
      <alignment vertical="center"/>
    </xf>
    <xf numFmtId="0" fontId="1" fillId="0" borderId="0" xfId="10" applyAlignment="1">
      <alignment vertical="center"/>
    </xf>
    <xf numFmtId="165" fontId="1" fillId="5" borderId="11" xfId="10" applyNumberFormat="1" applyFill="1" applyBorder="1" applyAlignment="1">
      <alignment vertical="center"/>
    </xf>
    <xf numFmtId="0" fontId="25" fillId="0" borderId="0" xfId="10" applyFont="1" applyAlignment="1">
      <alignment horizontal="left" vertical="center"/>
    </xf>
    <xf numFmtId="0" fontId="25" fillId="0" borderId="0" xfId="10" applyFont="1" applyAlignment="1">
      <alignment horizontal="center" vertical="center"/>
    </xf>
    <xf numFmtId="2" fontId="1" fillId="5" borderId="11" xfId="10" applyNumberFormat="1" applyFill="1" applyBorder="1" applyAlignment="1">
      <alignment horizontal="center" vertical="center"/>
    </xf>
    <xf numFmtId="0" fontId="1" fillId="5" borderId="11" xfId="10" applyFill="1" applyBorder="1" applyAlignment="1">
      <alignment horizontal="center" vertical="center"/>
    </xf>
    <xf numFmtId="10" fontId="1" fillId="5" borderId="11" xfId="10" applyNumberFormat="1" applyFill="1" applyBorder="1" applyAlignment="1">
      <alignment horizontal="center" vertical="center"/>
    </xf>
    <xf numFmtId="171" fontId="0" fillId="0" borderId="55" xfId="0" applyNumberFormat="1" applyBorder="1"/>
    <xf numFmtId="169" fontId="0" fillId="5" borderId="66" xfId="0" applyNumberFormat="1" applyFill="1" applyBorder="1" applyAlignment="1">
      <alignment horizontal="center"/>
    </xf>
    <xf numFmtId="0" fontId="1" fillId="0" borderId="0" xfId="0" applyFont="1"/>
    <xf numFmtId="168" fontId="1" fillId="0" borderId="0" xfId="3" applyNumberFormat="1" applyFont="1"/>
    <xf numFmtId="0" fontId="5" fillId="2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 wrapText="1"/>
    </xf>
    <xf numFmtId="170" fontId="1" fillId="2" borderId="5" xfId="13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 vertical="center"/>
    </xf>
    <xf numFmtId="173" fontId="5" fillId="0" borderId="11" xfId="0" applyNumberFormat="1" applyFont="1" applyBorder="1" applyAlignment="1">
      <alignment horizontal="center"/>
    </xf>
    <xf numFmtId="170" fontId="5" fillId="0" borderId="5" xfId="13" applyNumberFormat="1" applyFont="1" applyBorder="1" applyAlignment="1">
      <alignment horizontal="center"/>
    </xf>
    <xf numFmtId="173" fontId="0" fillId="5" borderId="66" xfId="0" applyNumberForma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6" borderId="3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2" borderId="23" xfId="0" quotePrefix="1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/>
    </xf>
    <xf numFmtId="0" fontId="8" fillId="4" borderId="4" xfId="0" quotePrefix="1" applyFont="1" applyFill="1" applyBorder="1" applyAlignment="1">
      <alignment horizontal="center" vertical="center"/>
    </xf>
    <xf numFmtId="0" fontId="8" fillId="4" borderId="30" xfId="0" quotePrefix="1" applyFont="1" applyFill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4" borderId="7" xfId="0" quotePrefix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2" borderId="41" xfId="0" quotePrefix="1" applyFont="1" applyFill="1" applyBorder="1" applyAlignment="1">
      <alignment horizontal="center" vertical="center"/>
    </xf>
    <xf numFmtId="0" fontId="8" fillId="2" borderId="18" xfId="0" quotePrefix="1" applyFont="1" applyFill="1" applyBorder="1" applyAlignment="1">
      <alignment horizontal="center" vertical="center"/>
    </xf>
    <xf numFmtId="0" fontId="8" fillId="2" borderId="19" xfId="0" quotePrefix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4" fillId="0" borderId="0" xfId="2" applyFont="1" applyAlignment="1">
      <alignment horizontal="center"/>
    </xf>
    <xf numFmtId="0" fontId="0" fillId="5" borderId="51" xfId="0" applyFill="1" applyBorder="1" applyAlignment="1">
      <alignment horizontal="right"/>
    </xf>
    <xf numFmtId="0" fontId="0" fillId="5" borderId="52" xfId="0" applyFill="1" applyBorder="1" applyAlignment="1">
      <alignment horizontal="right"/>
    </xf>
    <xf numFmtId="0" fontId="0" fillId="5" borderId="53" xfId="0" applyFill="1" applyBorder="1" applyAlignment="1">
      <alignment horizontal="right"/>
    </xf>
    <xf numFmtId="0" fontId="15" fillId="6" borderId="54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15" fillId="6" borderId="63" xfId="0" applyFont="1" applyFill="1" applyBorder="1" applyAlignment="1">
      <alignment horizontal="center"/>
    </xf>
    <xf numFmtId="0" fontId="15" fillId="6" borderId="64" xfId="0" applyFont="1" applyFill="1" applyBorder="1" applyAlignment="1">
      <alignment horizontal="center"/>
    </xf>
    <xf numFmtId="0" fontId="15" fillId="6" borderId="65" xfId="0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6" fillId="2" borderId="44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1" fillId="0" borderId="0" xfId="10" applyAlignment="1">
      <alignment horizontal="left" vertical="center" wrapText="1"/>
    </xf>
    <xf numFmtId="0" fontId="1" fillId="0" borderId="35" xfId="10" applyBorder="1" applyAlignment="1">
      <alignment horizontal="left" vertical="center" wrapText="1"/>
    </xf>
    <xf numFmtId="166" fontId="1" fillId="0" borderId="91" xfId="4" applyNumberFormat="1" applyBorder="1" applyAlignment="1">
      <alignment horizontal="center" vertical="center" wrapText="1"/>
    </xf>
    <xf numFmtId="166" fontId="1" fillId="0" borderId="92" xfId="4" applyNumberFormat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/>
    </xf>
    <xf numFmtId="166" fontId="1" fillId="0" borderId="92" xfId="0" applyNumberFormat="1" applyFont="1" applyBorder="1" applyAlignment="1">
      <alignment horizontal="center"/>
    </xf>
  </cellXfs>
  <cellStyles count="14">
    <cellStyle name="Comma" xfId="3" builtinId="3"/>
    <cellStyle name="Comma 2" xfId="7" xr:uid="{00000000-0005-0000-0000-000001000000}"/>
    <cellStyle name="Currency 2" xfId="6" xr:uid="{00000000-0005-0000-0000-000002000000}"/>
    <cellStyle name="Currency 3" xfId="12" xr:uid="{00000000-0005-0000-0000-000003000000}"/>
    <cellStyle name="Normal" xfId="0" builtinId="0"/>
    <cellStyle name="Normal 12" xfId="2" xr:uid="{00000000-0005-0000-0000-000005000000}"/>
    <cellStyle name="Normal 18" xfId="8" xr:uid="{00000000-0005-0000-0000-000006000000}"/>
    <cellStyle name="Normal 19" xfId="10" xr:uid="{00000000-0005-0000-0000-000007000000}"/>
    <cellStyle name="Normal 2" xfId="1" xr:uid="{00000000-0005-0000-0000-000008000000}"/>
    <cellStyle name="Normal 3" xfId="4" xr:uid="{00000000-0005-0000-0000-000009000000}"/>
    <cellStyle name="Normal 4" xfId="9" xr:uid="{00000000-0005-0000-0000-00000A000000}"/>
    <cellStyle name="Percent" xfId="13" builtinId="5"/>
    <cellStyle name="Percent 2" xfId="5" xr:uid="{00000000-0005-0000-0000-00000B000000}"/>
    <cellStyle name="Percent 6" xfId="11" xr:uid="{00000000-0005-0000-0000-00000C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banks/Projects%20and%20Proposals/GVEA/Multiple%20Sites%20-%20Air%20Quality/PM%202.5%20Nonattainment/NAA%20BACT/North%20Pole/SCI%20Tables%20and%20Costs/ULSD%20(No%20Tank)%20-%20GVEA%20NP%20EUID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banks/Projects%20and%20Proposals/GVEA/Multiple%20Sites%20-%20Air%20Quality/PM%202.5%20Nonattainment/NAA%20BACT/North%20Pole/SCI%20Tables%20and%20Costs/ULSD%20(No%20Tank)%20-%20GVEA%20NP%20EUID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irbanks/Projects%20and%20Proposals/GVEA/Multiple%20Sites%20-%20Air%20Quality/PM%202.5%20Nonattainment/NAA%20BACT/North%20Pole/SCI%20Tables%20and%20Costs/ULSD%20(No%20Tank)%20-%20GVEA%20NP%20EUID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7"/>
  <sheetViews>
    <sheetView zoomScaleNormal="100" workbookViewId="0">
      <selection activeCell="D27" sqref="D27"/>
    </sheetView>
  </sheetViews>
  <sheetFormatPr defaultColWidth="8.85546875" defaultRowHeight="14.25" x14ac:dyDescent="0.2"/>
  <cols>
    <col min="1" max="1" width="6.7109375" style="1" bestFit="1" customWidth="1"/>
    <col min="2" max="2" width="28.140625" style="1" bestFit="1" customWidth="1"/>
    <col min="3" max="3" width="30.5703125" style="1" bestFit="1" customWidth="1"/>
    <col min="4" max="16384" width="8.85546875" style="1"/>
  </cols>
  <sheetData>
    <row r="1" spans="1:3" ht="30" customHeight="1" x14ac:dyDescent="0.25">
      <c r="A1" s="269" t="s">
        <v>110</v>
      </c>
      <c r="B1" s="269"/>
      <c r="C1" s="269"/>
    </row>
    <row r="2" spans="1:3" ht="15" thickBot="1" x14ac:dyDescent="0.25">
      <c r="A2" s="2"/>
      <c r="B2" s="2"/>
      <c r="C2" s="2"/>
    </row>
    <row r="3" spans="1:3" ht="15" customHeight="1" thickBot="1" x14ac:dyDescent="0.3">
      <c r="A3" s="270" t="s">
        <v>4</v>
      </c>
      <c r="B3" s="271"/>
      <c r="C3" s="214" t="s">
        <v>102</v>
      </c>
    </row>
    <row r="4" spans="1:3" ht="16.5" thickTop="1" thickBot="1" x14ac:dyDescent="0.3">
      <c r="A4" s="166"/>
      <c r="B4" s="167"/>
      <c r="C4" s="168"/>
    </row>
    <row r="5" spans="1:3" x14ac:dyDescent="0.2">
      <c r="A5" s="261" t="s">
        <v>14</v>
      </c>
      <c r="B5" s="272" t="s">
        <v>13</v>
      </c>
      <c r="C5" s="169" t="s">
        <v>3</v>
      </c>
    </row>
    <row r="6" spans="1:3" x14ac:dyDescent="0.2">
      <c r="A6" s="262"/>
      <c r="B6" s="273"/>
      <c r="C6" s="170" t="s">
        <v>1</v>
      </c>
    </row>
    <row r="7" spans="1:3" ht="15" thickBot="1" x14ac:dyDescent="0.25">
      <c r="A7" s="263"/>
      <c r="B7" s="274"/>
      <c r="C7" s="171" t="s">
        <v>0</v>
      </c>
    </row>
    <row r="8" spans="1:3" x14ac:dyDescent="0.2">
      <c r="A8" s="264" t="s">
        <v>15</v>
      </c>
      <c r="B8" s="275" t="s">
        <v>6</v>
      </c>
      <c r="C8" s="6" t="s">
        <v>3</v>
      </c>
    </row>
    <row r="9" spans="1:3" x14ac:dyDescent="0.2">
      <c r="A9" s="265"/>
      <c r="B9" s="276"/>
      <c r="C9" s="3" t="s">
        <v>113</v>
      </c>
    </row>
    <row r="10" spans="1:3" x14ac:dyDescent="0.2">
      <c r="A10" s="265"/>
      <c r="B10" s="276"/>
      <c r="C10" s="3" t="s">
        <v>2</v>
      </c>
    </row>
    <row r="11" spans="1:3" ht="15" thickBot="1" x14ac:dyDescent="0.25">
      <c r="A11" s="266"/>
      <c r="B11" s="277"/>
      <c r="C11" s="172" t="s">
        <v>0</v>
      </c>
    </row>
    <row r="12" spans="1:3" x14ac:dyDescent="0.2">
      <c r="A12" s="261">
        <v>7</v>
      </c>
      <c r="B12" s="278" t="s">
        <v>23</v>
      </c>
      <c r="C12" s="169" t="s">
        <v>3</v>
      </c>
    </row>
    <row r="13" spans="1:3" x14ac:dyDescent="0.2">
      <c r="A13" s="262"/>
      <c r="B13" s="279"/>
      <c r="C13" s="170" t="s">
        <v>1</v>
      </c>
    </row>
    <row r="14" spans="1:3" x14ac:dyDescent="0.2">
      <c r="A14" s="262"/>
      <c r="B14" s="279"/>
      <c r="C14" s="170" t="s">
        <v>2</v>
      </c>
    </row>
    <row r="15" spans="1:3" ht="15" thickBot="1" x14ac:dyDescent="0.25">
      <c r="A15" s="263"/>
      <c r="B15" s="280"/>
      <c r="C15" s="171" t="s">
        <v>0</v>
      </c>
    </row>
    <row r="16" spans="1:3" x14ac:dyDescent="0.2">
      <c r="A16" s="267" t="s">
        <v>16</v>
      </c>
      <c r="B16" s="281" t="s">
        <v>17</v>
      </c>
      <c r="C16" s="6" t="s">
        <v>1</v>
      </c>
    </row>
    <row r="17" spans="1:3" ht="16.5" customHeight="1" thickBot="1" x14ac:dyDescent="0.25">
      <c r="A17" s="268"/>
      <c r="B17" s="282"/>
      <c r="C17" s="4" t="s">
        <v>0</v>
      </c>
    </row>
  </sheetData>
  <sheetProtection algorithmName="SHA-512" hashValue="GdkhPiRoZGGifHCS5hEDJTYMv4FMvapJgOClRoj8j0SUfttSSYO4qKb7yEeOxALP2ZmQmFE8KZ925hro8nX5Aw==" saltValue="jjtZJ7ICJhsCLMnn49BcTQ==" spinCount="100000" sheet="1" objects="1" scenarios="1"/>
  <mergeCells count="10">
    <mergeCell ref="A5:A7"/>
    <mergeCell ref="A8:A11"/>
    <mergeCell ref="A12:A15"/>
    <mergeCell ref="A16:A17"/>
    <mergeCell ref="A1:C1"/>
    <mergeCell ref="A3:B3"/>
    <mergeCell ref="B5:B7"/>
    <mergeCell ref="B8:B11"/>
    <mergeCell ref="B12:B15"/>
    <mergeCell ref="B16:B17"/>
  </mergeCells>
  <printOptions horizontalCentered="1"/>
  <pageMargins left="0.7" right="0.7" top="0.75" bottom="0.75" header="0.3" footer="0.3"/>
  <pageSetup firstPageNumber="91" orientation="portrait" useFirstPageNumber="1" verticalDpi="90" r:id="rId1"/>
  <headerFooter>
    <oddFooter>&amp;L&amp;"Arial,Regular"&amp;8GVEA - North Pole Facility
PM&amp;Y2.5&amp;Y Serious NAA BACT Analysis&amp;C&amp;"Arial,Regular"&amp;8Page 100&amp;R&amp;"Arial,Regular"&amp;8August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0E6C-51E8-46FD-A4C7-F81D879E0D90}">
  <sheetPr codeName="Sheet10">
    <tabColor theme="7" tint="0.79998168889431442"/>
    <pageSetUpPr fitToPage="1"/>
  </sheetPr>
  <dimension ref="B1:L36"/>
  <sheetViews>
    <sheetView topLeftCell="F9" zoomScale="80" zoomScaleNormal="80" workbookViewId="0">
      <selection activeCell="G13" sqref="G13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114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105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106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'[3]Total Capital Investment'!K44*E9/E36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E10*'[3]Total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42">
        <f>32*52</f>
        <v>1664</v>
      </c>
      <c r="F13" s="58" t="s">
        <v>63</v>
      </c>
      <c r="G13" s="62">
        <v>0.26679999999999998</v>
      </c>
      <c r="H13" s="59">
        <f>E13*G13</f>
        <v>443.95519999999999</v>
      </c>
      <c r="I13" s="59"/>
      <c r="J13" s="60"/>
      <c r="K13" s="61">
        <f>H13</f>
        <v>443.95519999999999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443.95519999999999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E19*'[3]Total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($E$35/100*POWER((1+($E$35/100)),$E$36))/((POWER(((1+$E$35/100)),$E$36))-1)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E20*'[3]Total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76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SUM(K18:K21)</f>
        <v>0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443.95519999999999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260">
        <f>'5-3 Ranking-SO2'!F14</f>
        <v>1.1637183999999998E-2</v>
      </c>
    </row>
    <row r="30" spans="2:12" x14ac:dyDescent="0.25">
      <c r="B30" s="42"/>
      <c r="K30" s="96"/>
    </row>
    <row r="31" spans="2:12" ht="16.5" thickBot="1" x14ac:dyDescent="0.3">
      <c r="B31" s="99" t="s">
        <v>82</v>
      </c>
      <c r="C31" s="100"/>
      <c r="D31" s="101"/>
      <c r="E31" s="101"/>
      <c r="F31" s="101"/>
      <c r="G31" s="101"/>
      <c r="H31" s="102"/>
      <c r="I31" s="101"/>
      <c r="J31" s="103" t="s">
        <v>83</v>
      </c>
      <c r="K31" s="104">
        <f>K25/K29</f>
        <v>38149.710445413606</v>
      </c>
    </row>
    <row r="32" spans="2:12" ht="15.75" thickTop="1" x14ac:dyDescent="0.25"/>
    <row r="33" spans="4:7" ht="15.75" thickBot="1" x14ac:dyDescent="0.3"/>
    <row r="34" spans="4:7" x14ac:dyDescent="0.25">
      <c r="D34" s="105" t="s">
        <v>84</v>
      </c>
      <c r="E34" s="52"/>
      <c r="F34" s="106"/>
      <c r="G34" s="107"/>
    </row>
    <row r="35" spans="4:7" x14ac:dyDescent="0.25">
      <c r="D35" s="108" t="s">
        <v>85</v>
      </c>
      <c r="E35" s="109">
        <v>8.5</v>
      </c>
      <c r="F35" s="110" t="s">
        <v>52</v>
      </c>
    </row>
    <row r="36" spans="4:7" ht="15.75" thickBot="1" x14ac:dyDescent="0.3">
      <c r="D36" s="111" t="s">
        <v>86</v>
      </c>
      <c r="E36" s="112">
        <v>30</v>
      </c>
      <c r="F36" s="113" t="s">
        <v>87</v>
      </c>
    </row>
  </sheetData>
  <sheetProtection algorithmName="SHA-512" hashValue="FOIjNPbStR77/jrjRAe/XpclhB2AwSo/aTKqGEFitRICPD4CTD0GH42QlSwMj+GSXadZdLDTVNKfaKKNHwF8zw==" saltValue="adH1U/z7MgTrsBAG8hUFKg==" spinCount="100000" sheet="1" objects="1" scenarios="1"/>
  <mergeCells count="5">
    <mergeCell ref="B1:K1"/>
    <mergeCell ref="B2:K2"/>
    <mergeCell ref="I3:K3"/>
    <mergeCell ref="B7:K7"/>
    <mergeCell ref="B27:K27"/>
  </mergeCells>
  <printOptions horizontalCentered="1"/>
  <pageMargins left="0.7" right="0.7" top="0.75" bottom="0.75" header="0.3" footer="0.3"/>
  <pageSetup scale="52" firstPageNumber="97" orientation="portrait" useFirstPageNumber="1" r:id="rId1"/>
  <headerFooter>
    <oddFooter>&amp;L&amp;"Arial,Regular"&amp;8GVEA North Pole Facility
PM&amp;Y2.5&amp;Y Serious NAA BACT Analysis&amp;C&amp;"Arial,Regular"&amp;8Page 106&amp;R&amp;"Arial,Regular"&amp;8August 2017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theme="7" tint="0.79998168889431442"/>
    <pageSetUpPr fitToPage="1"/>
  </sheetPr>
  <dimension ref="B1:L36"/>
  <sheetViews>
    <sheetView topLeftCell="D1" zoomScale="80" zoomScaleNormal="80" workbookViewId="0">
      <selection activeCell="K35" sqref="K35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114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105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106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'[3]Total Capital Investment'!K44*E9/E36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E10*'[3]Total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42">
        <f>32*52</f>
        <v>1664</v>
      </c>
      <c r="F13" s="58" t="s">
        <v>63</v>
      </c>
      <c r="G13" s="62">
        <v>0.65100000000000002</v>
      </c>
      <c r="H13" s="59">
        <f>E13*G13</f>
        <v>1083.2640000000001</v>
      </c>
      <c r="I13" s="59"/>
      <c r="J13" s="60"/>
      <c r="K13" s="61">
        <f>H13</f>
        <v>1083.2640000000001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1083.2640000000001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E19*'[3]Total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($E$35/100*POWER((1+($E$35/100)),$E$36))/((POWER(((1+$E$35/100)),$E$36))-1)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E20*'[3]Total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76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SUM(K18:K21)</f>
        <v>0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1083.2640000000001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260">
        <f>'5-3 Ranking-SO2'!F14</f>
        <v>1.1637183999999998E-2</v>
      </c>
    </row>
    <row r="30" spans="2:12" x14ac:dyDescent="0.25">
      <c r="B30" s="42"/>
      <c r="K30" s="96"/>
    </row>
    <row r="31" spans="2:12" ht="16.5" thickBot="1" x14ac:dyDescent="0.3">
      <c r="B31" s="99" t="s">
        <v>82</v>
      </c>
      <c r="C31" s="100"/>
      <c r="D31" s="101"/>
      <c r="E31" s="101"/>
      <c r="F31" s="101"/>
      <c r="G31" s="101"/>
      <c r="H31" s="102"/>
      <c r="I31" s="101"/>
      <c r="J31" s="103" t="s">
        <v>83</v>
      </c>
      <c r="K31" s="104">
        <f>K25/K29</f>
        <v>93086.437406162891</v>
      </c>
    </row>
    <row r="32" spans="2:12" ht="15.75" thickTop="1" x14ac:dyDescent="0.25"/>
    <row r="33" spans="4:7" ht="15.75" thickBot="1" x14ac:dyDescent="0.3"/>
    <row r="34" spans="4:7" x14ac:dyDescent="0.25">
      <c r="D34" s="105" t="s">
        <v>84</v>
      </c>
      <c r="E34" s="52"/>
      <c r="F34" s="106"/>
      <c r="G34" s="107"/>
    </row>
    <row r="35" spans="4:7" x14ac:dyDescent="0.25">
      <c r="D35" s="108" t="s">
        <v>85</v>
      </c>
      <c r="E35" s="109">
        <v>8.5</v>
      </c>
      <c r="F35" s="110" t="s">
        <v>52</v>
      </c>
    </row>
    <row r="36" spans="4:7" ht="15.75" thickBot="1" x14ac:dyDescent="0.3">
      <c r="D36" s="111" t="s">
        <v>86</v>
      </c>
      <c r="E36" s="112">
        <v>30</v>
      </c>
      <c r="F36" s="113" t="s">
        <v>87</v>
      </c>
    </row>
  </sheetData>
  <sheetProtection algorithmName="SHA-512" hashValue="0uWjdD4qwqaeQ3WjcpggS+B83C1QJHLd0XFNsvt3fmH1gEKKQOzIobMzr2nempXRoYWhg3Y8dhLMLfBhCrXhiQ==" saltValue="x8HlhUa+gk151GPq8wcrJg==" spinCount="100000" sheet="1" objects="1" scenarios="1"/>
  <mergeCells count="5">
    <mergeCell ref="I3:K3"/>
    <mergeCell ref="B7:K7"/>
    <mergeCell ref="B27:K27"/>
    <mergeCell ref="B1:K1"/>
    <mergeCell ref="B2:K2"/>
  </mergeCells>
  <printOptions horizontalCentered="1"/>
  <pageMargins left="0.7" right="0.7" top="0.75" bottom="0.75" header="0.3" footer="0.3"/>
  <pageSetup scale="52" firstPageNumber="97" orientation="portrait" useFirstPageNumber="1" r:id="rId1"/>
  <headerFooter>
    <oddFooter>&amp;L&amp;"Arial,Regular"&amp;8GVEA North Pole Facility
PM&amp;Y2.5&amp;Y Serious NAA BACT Analysis&amp;C&amp;"Arial,Regular"&amp;8Page 106&amp;R&amp;"Arial,Regular"&amp;8August 2017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H47"/>
  <sheetViews>
    <sheetView zoomScaleNormal="100" workbookViewId="0">
      <selection activeCell="H24" sqref="H24"/>
    </sheetView>
  </sheetViews>
  <sheetFormatPr defaultRowHeight="14.25" x14ac:dyDescent="0.2"/>
  <cols>
    <col min="1" max="1" width="45.140625" style="12" customWidth="1"/>
    <col min="2" max="2" width="14.85546875" style="12" customWidth="1"/>
    <col min="3" max="5" width="17.7109375" style="12" customWidth="1"/>
    <col min="6" max="6" width="17.85546875" style="12" customWidth="1"/>
    <col min="7" max="246" width="8.85546875" style="12"/>
    <col min="247" max="247" width="35.7109375" style="12" customWidth="1"/>
    <col min="248" max="248" width="10.7109375" style="12" customWidth="1"/>
    <col min="249" max="249" width="11" style="12" customWidth="1"/>
    <col min="250" max="250" width="10.7109375" style="12" customWidth="1"/>
    <col min="251" max="251" width="13.28515625" style="12" customWidth="1"/>
    <col min="252" max="252" width="9.28515625" style="12" bestFit="1" customWidth="1"/>
    <col min="253" max="259" width="9.140625" style="12" customWidth="1"/>
    <col min="260" max="260" width="9.28515625" style="12" bestFit="1" customWidth="1"/>
    <col min="261" max="502" width="8.85546875" style="12"/>
    <col min="503" max="503" width="35.7109375" style="12" customWidth="1"/>
    <col min="504" max="504" width="10.7109375" style="12" customWidth="1"/>
    <col min="505" max="505" width="11" style="12" customWidth="1"/>
    <col min="506" max="506" width="10.7109375" style="12" customWidth="1"/>
    <col min="507" max="507" width="13.28515625" style="12" customWidth="1"/>
    <col min="508" max="508" width="9.28515625" style="12" bestFit="1" customWidth="1"/>
    <col min="509" max="515" width="9.140625" style="12" customWidth="1"/>
    <col min="516" max="516" width="9.28515625" style="12" bestFit="1" customWidth="1"/>
    <col min="517" max="758" width="8.85546875" style="12"/>
    <col min="759" max="759" width="35.7109375" style="12" customWidth="1"/>
    <col min="760" max="760" width="10.7109375" style="12" customWidth="1"/>
    <col min="761" max="761" width="11" style="12" customWidth="1"/>
    <col min="762" max="762" width="10.7109375" style="12" customWidth="1"/>
    <col min="763" max="763" width="13.28515625" style="12" customWidth="1"/>
    <col min="764" max="764" width="9.28515625" style="12" bestFit="1" customWidth="1"/>
    <col min="765" max="771" width="9.140625" style="12" customWidth="1"/>
    <col min="772" max="772" width="9.28515625" style="12" bestFit="1" customWidth="1"/>
    <col min="773" max="1014" width="8.85546875" style="12"/>
    <col min="1015" max="1015" width="35.7109375" style="12" customWidth="1"/>
    <col min="1016" max="1016" width="10.7109375" style="12" customWidth="1"/>
    <col min="1017" max="1017" width="11" style="12" customWidth="1"/>
    <col min="1018" max="1018" width="10.7109375" style="12" customWidth="1"/>
    <col min="1019" max="1019" width="13.28515625" style="12" customWidth="1"/>
    <col min="1020" max="1020" width="9.28515625" style="12" bestFit="1" customWidth="1"/>
    <col min="1021" max="1027" width="9.140625" style="12" customWidth="1"/>
    <col min="1028" max="1028" width="9.28515625" style="12" bestFit="1" customWidth="1"/>
    <col min="1029" max="1270" width="8.85546875" style="12"/>
    <col min="1271" max="1271" width="35.7109375" style="12" customWidth="1"/>
    <col min="1272" max="1272" width="10.7109375" style="12" customWidth="1"/>
    <col min="1273" max="1273" width="11" style="12" customWidth="1"/>
    <col min="1274" max="1274" width="10.7109375" style="12" customWidth="1"/>
    <col min="1275" max="1275" width="13.28515625" style="12" customWidth="1"/>
    <col min="1276" max="1276" width="9.28515625" style="12" bestFit="1" customWidth="1"/>
    <col min="1277" max="1283" width="9.140625" style="12" customWidth="1"/>
    <col min="1284" max="1284" width="9.28515625" style="12" bestFit="1" customWidth="1"/>
    <col min="1285" max="1526" width="8.85546875" style="12"/>
    <col min="1527" max="1527" width="35.7109375" style="12" customWidth="1"/>
    <col min="1528" max="1528" width="10.7109375" style="12" customWidth="1"/>
    <col min="1529" max="1529" width="11" style="12" customWidth="1"/>
    <col min="1530" max="1530" width="10.7109375" style="12" customWidth="1"/>
    <col min="1531" max="1531" width="13.28515625" style="12" customWidth="1"/>
    <col min="1532" max="1532" width="9.28515625" style="12" bestFit="1" customWidth="1"/>
    <col min="1533" max="1539" width="9.140625" style="12" customWidth="1"/>
    <col min="1540" max="1540" width="9.28515625" style="12" bestFit="1" customWidth="1"/>
    <col min="1541" max="1782" width="8.85546875" style="12"/>
    <col min="1783" max="1783" width="35.7109375" style="12" customWidth="1"/>
    <col min="1784" max="1784" width="10.7109375" style="12" customWidth="1"/>
    <col min="1785" max="1785" width="11" style="12" customWidth="1"/>
    <col min="1786" max="1786" width="10.7109375" style="12" customWidth="1"/>
    <col min="1787" max="1787" width="13.28515625" style="12" customWidth="1"/>
    <col min="1788" max="1788" width="9.28515625" style="12" bestFit="1" customWidth="1"/>
    <col min="1789" max="1795" width="9.140625" style="12" customWidth="1"/>
    <col min="1796" max="1796" width="9.28515625" style="12" bestFit="1" customWidth="1"/>
    <col min="1797" max="2038" width="8.85546875" style="12"/>
    <col min="2039" max="2039" width="35.7109375" style="12" customWidth="1"/>
    <col min="2040" max="2040" width="10.7109375" style="12" customWidth="1"/>
    <col min="2041" max="2041" width="11" style="12" customWidth="1"/>
    <col min="2042" max="2042" width="10.7109375" style="12" customWidth="1"/>
    <col min="2043" max="2043" width="13.28515625" style="12" customWidth="1"/>
    <col min="2044" max="2044" width="9.28515625" style="12" bestFit="1" customWidth="1"/>
    <col min="2045" max="2051" width="9.140625" style="12" customWidth="1"/>
    <col min="2052" max="2052" width="9.28515625" style="12" bestFit="1" customWidth="1"/>
    <col min="2053" max="2294" width="8.85546875" style="12"/>
    <col min="2295" max="2295" width="35.7109375" style="12" customWidth="1"/>
    <col min="2296" max="2296" width="10.7109375" style="12" customWidth="1"/>
    <col min="2297" max="2297" width="11" style="12" customWidth="1"/>
    <col min="2298" max="2298" width="10.7109375" style="12" customWidth="1"/>
    <col min="2299" max="2299" width="13.28515625" style="12" customWidth="1"/>
    <col min="2300" max="2300" width="9.28515625" style="12" bestFit="1" customWidth="1"/>
    <col min="2301" max="2307" width="9.140625" style="12" customWidth="1"/>
    <col min="2308" max="2308" width="9.28515625" style="12" bestFit="1" customWidth="1"/>
    <col min="2309" max="2550" width="8.85546875" style="12"/>
    <col min="2551" max="2551" width="35.7109375" style="12" customWidth="1"/>
    <col min="2552" max="2552" width="10.7109375" style="12" customWidth="1"/>
    <col min="2553" max="2553" width="11" style="12" customWidth="1"/>
    <col min="2554" max="2554" width="10.7109375" style="12" customWidth="1"/>
    <col min="2555" max="2555" width="13.28515625" style="12" customWidth="1"/>
    <col min="2556" max="2556" width="9.28515625" style="12" bestFit="1" customWidth="1"/>
    <col min="2557" max="2563" width="9.140625" style="12" customWidth="1"/>
    <col min="2564" max="2564" width="9.28515625" style="12" bestFit="1" customWidth="1"/>
    <col min="2565" max="2806" width="8.85546875" style="12"/>
    <col min="2807" max="2807" width="35.7109375" style="12" customWidth="1"/>
    <col min="2808" max="2808" width="10.7109375" style="12" customWidth="1"/>
    <col min="2809" max="2809" width="11" style="12" customWidth="1"/>
    <col min="2810" max="2810" width="10.7109375" style="12" customWidth="1"/>
    <col min="2811" max="2811" width="13.28515625" style="12" customWidth="1"/>
    <col min="2812" max="2812" width="9.28515625" style="12" bestFit="1" customWidth="1"/>
    <col min="2813" max="2819" width="9.140625" style="12" customWidth="1"/>
    <col min="2820" max="2820" width="9.28515625" style="12" bestFit="1" customWidth="1"/>
    <col min="2821" max="3062" width="8.85546875" style="12"/>
    <col min="3063" max="3063" width="35.7109375" style="12" customWidth="1"/>
    <col min="3064" max="3064" width="10.7109375" style="12" customWidth="1"/>
    <col min="3065" max="3065" width="11" style="12" customWidth="1"/>
    <col min="3066" max="3066" width="10.7109375" style="12" customWidth="1"/>
    <col min="3067" max="3067" width="13.28515625" style="12" customWidth="1"/>
    <col min="3068" max="3068" width="9.28515625" style="12" bestFit="1" customWidth="1"/>
    <col min="3069" max="3075" width="9.140625" style="12" customWidth="1"/>
    <col min="3076" max="3076" width="9.28515625" style="12" bestFit="1" customWidth="1"/>
    <col min="3077" max="3318" width="8.85546875" style="12"/>
    <col min="3319" max="3319" width="35.7109375" style="12" customWidth="1"/>
    <col min="3320" max="3320" width="10.7109375" style="12" customWidth="1"/>
    <col min="3321" max="3321" width="11" style="12" customWidth="1"/>
    <col min="3322" max="3322" width="10.7109375" style="12" customWidth="1"/>
    <col min="3323" max="3323" width="13.28515625" style="12" customWidth="1"/>
    <col min="3324" max="3324" width="9.28515625" style="12" bestFit="1" customWidth="1"/>
    <col min="3325" max="3331" width="9.140625" style="12" customWidth="1"/>
    <col min="3332" max="3332" width="9.28515625" style="12" bestFit="1" customWidth="1"/>
    <col min="3333" max="3574" width="8.85546875" style="12"/>
    <col min="3575" max="3575" width="35.7109375" style="12" customWidth="1"/>
    <col min="3576" max="3576" width="10.7109375" style="12" customWidth="1"/>
    <col min="3577" max="3577" width="11" style="12" customWidth="1"/>
    <col min="3578" max="3578" width="10.7109375" style="12" customWidth="1"/>
    <col min="3579" max="3579" width="13.28515625" style="12" customWidth="1"/>
    <col min="3580" max="3580" width="9.28515625" style="12" bestFit="1" customWidth="1"/>
    <col min="3581" max="3587" width="9.140625" style="12" customWidth="1"/>
    <col min="3588" max="3588" width="9.28515625" style="12" bestFit="1" customWidth="1"/>
    <col min="3589" max="3830" width="8.85546875" style="12"/>
    <col min="3831" max="3831" width="35.7109375" style="12" customWidth="1"/>
    <col min="3832" max="3832" width="10.7109375" style="12" customWidth="1"/>
    <col min="3833" max="3833" width="11" style="12" customWidth="1"/>
    <col min="3834" max="3834" width="10.7109375" style="12" customWidth="1"/>
    <col min="3835" max="3835" width="13.28515625" style="12" customWidth="1"/>
    <col min="3836" max="3836" width="9.28515625" style="12" bestFit="1" customWidth="1"/>
    <col min="3837" max="3843" width="9.140625" style="12" customWidth="1"/>
    <col min="3844" max="3844" width="9.28515625" style="12" bestFit="1" customWidth="1"/>
    <col min="3845" max="4086" width="8.85546875" style="12"/>
    <col min="4087" max="4087" width="35.7109375" style="12" customWidth="1"/>
    <col min="4088" max="4088" width="10.7109375" style="12" customWidth="1"/>
    <col min="4089" max="4089" width="11" style="12" customWidth="1"/>
    <col min="4090" max="4090" width="10.7109375" style="12" customWidth="1"/>
    <col min="4091" max="4091" width="13.28515625" style="12" customWidth="1"/>
    <col min="4092" max="4092" width="9.28515625" style="12" bestFit="1" customWidth="1"/>
    <col min="4093" max="4099" width="9.140625" style="12" customWidth="1"/>
    <col min="4100" max="4100" width="9.28515625" style="12" bestFit="1" customWidth="1"/>
    <col min="4101" max="4342" width="8.85546875" style="12"/>
    <col min="4343" max="4343" width="35.7109375" style="12" customWidth="1"/>
    <col min="4344" max="4344" width="10.7109375" style="12" customWidth="1"/>
    <col min="4345" max="4345" width="11" style="12" customWidth="1"/>
    <col min="4346" max="4346" width="10.7109375" style="12" customWidth="1"/>
    <col min="4347" max="4347" width="13.28515625" style="12" customWidth="1"/>
    <col min="4348" max="4348" width="9.28515625" style="12" bestFit="1" customWidth="1"/>
    <col min="4349" max="4355" width="9.140625" style="12" customWidth="1"/>
    <col min="4356" max="4356" width="9.28515625" style="12" bestFit="1" customWidth="1"/>
    <col min="4357" max="4598" width="8.85546875" style="12"/>
    <col min="4599" max="4599" width="35.7109375" style="12" customWidth="1"/>
    <col min="4600" max="4600" width="10.7109375" style="12" customWidth="1"/>
    <col min="4601" max="4601" width="11" style="12" customWidth="1"/>
    <col min="4602" max="4602" width="10.7109375" style="12" customWidth="1"/>
    <col min="4603" max="4603" width="13.28515625" style="12" customWidth="1"/>
    <col min="4604" max="4604" width="9.28515625" style="12" bestFit="1" customWidth="1"/>
    <col min="4605" max="4611" width="9.140625" style="12" customWidth="1"/>
    <col min="4612" max="4612" width="9.28515625" style="12" bestFit="1" customWidth="1"/>
    <col min="4613" max="4854" width="8.85546875" style="12"/>
    <col min="4855" max="4855" width="35.7109375" style="12" customWidth="1"/>
    <col min="4856" max="4856" width="10.7109375" style="12" customWidth="1"/>
    <col min="4857" max="4857" width="11" style="12" customWidth="1"/>
    <col min="4858" max="4858" width="10.7109375" style="12" customWidth="1"/>
    <col min="4859" max="4859" width="13.28515625" style="12" customWidth="1"/>
    <col min="4860" max="4860" width="9.28515625" style="12" bestFit="1" customWidth="1"/>
    <col min="4861" max="4867" width="9.140625" style="12" customWidth="1"/>
    <col min="4868" max="4868" width="9.28515625" style="12" bestFit="1" customWidth="1"/>
    <col min="4869" max="5110" width="8.85546875" style="12"/>
    <col min="5111" max="5111" width="35.7109375" style="12" customWidth="1"/>
    <col min="5112" max="5112" width="10.7109375" style="12" customWidth="1"/>
    <col min="5113" max="5113" width="11" style="12" customWidth="1"/>
    <col min="5114" max="5114" width="10.7109375" style="12" customWidth="1"/>
    <col min="5115" max="5115" width="13.28515625" style="12" customWidth="1"/>
    <col min="5116" max="5116" width="9.28515625" style="12" bestFit="1" customWidth="1"/>
    <col min="5117" max="5123" width="9.140625" style="12" customWidth="1"/>
    <col min="5124" max="5124" width="9.28515625" style="12" bestFit="1" customWidth="1"/>
    <col min="5125" max="5366" width="8.85546875" style="12"/>
    <col min="5367" max="5367" width="35.7109375" style="12" customWidth="1"/>
    <col min="5368" max="5368" width="10.7109375" style="12" customWidth="1"/>
    <col min="5369" max="5369" width="11" style="12" customWidth="1"/>
    <col min="5370" max="5370" width="10.7109375" style="12" customWidth="1"/>
    <col min="5371" max="5371" width="13.28515625" style="12" customWidth="1"/>
    <col min="5372" max="5372" width="9.28515625" style="12" bestFit="1" customWidth="1"/>
    <col min="5373" max="5379" width="9.140625" style="12" customWidth="1"/>
    <col min="5380" max="5380" width="9.28515625" style="12" bestFit="1" customWidth="1"/>
    <col min="5381" max="5622" width="8.85546875" style="12"/>
    <col min="5623" max="5623" width="35.7109375" style="12" customWidth="1"/>
    <col min="5624" max="5624" width="10.7109375" style="12" customWidth="1"/>
    <col min="5625" max="5625" width="11" style="12" customWidth="1"/>
    <col min="5626" max="5626" width="10.7109375" style="12" customWidth="1"/>
    <col min="5627" max="5627" width="13.28515625" style="12" customWidth="1"/>
    <col min="5628" max="5628" width="9.28515625" style="12" bestFit="1" customWidth="1"/>
    <col min="5629" max="5635" width="9.140625" style="12" customWidth="1"/>
    <col min="5636" max="5636" width="9.28515625" style="12" bestFit="1" customWidth="1"/>
    <col min="5637" max="5878" width="8.85546875" style="12"/>
    <col min="5879" max="5879" width="35.7109375" style="12" customWidth="1"/>
    <col min="5880" max="5880" width="10.7109375" style="12" customWidth="1"/>
    <col min="5881" max="5881" width="11" style="12" customWidth="1"/>
    <col min="5882" max="5882" width="10.7109375" style="12" customWidth="1"/>
    <col min="5883" max="5883" width="13.28515625" style="12" customWidth="1"/>
    <col min="5884" max="5884" width="9.28515625" style="12" bestFit="1" customWidth="1"/>
    <col min="5885" max="5891" width="9.140625" style="12" customWidth="1"/>
    <col min="5892" max="5892" width="9.28515625" style="12" bestFit="1" customWidth="1"/>
    <col min="5893" max="6134" width="8.85546875" style="12"/>
    <col min="6135" max="6135" width="35.7109375" style="12" customWidth="1"/>
    <col min="6136" max="6136" width="10.7109375" style="12" customWidth="1"/>
    <col min="6137" max="6137" width="11" style="12" customWidth="1"/>
    <col min="6138" max="6138" width="10.7109375" style="12" customWidth="1"/>
    <col min="6139" max="6139" width="13.28515625" style="12" customWidth="1"/>
    <col min="6140" max="6140" width="9.28515625" style="12" bestFit="1" customWidth="1"/>
    <col min="6141" max="6147" width="9.140625" style="12" customWidth="1"/>
    <col min="6148" max="6148" width="9.28515625" style="12" bestFit="1" customWidth="1"/>
    <col min="6149" max="6390" width="8.85546875" style="12"/>
    <col min="6391" max="6391" width="35.7109375" style="12" customWidth="1"/>
    <col min="6392" max="6392" width="10.7109375" style="12" customWidth="1"/>
    <col min="6393" max="6393" width="11" style="12" customWidth="1"/>
    <col min="6394" max="6394" width="10.7109375" style="12" customWidth="1"/>
    <col min="6395" max="6395" width="13.28515625" style="12" customWidth="1"/>
    <col min="6396" max="6396" width="9.28515625" style="12" bestFit="1" customWidth="1"/>
    <col min="6397" max="6403" width="9.140625" style="12" customWidth="1"/>
    <col min="6404" max="6404" width="9.28515625" style="12" bestFit="1" customWidth="1"/>
    <col min="6405" max="6646" width="8.85546875" style="12"/>
    <col min="6647" max="6647" width="35.7109375" style="12" customWidth="1"/>
    <col min="6648" max="6648" width="10.7109375" style="12" customWidth="1"/>
    <col min="6649" max="6649" width="11" style="12" customWidth="1"/>
    <col min="6650" max="6650" width="10.7109375" style="12" customWidth="1"/>
    <col min="6651" max="6651" width="13.28515625" style="12" customWidth="1"/>
    <col min="6652" max="6652" width="9.28515625" style="12" bestFit="1" customWidth="1"/>
    <col min="6653" max="6659" width="9.140625" style="12" customWidth="1"/>
    <col min="6660" max="6660" width="9.28515625" style="12" bestFit="1" customWidth="1"/>
    <col min="6661" max="6902" width="8.85546875" style="12"/>
    <col min="6903" max="6903" width="35.7109375" style="12" customWidth="1"/>
    <col min="6904" max="6904" width="10.7109375" style="12" customWidth="1"/>
    <col min="6905" max="6905" width="11" style="12" customWidth="1"/>
    <col min="6906" max="6906" width="10.7109375" style="12" customWidth="1"/>
    <col min="6907" max="6907" width="13.28515625" style="12" customWidth="1"/>
    <col min="6908" max="6908" width="9.28515625" style="12" bestFit="1" customWidth="1"/>
    <col min="6909" max="6915" width="9.140625" style="12" customWidth="1"/>
    <col min="6916" max="6916" width="9.28515625" style="12" bestFit="1" customWidth="1"/>
    <col min="6917" max="7158" width="8.85546875" style="12"/>
    <col min="7159" max="7159" width="35.7109375" style="12" customWidth="1"/>
    <col min="7160" max="7160" width="10.7109375" style="12" customWidth="1"/>
    <col min="7161" max="7161" width="11" style="12" customWidth="1"/>
    <col min="7162" max="7162" width="10.7109375" style="12" customWidth="1"/>
    <col min="7163" max="7163" width="13.28515625" style="12" customWidth="1"/>
    <col min="7164" max="7164" width="9.28515625" style="12" bestFit="1" customWidth="1"/>
    <col min="7165" max="7171" width="9.140625" style="12" customWidth="1"/>
    <col min="7172" max="7172" width="9.28515625" style="12" bestFit="1" customWidth="1"/>
    <col min="7173" max="7414" width="8.85546875" style="12"/>
    <col min="7415" max="7415" width="35.7109375" style="12" customWidth="1"/>
    <col min="7416" max="7416" width="10.7109375" style="12" customWidth="1"/>
    <col min="7417" max="7417" width="11" style="12" customWidth="1"/>
    <col min="7418" max="7418" width="10.7109375" style="12" customWidth="1"/>
    <col min="7419" max="7419" width="13.28515625" style="12" customWidth="1"/>
    <col min="7420" max="7420" width="9.28515625" style="12" bestFit="1" customWidth="1"/>
    <col min="7421" max="7427" width="9.140625" style="12" customWidth="1"/>
    <col min="7428" max="7428" width="9.28515625" style="12" bestFit="1" customWidth="1"/>
    <col min="7429" max="7670" width="8.85546875" style="12"/>
    <col min="7671" max="7671" width="35.7109375" style="12" customWidth="1"/>
    <col min="7672" max="7672" width="10.7109375" style="12" customWidth="1"/>
    <col min="7673" max="7673" width="11" style="12" customWidth="1"/>
    <col min="7674" max="7674" width="10.7109375" style="12" customWidth="1"/>
    <col min="7675" max="7675" width="13.28515625" style="12" customWidth="1"/>
    <col min="7676" max="7676" width="9.28515625" style="12" bestFit="1" customWidth="1"/>
    <col min="7677" max="7683" width="9.140625" style="12" customWidth="1"/>
    <col min="7684" max="7684" width="9.28515625" style="12" bestFit="1" customWidth="1"/>
    <col min="7685" max="7926" width="8.85546875" style="12"/>
    <col min="7927" max="7927" width="35.7109375" style="12" customWidth="1"/>
    <col min="7928" max="7928" width="10.7109375" style="12" customWidth="1"/>
    <col min="7929" max="7929" width="11" style="12" customWidth="1"/>
    <col min="7930" max="7930" width="10.7109375" style="12" customWidth="1"/>
    <col min="7931" max="7931" width="13.28515625" style="12" customWidth="1"/>
    <col min="7932" max="7932" width="9.28515625" style="12" bestFit="1" customWidth="1"/>
    <col min="7933" max="7939" width="9.140625" style="12" customWidth="1"/>
    <col min="7940" max="7940" width="9.28515625" style="12" bestFit="1" customWidth="1"/>
    <col min="7941" max="8182" width="8.85546875" style="12"/>
    <col min="8183" max="8183" width="35.7109375" style="12" customWidth="1"/>
    <col min="8184" max="8184" width="10.7109375" style="12" customWidth="1"/>
    <col min="8185" max="8185" width="11" style="12" customWidth="1"/>
    <col min="8186" max="8186" width="10.7109375" style="12" customWidth="1"/>
    <col min="8187" max="8187" width="13.28515625" style="12" customWidth="1"/>
    <col min="8188" max="8188" width="9.28515625" style="12" bestFit="1" customWidth="1"/>
    <col min="8189" max="8195" width="9.140625" style="12" customWidth="1"/>
    <col min="8196" max="8196" width="9.28515625" style="12" bestFit="1" customWidth="1"/>
    <col min="8197" max="8438" width="8.85546875" style="12"/>
    <col min="8439" max="8439" width="35.7109375" style="12" customWidth="1"/>
    <col min="8440" max="8440" width="10.7109375" style="12" customWidth="1"/>
    <col min="8441" max="8441" width="11" style="12" customWidth="1"/>
    <col min="8442" max="8442" width="10.7109375" style="12" customWidth="1"/>
    <col min="8443" max="8443" width="13.28515625" style="12" customWidth="1"/>
    <col min="8444" max="8444" width="9.28515625" style="12" bestFit="1" customWidth="1"/>
    <col min="8445" max="8451" width="9.140625" style="12" customWidth="1"/>
    <col min="8452" max="8452" width="9.28515625" style="12" bestFit="1" customWidth="1"/>
    <col min="8453" max="8694" width="8.85546875" style="12"/>
    <col min="8695" max="8695" width="35.7109375" style="12" customWidth="1"/>
    <col min="8696" max="8696" width="10.7109375" style="12" customWidth="1"/>
    <col min="8697" max="8697" width="11" style="12" customWidth="1"/>
    <col min="8698" max="8698" width="10.7109375" style="12" customWidth="1"/>
    <col min="8699" max="8699" width="13.28515625" style="12" customWidth="1"/>
    <col min="8700" max="8700" width="9.28515625" style="12" bestFit="1" customWidth="1"/>
    <col min="8701" max="8707" width="9.140625" style="12" customWidth="1"/>
    <col min="8708" max="8708" width="9.28515625" style="12" bestFit="1" customWidth="1"/>
    <col min="8709" max="8950" width="8.85546875" style="12"/>
    <col min="8951" max="8951" width="35.7109375" style="12" customWidth="1"/>
    <col min="8952" max="8952" width="10.7109375" style="12" customWidth="1"/>
    <col min="8953" max="8953" width="11" style="12" customWidth="1"/>
    <col min="8954" max="8954" width="10.7109375" style="12" customWidth="1"/>
    <col min="8955" max="8955" width="13.28515625" style="12" customWidth="1"/>
    <col min="8956" max="8956" width="9.28515625" style="12" bestFit="1" customWidth="1"/>
    <col min="8957" max="8963" width="9.140625" style="12" customWidth="1"/>
    <col min="8964" max="8964" width="9.28515625" style="12" bestFit="1" customWidth="1"/>
    <col min="8965" max="9206" width="8.85546875" style="12"/>
    <col min="9207" max="9207" width="35.7109375" style="12" customWidth="1"/>
    <col min="9208" max="9208" width="10.7109375" style="12" customWidth="1"/>
    <col min="9209" max="9209" width="11" style="12" customWidth="1"/>
    <col min="9210" max="9210" width="10.7109375" style="12" customWidth="1"/>
    <col min="9211" max="9211" width="13.28515625" style="12" customWidth="1"/>
    <col min="9212" max="9212" width="9.28515625" style="12" bestFit="1" customWidth="1"/>
    <col min="9213" max="9219" width="9.140625" style="12" customWidth="1"/>
    <col min="9220" max="9220" width="9.28515625" style="12" bestFit="1" customWidth="1"/>
    <col min="9221" max="9462" width="8.85546875" style="12"/>
    <col min="9463" max="9463" width="35.7109375" style="12" customWidth="1"/>
    <col min="9464" max="9464" width="10.7109375" style="12" customWidth="1"/>
    <col min="9465" max="9465" width="11" style="12" customWidth="1"/>
    <col min="9466" max="9466" width="10.7109375" style="12" customWidth="1"/>
    <col min="9467" max="9467" width="13.28515625" style="12" customWidth="1"/>
    <col min="9468" max="9468" width="9.28515625" style="12" bestFit="1" customWidth="1"/>
    <col min="9469" max="9475" width="9.140625" style="12" customWidth="1"/>
    <col min="9476" max="9476" width="9.28515625" style="12" bestFit="1" customWidth="1"/>
    <col min="9477" max="9718" width="8.85546875" style="12"/>
    <col min="9719" max="9719" width="35.7109375" style="12" customWidth="1"/>
    <col min="9720" max="9720" width="10.7109375" style="12" customWidth="1"/>
    <col min="9721" max="9721" width="11" style="12" customWidth="1"/>
    <col min="9722" max="9722" width="10.7109375" style="12" customWidth="1"/>
    <col min="9723" max="9723" width="13.28515625" style="12" customWidth="1"/>
    <col min="9724" max="9724" width="9.28515625" style="12" bestFit="1" customWidth="1"/>
    <col min="9725" max="9731" width="9.140625" style="12" customWidth="1"/>
    <col min="9732" max="9732" width="9.28515625" style="12" bestFit="1" customWidth="1"/>
    <col min="9733" max="9974" width="8.85546875" style="12"/>
    <col min="9975" max="9975" width="35.7109375" style="12" customWidth="1"/>
    <col min="9976" max="9976" width="10.7109375" style="12" customWidth="1"/>
    <col min="9977" max="9977" width="11" style="12" customWidth="1"/>
    <col min="9978" max="9978" width="10.7109375" style="12" customWidth="1"/>
    <col min="9979" max="9979" width="13.28515625" style="12" customWidth="1"/>
    <col min="9980" max="9980" width="9.28515625" style="12" bestFit="1" customWidth="1"/>
    <col min="9981" max="9987" width="9.140625" style="12" customWidth="1"/>
    <col min="9988" max="9988" width="9.28515625" style="12" bestFit="1" customWidth="1"/>
    <col min="9989" max="10230" width="8.85546875" style="12"/>
    <col min="10231" max="10231" width="35.7109375" style="12" customWidth="1"/>
    <col min="10232" max="10232" width="10.7109375" style="12" customWidth="1"/>
    <col min="10233" max="10233" width="11" style="12" customWidth="1"/>
    <col min="10234" max="10234" width="10.7109375" style="12" customWidth="1"/>
    <col min="10235" max="10235" width="13.28515625" style="12" customWidth="1"/>
    <col min="10236" max="10236" width="9.28515625" style="12" bestFit="1" customWidth="1"/>
    <col min="10237" max="10243" width="9.140625" style="12" customWidth="1"/>
    <col min="10244" max="10244" width="9.28515625" style="12" bestFit="1" customWidth="1"/>
    <col min="10245" max="10486" width="8.85546875" style="12"/>
    <col min="10487" max="10487" width="35.7109375" style="12" customWidth="1"/>
    <col min="10488" max="10488" width="10.7109375" style="12" customWidth="1"/>
    <col min="10489" max="10489" width="11" style="12" customWidth="1"/>
    <col min="10490" max="10490" width="10.7109375" style="12" customWidth="1"/>
    <col min="10491" max="10491" width="13.28515625" style="12" customWidth="1"/>
    <col min="10492" max="10492" width="9.28515625" style="12" bestFit="1" customWidth="1"/>
    <col min="10493" max="10499" width="9.140625" style="12" customWidth="1"/>
    <col min="10500" max="10500" width="9.28515625" style="12" bestFit="1" customWidth="1"/>
    <col min="10501" max="10742" width="8.85546875" style="12"/>
    <col min="10743" max="10743" width="35.7109375" style="12" customWidth="1"/>
    <col min="10744" max="10744" width="10.7109375" style="12" customWidth="1"/>
    <col min="10745" max="10745" width="11" style="12" customWidth="1"/>
    <col min="10746" max="10746" width="10.7109375" style="12" customWidth="1"/>
    <col min="10747" max="10747" width="13.28515625" style="12" customWidth="1"/>
    <col min="10748" max="10748" width="9.28515625" style="12" bestFit="1" customWidth="1"/>
    <col min="10749" max="10755" width="9.140625" style="12" customWidth="1"/>
    <col min="10756" max="10756" width="9.28515625" style="12" bestFit="1" customWidth="1"/>
    <col min="10757" max="10998" width="8.85546875" style="12"/>
    <col min="10999" max="10999" width="35.7109375" style="12" customWidth="1"/>
    <col min="11000" max="11000" width="10.7109375" style="12" customWidth="1"/>
    <col min="11001" max="11001" width="11" style="12" customWidth="1"/>
    <col min="11002" max="11002" width="10.7109375" style="12" customWidth="1"/>
    <col min="11003" max="11003" width="13.28515625" style="12" customWidth="1"/>
    <col min="11004" max="11004" width="9.28515625" style="12" bestFit="1" customWidth="1"/>
    <col min="11005" max="11011" width="9.140625" style="12" customWidth="1"/>
    <col min="11012" max="11012" width="9.28515625" style="12" bestFit="1" customWidth="1"/>
    <col min="11013" max="11254" width="8.85546875" style="12"/>
    <col min="11255" max="11255" width="35.7109375" style="12" customWidth="1"/>
    <col min="11256" max="11256" width="10.7109375" style="12" customWidth="1"/>
    <col min="11257" max="11257" width="11" style="12" customWidth="1"/>
    <col min="11258" max="11258" width="10.7109375" style="12" customWidth="1"/>
    <col min="11259" max="11259" width="13.28515625" style="12" customWidth="1"/>
    <col min="11260" max="11260" width="9.28515625" style="12" bestFit="1" customWidth="1"/>
    <col min="11261" max="11267" width="9.140625" style="12" customWidth="1"/>
    <col min="11268" max="11268" width="9.28515625" style="12" bestFit="1" customWidth="1"/>
    <col min="11269" max="11510" width="8.85546875" style="12"/>
    <col min="11511" max="11511" width="35.7109375" style="12" customWidth="1"/>
    <col min="11512" max="11512" width="10.7109375" style="12" customWidth="1"/>
    <col min="11513" max="11513" width="11" style="12" customWidth="1"/>
    <col min="11514" max="11514" width="10.7109375" style="12" customWidth="1"/>
    <col min="11515" max="11515" width="13.28515625" style="12" customWidth="1"/>
    <col min="11516" max="11516" width="9.28515625" style="12" bestFit="1" customWidth="1"/>
    <col min="11517" max="11523" width="9.140625" style="12" customWidth="1"/>
    <col min="11524" max="11524" width="9.28515625" style="12" bestFit="1" customWidth="1"/>
    <col min="11525" max="11766" width="8.85546875" style="12"/>
    <col min="11767" max="11767" width="35.7109375" style="12" customWidth="1"/>
    <col min="11768" max="11768" width="10.7109375" style="12" customWidth="1"/>
    <col min="11769" max="11769" width="11" style="12" customWidth="1"/>
    <col min="11770" max="11770" width="10.7109375" style="12" customWidth="1"/>
    <col min="11771" max="11771" width="13.28515625" style="12" customWidth="1"/>
    <col min="11772" max="11772" width="9.28515625" style="12" bestFit="1" customWidth="1"/>
    <col min="11773" max="11779" width="9.140625" style="12" customWidth="1"/>
    <col min="11780" max="11780" width="9.28515625" style="12" bestFit="1" customWidth="1"/>
    <col min="11781" max="12022" width="8.85546875" style="12"/>
    <col min="12023" max="12023" width="35.7109375" style="12" customWidth="1"/>
    <col min="12024" max="12024" width="10.7109375" style="12" customWidth="1"/>
    <col min="12025" max="12025" width="11" style="12" customWidth="1"/>
    <col min="12026" max="12026" width="10.7109375" style="12" customWidth="1"/>
    <col min="12027" max="12027" width="13.28515625" style="12" customWidth="1"/>
    <col min="12028" max="12028" width="9.28515625" style="12" bestFit="1" customWidth="1"/>
    <col min="12029" max="12035" width="9.140625" style="12" customWidth="1"/>
    <col min="12036" max="12036" width="9.28515625" style="12" bestFit="1" customWidth="1"/>
    <col min="12037" max="12278" width="8.85546875" style="12"/>
    <col min="12279" max="12279" width="35.7109375" style="12" customWidth="1"/>
    <col min="12280" max="12280" width="10.7109375" style="12" customWidth="1"/>
    <col min="12281" max="12281" width="11" style="12" customWidth="1"/>
    <col min="12282" max="12282" width="10.7109375" style="12" customWidth="1"/>
    <col min="12283" max="12283" width="13.28515625" style="12" customWidth="1"/>
    <col min="12284" max="12284" width="9.28515625" style="12" bestFit="1" customWidth="1"/>
    <col min="12285" max="12291" width="9.140625" style="12" customWidth="1"/>
    <col min="12292" max="12292" width="9.28515625" style="12" bestFit="1" customWidth="1"/>
    <col min="12293" max="12534" width="8.85546875" style="12"/>
    <col min="12535" max="12535" width="35.7109375" style="12" customWidth="1"/>
    <col min="12536" max="12536" width="10.7109375" style="12" customWidth="1"/>
    <col min="12537" max="12537" width="11" style="12" customWidth="1"/>
    <col min="12538" max="12538" width="10.7109375" style="12" customWidth="1"/>
    <col min="12539" max="12539" width="13.28515625" style="12" customWidth="1"/>
    <col min="12540" max="12540" width="9.28515625" style="12" bestFit="1" customWidth="1"/>
    <col min="12541" max="12547" width="9.140625" style="12" customWidth="1"/>
    <col min="12548" max="12548" width="9.28515625" style="12" bestFit="1" customWidth="1"/>
    <col min="12549" max="12790" width="8.85546875" style="12"/>
    <col min="12791" max="12791" width="35.7109375" style="12" customWidth="1"/>
    <col min="12792" max="12792" width="10.7109375" style="12" customWidth="1"/>
    <col min="12793" max="12793" width="11" style="12" customWidth="1"/>
    <col min="12794" max="12794" width="10.7109375" style="12" customWidth="1"/>
    <col min="12795" max="12795" width="13.28515625" style="12" customWidth="1"/>
    <col min="12796" max="12796" width="9.28515625" style="12" bestFit="1" customWidth="1"/>
    <col min="12797" max="12803" width="9.140625" style="12" customWidth="1"/>
    <col min="12804" max="12804" width="9.28515625" style="12" bestFit="1" customWidth="1"/>
    <col min="12805" max="13046" width="8.85546875" style="12"/>
    <col min="13047" max="13047" width="35.7109375" style="12" customWidth="1"/>
    <col min="13048" max="13048" width="10.7109375" style="12" customWidth="1"/>
    <col min="13049" max="13049" width="11" style="12" customWidth="1"/>
    <col min="13050" max="13050" width="10.7109375" style="12" customWidth="1"/>
    <col min="13051" max="13051" width="13.28515625" style="12" customWidth="1"/>
    <col min="13052" max="13052" width="9.28515625" style="12" bestFit="1" customWidth="1"/>
    <col min="13053" max="13059" width="9.140625" style="12" customWidth="1"/>
    <col min="13060" max="13060" width="9.28515625" style="12" bestFit="1" customWidth="1"/>
    <col min="13061" max="13302" width="8.85546875" style="12"/>
    <col min="13303" max="13303" width="35.7109375" style="12" customWidth="1"/>
    <col min="13304" max="13304" width="10.7109375" style="12" customWidth="1"/>
    <col min="13305" max="13305" width="11" style="12" customWidth="1"/>
    <col min="13306" max="13306" width="10.7109375" style="12" customWidth="1"/>
    <col min="13307" max="13307" width="13.28515625" style="12" customWidth="1"/>
    <col min="13308" max="13308" width="9.28515625" style="12" bestFit="1" customWidth="1"/>
    <col min="13309" max="13315" width="9.140625" style="12" customWidth="1"/>
    <col min="13316" max="13316" width="9.28515625" style="12" bestFit="1" customWidth="1"/>
    <col min="13317" max="13558" width="8.85546875" style="12"/>
    <col min="13559" max="13559" width="35.7109375" style="12" customWidth="1"/>
    <col min="13560" max="13560" width="10.7109375" style="12" customWidth="1"/>
    <col min="13561" max="13561" width="11" style="12" customWidth="1"/>
    <col min="13562" max="13562" width="10.7109375" style="12" customWidth="1"/>
    <col min="13563" max="13563" width="13.28515625" style="12" customWidth="1"/>
    <col min="13564" max="13564" width="9.28515625" style="12" bestFit="1" customWidth="1"/>
    <col min="13565" max="13571" width="9.140625" style="12" customWidth="1"/>
    <col min="13572" max="13572" width="9.28515625" style="12" bestFit="1" customWidth="1"/>
    <col min="13573" max="13814" width="8.85546875" style="12"/>
    <col min="13815" max="13815" width="35.7109375" style="12" customWidth="1"/>
    <col min="13816" max="13816" width="10.7109375" style="12" customWidth="1"/>
    <col min="13817" max="13817" width="11" style="12" customWidth="1"/>
    <col min="13818" max="13818" width="10.7109375" style="12" customWidth="1"/>
    <col min="13819" max="13819" width="13.28515625" style="12" customWidth="1"/>
    <col min="13820" max="13820" width="9.28515625" style="12" bestFit="1" customWidth="1"/>
    <col min="13821" max="13827" width="9.140625" style="12" customWidth="1"/>
    <col min="13828" max="13828" width="9.28515625" style="12" bestFit="1" customWidth="1"/>
    <col min="13829" max="14070" width="8.85546875" style="12"/>
    <col min="14071" max="14071" width="35.7109375" style="12" customWidth="1"/>
    <col min="14072" max="14072" width="10.7109375" style="12" customWidth="1"/>
    <col min="14073" max="14073" width="11" style="12" customWidth="1"/>
    <col min="14074" max="14074" width="10.7109375" style="12" customWidth="1"/>
    <col min="14075" max="14075" width="13.28515625" style="12" customWidth="1"/>
    <col min="14076" max="14076" width="9.28515625" style="12" bestFit="1" customWidth="1"/>
    <col min="14077" max="14083" width="9.140625" style="12" customWidth="1"/>
    <col min="14084" max="14084" width="9.28515625" style="12" bestFit="1" customWidth="1"/>
    <col min="14085" max="14326" width="8.85546875" style="12"/>
    <col min="14327" max="14327" width="35.7109375" style="12" customWidth="1"/>
    <col min="14328" max="14328" width="10.7109375" style="12" customWidth="1"/>
    <col min="14329" max="14329" width="11" style="12" customWidth="1"/>
    <col min="14330" max="14330" width="10.7109375" style="12" customWidth="1"/>
    <col min="14331" max="14331" width="13.28515625" style="12" customWidth="1"/>
    <col min="14332" max="14332" width="9.28515625" style="12" bestFit="1" customWidth="1"/>
    <col min="14333" max="14339" width="9.140625" style="12" customWidth="1"/>
    <col min="14340" max="14340" width="9.28515625" style="12" bestFit="1" customWidth="1"/>
    <col min="14341" max="14582" width="8.85546875" style="12"/>
    <col min="14583" max="14583" width="35.7109375" style="12" customWidth="1"/>
    <col min="14584" max="14584" width="10.7109375" style="12" customWidth="1"/>
    <col min="14585" max="14585" width="11" style="12" customWidth="1"/>
    <col min="14586" max="14586" width="10.7109375" style="12" customWidth="1"/>
    <col min="14587" max="14587" width="13.28515625" style="12" customWidth="1"/>
    <col min="14588" max="14588" width="9.28515625" style="12" bestFit="1" customWidth="1"/>
    <col min="14589" max="14595" width="9.140625" style="12" customWidth="1"/>
    <col min="14596" max="14596" width="9.28515625" style="12" bestFit="1" customWidth="1"/>
    <col min="14597" max="14838" width="8.85546875" style="12"/>
    <col min="14839" max="14839" width="35.7109375" style="12" customWidth="1"/>
    <col min="14840" max="14840" width="10.7109375" style="12" customWidth="1"/>
    <col min="14841" max="14841" width="11" style="12" customWidth="1"/>
    <col min="14842" max="14842" width="10.7109375" style="12" customWidth="1"/>
    <col min="14843" max="14843" width="13.28515625" style="12" customWidth="1"/>
    <col min="14844" max="14844" width="9.28515625" style="12" bestFit="1" customWidth="1"/>
    <col min="14845" max="14851" width="9.140625" style="12" customWidth="1"/>
    <col min="14852" max="14852" width="9.28515625" style="12" bestFit="1" customWidth="1"/>
    <col min="14853" max="15094" width="8.85546875" style="12"/>
    <col min="15095" max="15095" width="35.7109375" style="12" customWidth="1"/>
    <col min="15096" max="15096" width="10.7109375" style="12" customWidth="1"/>
    <col min="15097" max="15097" width="11" style="12" customWidth="1"/>
    <col min="15098" max="15098" width="10.7109375" style="12" customWidth="1"/>
    <col min="15099" max="15099" width="13.28515625" style="12" customWidth="1"/>
    <col min="15100" max="15100" width="9.28515625" style="12" bestFit="1" customWidth="1"/>
    <col min="15101" max="15107" width="9.140625" style="12" customWidth="1"/>
    <col min="15108" max="15108" width="9.28515625" style="12" bestFit="1" customWidth="1"/>
    <col min="15109" max="15350" width="8.85546875" style="12"/>
    <col min="15351" max="15351" width="35.7109375" style="12" customWidth="1"/>
    <col min="15352" max="15352" width="10.7109375" style="12" customWidth="1"/>
    <col min="15353" max="15353" width="11" style="12" customWidth="1"/>
    <col min="15354" max="15354" width="10.7109375" style="12" customWidth="1"/>
    <col min="15355" max="15355" width="13.28515625" style="12" customWidth="1"/>
    <col min="15356" max="15356" width="9.28515625" style="12" bestFit="1" customWidth="1"/>
    <col min="15357" max="15363" width="9.140625" style="12" customWidth="1"/>
    <col min="15364" max="15364" width="9.28515625" style="12" bestFit="1" customWidth="1"/>
    <col min="15365" max="15606" width="8.85546875" style="12"/>
    <col min="15607" max="15607" width="35.7109375" style="12" customWidth="1"/>
    <col min="15608" max="15608" width="10.7109375" style="12" customWidth="1"/>
    <col min="15609" max="15609" width="11" style="12" customWidth="1"/>
    <col min="15610" max="15610" width="10.7109375" style="12" customWidth="1"/>
    <col min="15611" max="15611" width="13.28515625" style="12" customWidth="1"/>
    <col min="15612" max="15612" width="9.28515625" style="12" bestFit="1" customWidth="1"/>
    <col min="15613" max="15619" width="9.140625" style="12" customWidth="1"/>
    <col min="15620" max="15620" width="9.28515625" style="12" bestFit="1" customWidth="1"/>
    <col min="15621" max="15862" width="8.85546875" style="12"/>
    <col min="15863" max="15863" width="35.7109375" style="12" customWidth="1"/>
    <col min="15864" max="15864" width="10.7109375" style="12" customWidth="1"/>
    <col min="15865" max="15865" width="11" style="12" customWidth="1"/>
    <col min="15866" max="15866" width="10.7109375" style="12" customWidth="1"/>
    <col min="15867" max="15867" width="13.28515625" style="12" customWidth="1"/>
    <col min="15868" max="15868" width="9.28515625" style="12" bestFit="1" customWidth="1"/>
    <col min="15869" max="15875" width="9.140625" style="12" customWidth="1"/>
    <col min="15876" max="15876" width="9.28515625" style="12" bestFit="1" customWidth="1"/>
    <col min="15877" max="16118" width="8.85546875" style="12"/>
    <col min="16119" max="16119" width="35.7109375" style="12" customWidth="1"/>
    <col min="16120" max="16120" width="10.7109375" style="12" customWidth="1"/>
    <col min="16121" max="16121" width="11" style="12" customWidth="1"/>
    <col min="16122" max="16122" width="10.7109375" style="12" customWidth="1"/>
    <col min="16123" max="16123" width="13.28515625" style="12" customWidth="1"/>
    <col min="16124" max="16124" width="9.28515625" style="12" bestFit="1" customWidth="1"/>
    <col min="16125" max="16131" width="9.140625" style="12" customWidth="1"/>
    <col min="16132" max="16132" width="9.28515625" style="12" bestFit="1" customWidth="1"/>
    <col min="16133" max="16384" width="8.85546875" style="12"/>
  </cols>
  <sheetData>
    <row r="1" spans="1:8" ht="16.5" x14ac:dyDescent="0.3">
      <c r="A1" s="331" t="s">
        <v>115</v>
      </c>
      <c r="B1" s="331"/>
      <c r="C1" s="331"/>
      <c r="D1" s="331"/>
      <c r="E1" s="331"/>
      <c r="F1" s="331"/>
    </row>
    <row r="2" spans="1:8" ht="8.25" customHeight="1" x14ac:dyDescent="0.25">
      <c r="A2" s="161"/>
      <c r="B2" s="161"/>
      <c r="C2" s="161"/>
      <c r="D2" s="161"/>
      <c r="E2" s="161"/>
      <c r="F2" s="161"/>
    </row>
    <row r="3" spans="1:8" ht="18" thickBot="1" x14ac:dyDescent="0.3">
      <c r="A3" s="331" t="s">
        <v>152</v>
      </c>
      <c r="B3" s="331"/>
      <c r="C3" s="331"/>
      <c r="D3" s="331"/>
      <c r="E3" s="331"/>
      <c r="F3" s="331"/>
    </row>
    <row r="4" spans="1:8" ht="15.75" thickTop="1" x14ac:dyDescent="0.2">
      <c r="A4" s="32"/>
      <c r="B4" s="33"/>
      <c r="C4" s="33"/>
      <c r="D4" s="33"/>
      <c r="E4" s="34"/>
      <c r="F4" s="35"/>
    </row>
    <row r="5" spans="1:8" ht="15" x14ac:dyDescent="0.2">
      <c r="A5" s="328" t="s">
        <v>124</v>
      </c>
      <c r="B5" s="329"/>
      <c r="C5" s="329"/>
      <c r="D5" s="329"/>
      <c r="E5" s="329"/>
      <c r="F5" s="330"/>
    </row>
    <row r="6" spans="1:8" x14ac:dyDescent="0.2">
      <c r="A6" s="152" t="str">
        <f>'5-3 Ranking-SO2'!C5</f>
        <v>ULSD (0.0015 wt. pct. S)</v>
      </c>
      <c r="B6" s="127">
        <f>'5-3 Ranking-SO2'!E5</f>
        <v>4.4591999999999574</v>
      </c>
      <c r="C6" s="116">
        <f>+'5-10 TCI ULSD EU1-2'!B10</f>
        <v>10875319.148936171</v>
      </c>
      <c r="D6" s="116">
        <f>'5-4 EU ID 1 ULSD CE +'!K25</f>
        <v>20646731.162419602</v>
      </c>
      <c r="E6" s="116">
        <f>'5-4 EU ID 1 ULSD CE +'!K15</f>
        <v>19199763.692959998</v>
      </c>
      <c r="F6" s="118">
        <f>D6/'5-4 EU ID 1 ULSD CE +'!K29</f>
        <v>13932.223987908019</v>
      </c>
    </row>
    <row r="7" spans="1:8" ht="33" customHeight="1" x14ac:dyDescent="0.2">
      <c r="A7" s="37" t="str">
        <f>'5-3 Ranking-SO2'!C7</f>
        <v>Good Combustion Practices (0.50 wt. pct. S) (existing)</v>
      </c>
      <c r="B7" s="135">
        <f>'5-3 Ranking-SO2'!E7</f>
        <v>1486.4</v>
      </c>
      <c r="C7" s="24" t="s">
        <v>31</v>
      </c>
      <c r="D7" s="24" t="s">
        <v>31</v>
      </c>
      <c r="E7" s="24" t="s">
        <v>31</v>
      </c>
      <c r="F7" s="122" t="s">
        <v>31</v>
      </c>
    </row>
    <row r="8" spans="1:8" ht="12.6" customHeight="1" x14ac:dyDescent="0.2">
      <c r="A8" s="37"/>
      <c r="B8" s="38"/>
      <c r="C8" s="36"/>
      <c r="D8" s="36"/>
      <c r="E8" s="36"/>
      <c r="F8" s="136"/>
    </row>
    <row r="9" spans="1:8" ht="15" x14ac:dyDescent="0.2">
      <c r="A9" s="328" t="s">
        <v>125</v>
      </c>
      <c r="B9" s="329"/>
      <c r="C9" s="329"/>
      <c r="D9" s="329"/>
      <c r="E9" s="329"/>
      <c r="F9" s="330"/>
    </row>
    <row r="10" spans="1:8" x14ac:dyDescent="0.2">
      <c r="A10" s="39" t="str">
        <f>'5-3 Ranking-SO2'!C8</f>
        <v>Limited Operation + ULSD (0.0015 wt. pct. S)</v>
      </c>
      <c r="B10" s="127">
        <f>'5-3 Ranking-SO2'!E8</f>
        <v>4.0682999999999607</v>
      </c>
      <c r="C10" s="116">
        <f>+'5-10 TCI ULSD EU1-2'!B10</f>
        <v>10875319.148936171</v>
      </c>
      <c r="D10" s="116">
        <f>'5-5 EU ID 2 ULSD +'!K25</f>
        <v>18963464.208899606</v>
      </c>
      <c r="E10" s="116">
        <f>'5-5 EU ID 2 ULSD +'!K15</f>
        <v>17516496.739440002</v>
      </c>
      <c r="F10" s="118">
        <f>D10/'5-5 EU ID 2 ULSD +'!K29</f>
        <v>14025.902061985385</v>
      </c>
    </row>
    <row r="11" spans="1:8" ht="28.5" x14ac:dyDescent="0.2">
      <c r="A11" s="39" t="str">
        <f>'5-3 Ranking-SO2'!C10</f>
        <v>Good Combustion Practices (0.50 wt. pct. S) (existing)</v>
      </c>
      <c r="B11" s="135">
        <f>'5-3 Ranking-SO2'!E10</f>
        <v>1356.1</v>
      </c>
      <c r="C11" s="24" t="s">
        <v>31</v>
      </c>
      <c r="D11" s="24" t="s">
        <v>31</v>
      </c>
      <c r="E11" s="24" t="s">
        <v>31</v>
      </c>
      <c r="F11" s="122" t="s">
        <v>31</v>
      </c>
    </row>
    <row r="12" spans="1:8" ht="12.6" customHeight="1" x14ac:dyDescent="0.2">
      <c r="A12" s="37" t="s">
        <v>24</v>
      </c>
      <c r="B12" s="38"/>
      <c r="C12" s="36"/>
      <c r="D12" s="36"/>
      <c r="E12" s="36"/>
      <c r="F12" s="136"/>
    </row>
    <row r="13" spans="1:8" ht="15" customHeight="1" x14ac:dyDescent="0.2">
      <c r="A13" s="328" t="s">
        <v>96</v>
      </c>
      <c r="B13" s="329"/>
      <c r="C13" s="329"/>
      <c r="D13" s="329"/>
      <c r="E13" s="329"/>
      <c r="F13" s="330"/>
    </row>
    <row r="14" spans="1:8" ht="17.25" customHeight="1" x14ac:dyDescent="0.2">
      <c r="A14" s="37" t="str">
        <f>'5-3 Ranking-SO2'!C11</f>
        <v>ULSD (0.0015 wt. pct. S)</v>
      </c>
      <c r="B14" s="143">
        <f>'5-3 Ranking-SO2'!E11</f>
        <v>2.8613880749999998</v>
      </c>
      <c r="C14" s="128" t="s">
        <v>31</v>
      </c>
      <c r="D14" s="116">
        <f>'5-6 EU ID 5&amp;6 ULSD CE Norm +'!K26</f>
        <v>32456669</v>
      </c>
      <c r="E14" s="128" t="s">
        <v>31</v>
      </c>
      <c r="F14" s="118">
        <f>'5-6 EU ID 5&amp;6 ULSD CE Norm +'!K32</f>
        <v>4861277.3365248628</v>
      </c>
      <c r="G14" s="134"/>
      <c r="H14" s="134"/>
    </row>
    <row r="15" spans="1:8" ht="30" customHeight="1" x14ac:dyDescent="0.2">
      <c r="A15" s="37" t="str">
        <f>'5-3 Ranking-SO2'!C13</f>
        <v>LSR (0.0050 wt. pct. S) + JetA/No. 1 Diesel (0.3 wt. pct. S, 1.5x10^6 gal/yr) Good Combustion Practices (existing)</v>
      </c>
      <c r="B15" s="143">
        <f>'5-3 Ranking-SO2'!E13</f>
        <v>9.5379602499999976</v>
      </c>
      <c r="C15" s="128" t="s">
        <v>31</v>
      </c>
      <c r="D15" s="24" t="s">
        <v>31</v>
      </c>
      <c r="E15" s="128" t="s">
        <v>31</v>
      </c>
      <c r="F15" s="122" t="s">
        <v>31</v>
      </c>
    </row>
    <row r="16" spans="1:8" ht="12.6" customHeight="1" x14ac:dyDescent="0.2">
      <c r="A16" s="37"/>
      <c r="B16" s="123"/>
      <c r="C16" s="129"/>
      <c r="D16" s="129"/>
      <c r="E16" s="129"/>
      <c r="F16" s="136"/>
    </row>
    <row r="17" spans="1:6" ht="15" x14ac:dyDescent="0.2">
      <c r="A17" s="328" t="s">
        <v>32</v>
      </c>
      <c r="B17" s="329"/>
      <c r="C17" s="329"/>
      <c r="D17" s="329"/>
      <c r="E17" s="329"/>
      <c r="F17" s="330"/>
    </row>
    <row r="18" spans="1:6" s="41" customFormat="1" ht="30" customHeight="1" x14ac:dyDescent="0.25">
      <c r="A18" s="39" t="str">
        <f>'5-3 Ranking-SO2'!C14</f>
        <v>ULSD (0.0015 wt. pct. S) + Limited Operation</v>
      </c>
      <c r="B18" s="40">
        <f>'5-3 Ranking-SO2'!E14</f>
        <v>1.7721600000000087E-4</v>
      </c>
      <c r="C18" s="24" t="s">
        <v>31</v>
      </c>
      <c r="D18" s="116">
        <f>'5-7 EU ID 7 ULSD +'!K25</f>
        <v>1083.2640000000001</v>
      </c>
      <c r="E18" s="24" t="s">
        <v>31</v>
      </c>
      <c r="F18" s="118">
        <f>'5-7 EU ID 7 ULSD +'!K31</f>
        <v>93086.437406162891</v>
      </c>
    </row>
    <row r="19" spans="1:6" s="41" customFormat="1" x14ac:dyDescent="0.25">
      <c r="A19" s="39" t="str">
        <f>'5-3 Ranking-SO2'!C16</f>
        <v>Limited Operation (0.1 wt. pct. S) (existing)</v>
      </c>
      <c r="B19" s="121">
        <f>'5-3 Ranking-SO2'!E16</f>
        <v>1.1814399999999999E-2</v>
      </c>
      <c r="C19" s="24" t="s">
        <v>31</v>
      </c>
      <c r="D19" s="24" t="s">
        <v>31</v>
      </c>
      <c r="E19" s="123" t="s">
        <v>31</v>
      </c>
      <c r="F19" s="122" t="s">
        <v>31</v>
      </c>
    </row>
    <row r="20" spans="1:6" x14ac:dyDescent="0.2">
      <c r="A20" s="137"/>
      <c r="B20" s="41"/>
      <c r="C20" s="41"/>
      <c r="D20" s="41"/>
      <c r="E20" s="41"/>
      <c r="F20" s="138"/>
    </row>
    <row r="21" spans="1:6" ht="15" customHeight="1" x14ac:dyDescent="0.2">
      <c r="A21" s="328" t="s">
        <v>97</v>
      </c>
      <c r="B21" s="329"/>
      <c r="C21" s="329"/>
      <c r="D21" s="329"/>
      <c r="E21" s="329"/>
      <c r="F21" s="330"/>
    </row>
    <row r="22" spans="1:6" ht="15" customHeight="1" thickBot="1" x14ac:dyDescent="0.25">
      <c r="A22" s="124" t="s">
        <v>123</v>
      </c>
      <c r="B22" s="132">
        <f>'5-3 Ranking-SO2'!F17</f>
        <v>0</v>
      </c>
      <c r="C22" s="133" t="s">
        <v>31</v>
      </c>
      <c r="D22" s="133" t="s">
        <v>31</v>
      </c>
      <c r="E22" s="133" t="s">
        <v>31</v>
      </c>
      <c r="F22" s="139" t="s">
        <v>31</v>
      </c>
    </row>
    <row r="24" spans="1:6" ht="18" thickBot="1" x14ac:dyDescent="0.3">
      <c r="A24" s="331" t="s">
        <v>153</v>
      </c>
      <c r="B24" s="331"/>
      <c r="C24" s="331"/>
      <c r="D24" s="331"/>
      <c r="E24" s="331"/>
      <c r="F24" s="331"/>
    </row>
    <row r="25" spans="1:6" ht="62.25" thickBot="1" x14ac:dyDescent="0.25">
      <c r="A25" s="209" t="s">
        <v>28</v>
      </c>
      <c r="B25" s="210" t="s">
        <v>36</v>
      </c>
      <c r="C25" s="210" t="s">
        <v>29</v>
      </c>
      <c r="D25" s="210" t="s">
        <v>126</v>
      </c>
      <c r="E25" s="210" t="s">
        <v>30</v>
      </c>
      <c r="F25" s="211" t="s">
        <v>37</v>
      </c>
    </row>
    <row r="26" spans="1:6" ht="15.75" thickTop="1" x14ac:dyDescent="0.2">
      <c r="A26" s="32"/>
      <c r="B26" s="33"/>
      <c r="C26" s="33"/>
      <c r="D26" s="33"/>
      <c r="E26" s="34"/>
      <c r="F26" s="35"/>
    </row>
    <row r="27" spans="1:6" ht="15" x14ac:dyDescent="0.2">
      <c r="A27" s="328" t="s">
        <v>124</v>
      </c>
      <c r="B27" s="329"/>
      <c r="C27" s="329"/>
      <c r="D27" s="329"/>
      <c r="E27" s="329"/>
      <c r="F27" s="330"/>
    </row>
    <row r="28" spans="1:6" x14ac:dyDescent="0.2">
      <c r="A28" s="152" t="str">
        <f>'5-3 Ranking-SO2'!C5</f>
        <v>ULSD (0.0015 wt. pct. S)</v>
      </c>
      <c r="B28" s="127">
        <f>'5-3 Ranking-SO2'!E5</f>
        <v>4.4591999999999574</v>
      </c>
      <c r="C28" s="116">
        <f>+'5-10 TCI ULSD EU1-2'!B10</f>
        <v>10875319.148936171</v>
      </c>
      <c r="D28" s="116">
        <v>3068356</v>
      </c>
      <c r="E28" s="116">
        <v>1148832</v>
      </c>
      <c r="F28" s="118">
        <f>D28/142.3</f>
        <v>21562.586085734361</v>
      </c>
    </row>
    <row r="29" spans="1:6" ht="28.5" x14ac:dyDescent="0.2">
      <c r="A29" s="37" t="str">
        <f>'5-3 Ranking-SO2'!C7</f>
        <v>Good Combustion Practices (0.50 wt. pct. S) (existing)</v>
      </c>
      <c r="B29" s="135">
        <f>'5-3 Ranking-SO2'!E7</f>
        <v>1486.4</v>
      </c>
      <c r="C29" s="24" t="s">
        <v>31</v>
      </c>
      <c r="D29" s="24" t="s">
        <v>31</v>
      </c>
      <c r="E29" s="24" t="s">
        <v>31</v>
      </c>
      <c r="F29" s="122" t="s">
        <v>31</v>
      </c>
    </row>
    <row r="30" spans="1:6" x14ac:dyDescent="0.2">
      <c r="A30" s="37"/>
      <c r="B30" s="38"/>
      <c r="C30" s="36"/>
      <c r="D30" s="36"/>
      <c r="E30" s="36"/>
      <c r="F30" s="136"/>
    </row>
    <row r="31" spans="1:6" ht="15" x14ac:dyDescent="0.2">
      <c r="A31" s="328" t="s">
        <v>125</v>
      </c>
      <c r="B31" s="329"/>
      <c r="C31" s="329"/>
      <c r="D31" s="329"/>
      <c r="E31" s="329"/>
      <c r="F31" s="330"/>
    </row>
    <row r="32" spans="1:6" x14ac:dyDescent="0.2">
      <c r="A32" s="39" t="str">
        <f>'5-3 Ranking-SO2'!C8</f>
        <v>Limited Operation + ULSD (0.0015 wt. pct. S)</v>
      </c>
      <c r="B32" s="127">
        <f>'5-3 Ranking-SO2'!E8</f>
        <v>4.0682999999999607</v>
      </c>
      <c r="C32" s="116">
        <f>+'5-10 TCI ULSD EU1-2'!B10</f>
        <v>10875319.148936171</v>
      </c>
      <c r="D32" s="116">
        <v>5328784</v>
      </c>
      <c r="E32" s="116">
        <v>3409261</v>
      </c>
      <c r="F32" s="118">
        <f>D32/422.3</f>
        <v>12618.479753729576</v>
      </c>
    </row>
    <row r="33" spans="1:6" ht="28.5" x14ac:dyDescent="0.2">
      <c r="A33" s="39" t="str">
        <f>'5-3 Ranking-SO2'!C10</f>
        <v>Good Combustion Practices (0.50 wt. pct. S) (existing)</v>
      </c>
      <c r="B33" s="135">
        <f>'5-3 Ranking-SO2'!E10</f>
        <v>1356.1</v>
      </c>
      <c r="C33" s="24" t="s">
        <v>31</v>
      </c>
      <c r="D33" s="24" t="s">
        <v>31</v>
      </c>
      <c r="E33" s="24" t="s">
        <v>31</v>
      </c>
      <c r="F33" s="122" t="s">
        <v>31</v>
      </c>
    </row>
    <row r="34" spans="1:6" x14ac:dyDescent="0.2">
      <c r="A34" s="37" t="s">
        <v>24</v>
      </c>
      <c r="B34" s="38"/>
      <c r="C34" s="36"/>
      <c r="D34" s="36"/>
      <c r="E34" s="36"/>
      <c r="F34" s="136"/>
    </row>
    <row r="35" spans="1:6" ht="15" x14ac:dyDescent="0.2">
      <c r="A35" s="328" t="s">
        <v>96</v>
      </c>
      <c r="B35" s="329"/>
      <c r="C35" s="329"/>
      <c r="D35" s="329"/>
      <c r="E35" s="329"/>
      <c r="F35" s="330"/>
    </row>
    <row r="36" spans="1:6" x14ac:dyDescent="0.2">
      <c r="A36" s="37" t="str">
        <f>'5-3 Ranking-SO2'!C11</f>
        <v>ULSD (0.0015 wt. pct. S)</v>
      </c>
      <c r="B36" s="143">
        <f>'5-3 Ranking-SO2'!E11</f>
        <v>2.8613880749999998</v>
      </c>
      <c r="C36" s="128" t="s">
        <v>31</v>
      </c>
      <c r="D36" s="116">
        <f>'5-6 EU ID 5&amp;6 ULSD CE Norm +'!K26</f>
        <v>32456669</v>
      </c>
      <c r="E36" s="128" t="s">
        <v>31</v>
      </c>
      <c r="F36" s="118">
        <f>'5-6 EU ID 5&amp;6 ULSD CE Norm +'!K32</f>
        <v>4861277.3365248628</v>
      </c>
    </row>
    <row r="37" spans="1:6" ht="42.75" x14ac:dyDescent="0.2">
      <c r="A37" s="37" t="str">
        <f>'5-3 Ranking-SO2'!C13</f>
        <v>LSR (0.0050 wt. pct. S) + JetA/No. 1 Diesel (0.3 wt. pct. S, 1.5x10^6 gal/yr) Good Combustion Practices (existing)</v>
      </c>
      <c r="B37" s="143">
        <f>'5-3 Ranking-SO2'!E13</f>
        <v>9.5379602499999976</v>
      </c>
      <c r="C37" s="128" t="s">
        <v>31</v>
      </c>
      <c r="D37" s="24" t="s">
        <v>31</v>
      </c>
      <c r="E37" s="128" t="s">
        <v>31</v>
      </c>
      <c r="F37" s="122" t="s">
        <v>31</v>
      </c>
    </row>
    <row r="38" spans="1:6" x14ac:dyDescent="0.2">
      <c r="A38" s="37"/>
      <c r="B38" s="123"/>
      <c r="C38" s="129"/>
      <c r="D38" s="129"/>
      <c r="E38" s="129"/>
      <c r="F38" s="136"/>
    </row>
    <row r="39" spans="1:6" ht="15" x14ac:dyDescent="0.2">
      <c r="A39" s="328" t="s">
        <v>32</v>
      </c>
      <c r="B39" s="329"/>
      <c r="C39" s="329"/>
      <c r="D39" s="329"/>
      <c r="E39" s="329"/>
      <c r="F39" s="330"/>
    </row>
    <row r="40" spans="1:6" x14ac:dyDescent="0.2">
      <c r="A40" s="39" t="str">
        <f>'5-3 Ranking-SO2'!C14</f>
        <v>ULSD (0.0015 wt. pct. S) + Limited Operation</v>
      </c>
      <c r="B40" s="40">
        <f>'5-3 Ranking-SO2'!E14</f>
        <v>1.7721600000000087E-4</v>
      </c>
      <c r="C40" s="24" t="s">
        <v>31</v>
      </c>
      <c r="D40" s="116">
        <f>'5-7 EU ID 7 ULSD +'!K25</f>
        <v>1083.2640000000001</v>
      </c>
      <c r="E40" s="24" t="s">
        <v>31</v>
      </c>
      <c r="F40" s="118">
        <f>'5-7 EU ID 7 ULSD +'!K31</f>
        <v>93086.437406162891</v>
      </c>
    </row>
    <row r="41" spans="1:6" x14ac:dyDescent="0.2">
      <c r="A41" s="39" t="str">
        <f>'5-3 Ranking-SO2'!C16</f>
        <v>Limited Operation (0.1 wt. pct. S) (existing)</v>
      </c>
      <c r="B41" s="121">
        <f>'5-3 Ranking-SO2'!E16</f>
        <v>1.1814399999999999E-2</v>
      </c>
      <c r="C41" s="24" t="s">
        <v>31</v>
      </c>
      <c r="D41" s="24" t="s">
        <v>31</v>
      </c>
      <c r="E41" s="123" t="s">
        <v>31</v>
      </c>
      <c r="F41" s="122" t="s">
        <v>31</v>
      </c>
    </row>
    <row r="42" spans="1:6" x14ac:dyDescent="0.2">
      <c r="A42" s="137"/>
      <c r="B42" s="41"/>
      <c r="C42" s="41"/>
      <c r="D42" s="41"/>
      <c r="E42" s="41"/>
      <c r="F42" s="138"/>
    </row>
    <row r="43" spans="1:6" ht="15" x14ac:dyDescent="0.2">
      <c r="A43" s="328" t="s">
        <v>97</v>
      </c>
      <c r="B43" s="329"/>
      <c r="C43" s="329"/>
      <c r="D43" s="329"/>
      <c r="E43" s="329"/>
      <c r="F43" s="330"/>
    </row>
    <row r="44" spans="1:6" ht="15" thickBot="1" x14ac:dyDescent="0.25">
      <c r="A44" s="124" t="s">
        <v>123</v>
      </c>
      <c r="B44" s="132">
        <f>'5-3 Ranking-SO2'!F17</f>
        <v>0</v>
      </c>
      <c r="C44" s="133" t="s">
        <v>31</v>
      </c>
      <c r="D44" s="133" t="s">
        <v>31</v>
      </c>
      <c r="E44" s="133" t="s">
        <v>31</v>
      </c>
      <c r="F44" s="139" t="s">
        <v>31</v>
      </c>
    </row>
    <row r="46" spans="1:6" x14ac:dyDescent="0.2">
      <c r="A46" s="125" t="s">
        <v>107</v>
      </c>
    </row>
    <row r="47" spans="1:6" x14ac:dyDescent="0.2">
      <c r="A47" s="125" t="s">
        <v>24</v>
      </c>
    </row>
  </sheetData>
  <sheetProtection algorithmName="SHA-512" hashValue="jbhynt0zqnVznvKYNlMndFevLEW5lIyJzm1n/ePBzGrQJELFR5Hm88Xh8dqqya+e2hfutWeYn6yLtOzrZojNtw==" saltValue="npZumA1r7LjBb+9/CJfHig==" spinCount="100000" sheet="1" objects="1" scenarios="1"/>
  <mergeCells count="13">
    <mergeCell ref="A43:F43"/>
    <mergeCell ref="A24:F24"/>
    <mergeCell ref="A27:F27"/>
    <mergeCell ref="A31:F31"/>
    <mergeCell ref="A35:F35"/>
    <mergeCell ref="A39:F39"/>
    <mergeCell ref="A21:F21"/>
    <mergeCell ref="A1:F1"/>
    <mergeCell ref="A3:F3"/>
    <mergeCell ref="A5:F5"/>
    <mergeCell ref="A9:F9"/>
    <mergeCell ref="A17:F17"/>
    <mergeCell ref="A13:F13"/>
  </mergeCells>
  <printOptions horizontalCentered="1"/>
  <pageMargins left="0.7" right="0.7" top="0.75" bottom="0.75" header="0.3" footer="0.3"/>
  <pageSetup scale="69" firstPageNumber="98" orientation="portrait" useFirstPageNumber="1" horizontalDpi="4294967293" r:id="rId1"/>
  <headerFooter>
    <oddFooter>&amp;L&amp;"Arial,Regular"&amp;8GVEA North Pole Facility
PM&amp;Y2.5&amp;Y Serious NAA BACT Analysis&amp;C&amp;"Arial,Regular"&amp;8Page 107&amp;R&amp;"Arial,Regular"&amp;8August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F13"/>
  <sheetViews>
    <sheetView zoomScaleNormal="100" workbookViewId="0">
      <selection activeCell="A5" sqref="A5:F5"/>
    </sheetView>
  </sheetViews>
  <sheetFormatPr defaultColWidth="13.5703125" defaultRowHeight="14.25" x14ac:dyDescent="0.2"/>
  <cols>
    <col min="1" max="1" width="13.5703125" style="13"/>
    <col min="2" max="2" width="20" style="13" customWidth="1"/>
    <col min="3" max="3" width="19.42578125" style="13" customWidth="1"/>
    <col min="4" max="4" width="27.28515625" style="13" customWidth="1"/>
    <col min="5" max="16384" width="13.5703125" style="13"/>
  </cols>
  <sheetData>
    <row r="1" spans="1:6" ht="15" x14ac:dyDescent="0.25">
      <c r="A1" s="332" t="s">
        <v>116</v>
      </c>
      <c r="B1" s="332"/>
      <c r="C1" s="332"/>
      <c r="D1" s="332"/>
      <c r="E1" s="332"/>
    </row>
    <row r="2" spans="1:6" ht="15" x14ac:dyDescent="0.25">
      <c r="A2" s="333" t="s">
        <v>108</v>
      </c>
      <c r="B2" s="333"/>
      <c r="C2" s="333"/>
      <c r="D2" s="333"/>
      <c r="E2" s="333"/>
    </row>
    <row r="3" spans="1:6" ht="15.75" thickBot="1" x14ac:dyDescent="0.3">
      <c r="A3" s="14" t="s">
        <v>24</v>
      </c>
      <c r="B3" s="14"/>
      <c r="C3" s="15"/>
      <c r="D3" s="15"/>
      <c r="E3" s="15"/>
    </row>
    <row r="4" spans="1:6" ht="33" thickBot="1" x14ac:dyDescent="0.25">
      <c r="A4" s="16" t="s">
        <v>5</v>
      </c>
      <c r="B4" s="17" t="s">
        <v>12</v>
      </c>
      <c r="C4" s="162"/>
      <c r="D4" s="17" t="s">
        <v>12</v>
      </c>
      <c r="E4" s="18" t="s">
        <v>35</v>
      </c>
    </row>
    <row r="5" spans="1:6" ht="15.75" thickTop="1" x14ac:dyDescent="0.2">
      <c r="A5" s="19"/>
      <c r="B5" s="20"/>
      <c r="C5" s="21"/>
      <c r="D5" s="22"/>
      <c r="E5" s="23"/>
    </row>
    <row r="6" spans="1:6" s="25" customFormat="1" ht="28.5" x14ac:dyDescent="0.25">
      <c r="A6" s="150" t="s">
        <v>14</v>
      </c>
      <c r="B6" s="151" t="s">
        <v>13</v>
      </c>
      <c r="C6" s="24" t="s">
        <v>25</v>
      </c>
      <c r="D6" s="119" t="s">
        <v>156</v>
      </c>
      <c r="E6" s="26" t="s">
        <v>155</v>
      </c>
    </row>
    <row r="7" spans="1:6" ht="28.5" customHeight="1" x14ac:dyDescent="0.2">
      <c r="A7" s="152" t="s">
        <v>15</v>
      </c>
      <c r="B7" s="24" t="s">
        <v>6</v>
      </c>
      <c r="C7" s="24" t="s">
        <v>113</v>
      </c>
      <c r="D7" s="24" t="s">
        <v>158</v>
      </c>
      <c r="E7" s="26" t="s">
        <v>93</v>
      </c>
      <c r="F7" s="134"/>
    </row>
    <row r="8" spans="1:6" ht="28.5" x14ac:dyDescent="0.2">
      <c r="A8" s="153">
        <v>7</v>
      </c>
      <c r="B8" s="38" t="s">
        <v>23</v>
      </c>
      <c r="C8" s="24" t="s">
        <v>25</v>
      </c>
      <c r="D8" s="119" t="s">
        <v>156</v>
      </c>
      <c r="E8" s="26" t="s">
        <v>155</v>
      </c>
    </row>
    <row r="9" spans="1:6" ht="41.45" customHeight="1" thickBot="1" x14ac:dyDescent="0.25">
      <c r="A9" s="27" t="s">
        <v>16</v>
      </c>
      <c r="B9" s="28" t="s">
        <v>26</v>
      </c>
      <c r="C9" s="29" t="s">
        <v>27</v>
      </c>
      <c r="D9" s="154" t="s">
        <v>157</v>
      </c>
      <c r="E9" s="120" t="s">
        <v>95</v>
      </c>
    </row>
    <row r="11" spans="1:6" ht="16.5" x14ac:dyDescent="0.2">
      <c r="A11" s="130" t="s">
        <v>109</v>
      </c>
      <c r="B11" s="130"/>
      <c r="C11" s="30"/>
      <c r="D11" s="30"/>
      <c r="E11" s="30"/>
    </row>
    <row r="12" spans="1:6" ht="16.5" x14ac:dyDescent="0.2">
      <c r="A12" s="130"/>
      <c r="B12" s="155"/>
      <c r="C12" s="30"/>
      <c r="D12" s="30"/>
      <c r="E12" s="31"/>
    </row>
    <row r="13" spans="1:6" ht="16.5" x14ac:dyDescent="0.2">
      <c r="A13" s="156"/>
    </row>
  </sheetData>
  <sheetProtection algorithmName="SHA-512" hashValue="mVIRQm0lc92rLnqwGoAOlA1f1NWPW+t5xE1xOEFsuHUk8d0qIOLGkPGz2hGlaSfpT/BmPfB13QypotRxEcD1/Q==" saltValue="XT0iwmmYejwEb9n7PC8nZQ==" spinCount="100000" sheet="1" objects="1" scenarios="1"/>
  <mergeCells count="2">
    <mergeCell ref="A1:E1"/>
    <mergeCell ref="A2:E2"/>
  </mergeCells>
  <printOptions horizontalCentered="1"/>
  <pageMargins left="0.7" right="0.7" top="0.75" bottom="0.75" header="0.3" footer="0.3"/>
  <pageSetup scale="96" firstPageNumber="99" orientation="portrait" useFirstPageNumber="1" horizontalDpi="4294967294" r:id="rId1"/>
  <headerFooter>
    <oddFooter>&amp;L&amp;"Arial,Regular"&amp;8GVEA North Pole Facility
PM&amp;Y2.5&amp;Y Serious NAA BACT Analysis&amp;C&amp;"Arial,Regular"&amp;8Page 108&amp;R&amp;"Arial,Regular"&amp;8August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E27"/>
  <sheetViews>
    <sheetView zoomScaleNormal="100" workbookViewId="0">
      <selection activeCell="B10" sqref="B10"/>
    </sheetView>
  </sheetViews>
  <sheetFormatPr defaultColWidth="9.140625" defaultRowHeight="14.25" x14ac:dyDescent="0.25"/>
  <cols>
    <col min="1" max="1" width="25.7109375" style="159" customWidth="1"/>
    <col min="2" max="2" width="16.85546875" style="159" bestFit="1" customWidth="1"/>
    <col min="3" max="3" width="15.7109375" style="159" bestFit="1" customWidth="1"/>
    <col min="4" max="5" width="14.42578125" style="159" customWidth="1"/>
    <col min="6" max="16384" width="9.140625" style="159"/>
  </cols>
  <sheetData>
    <row r="1" spans="1:5" s="158" customFormat="1" ht="15" x14ac:dyDescent="0.25">
      <c r="A1" s="157" t="s">
        <v>144</v>
      </c>
      <c r="B1" s="157"/>
      <c r="C1" s="157"/>
    </row>
    <row r="2" spans="1:5" s="158" customFormat="1" ht="15" x14ac:dyDescent="0.25">
      <c r="A2" s="157" t="s">
        <v>159</v>
      </c>
      <c r="B2" s="157"/>
      <c r="C2" s="157"/>
    </row>
    <row r="4" spans="1:5" ht="15" thickBot="1" x14ac:dyDescent="0.3"/>
    <row r="5" spans="1:5" ht="60.75" thickBot="1" x14ac:dyDescent="0.3">
      <c r="A5" s="220"/>
      <c r="B5" s="221" t="s">
        <v>161</v>
      </c>
      <c r="C5" s="222" t="s">
        <v>165</v>
      </c>
      <c r="D5" s="221" t="s">
        <v>162</v>
      </c>
      <c r="E5" s="222" t="s">
        <v>166</v>
      </c>
    </row>
    <row r="6" spans="1:5" ht="15" thickTop="1" x14ac:dyDescent="0.2">
      <c r="A6" s="160" t="s">
        <v>160</v>
      </c>
      <c r="B6" s="336">
        <v>30425000</v>
      </c>
      <c r="C6" s="337"/>
      <c r="D6" s="338">
        <v>21050000</v>
      </c>
      <c r="E6" s="339"/>
    </row>
    <row r="7" spans="1:5" ht="42.75" x14ac:dyDescent="0.25">
      <c r="A7" s="223" t="s">
        <v>127</v>
      </c>
      <c r="B7" s="224">
        <v>32256</v>
      </c>
      <c r="C7" s="225">
        <v>12864</v>
      </c>
      <c r="D7" s="224">
        <v>32256</v>
      </c>
      <c r="E7" s="225">
        <v>12864</v>
      </c>
    </row>
    <row r="8" spans="1:5" x14ac:dyDescent="0.25">
      <c r="A8" s="223" t="s">
        <v>128</v>
      </c>
      <c r="B8" s="226">
        <f>B7/(B7+C7)</f>
        <v>0.71489361702127663</v>
      </c>
      <c r="C8" s="227">
        <f>C7/(B7+C7)</f>
        <v>0.28510638297872343</v>
      </c>
      <c r="D8" s="226">
        <f>D7/(D7+E7)</f>
        <v>0.71489361702127663</v>
      </c>
      <c r="E8" s="227">
        <f>E7/(D7+E7)</f>
        <v>0.28510638297872343</v>
      </c>
    </row>
    <row r="9" spans="1:5" ht="28.5" x14ac:dyDescent="0.25">
      <c r="A9" s="228" t="s">
        <v>129</v>
      </c>
      <c r="B9" s="229">
        <f>B8*$B$6</f>
        <v>21750638.297872342</v>
      </c>
      <c r="C9" s="230">
        <f>C8*$B$6</f>
        <v>8674361.7021276597</v>
      </c>
      <c r="D9" s="229">
        <f>D8*$D$6</f>
        <v>15048510.638297873</v>
      </c>
      <c r="E9" s="230">
        <f>E8*$D$6</f>
        <v>6001489.3617021283</v>
      </c>
    </row>
    <row r="10" spans="1:5" ht="28.5" x14ac:dyDescent="0.25">
      <c r="A10" s="223" t="s">
        <v>130</v>
      </c>
      <c r="B10" s="229">
        <f>B9/2</f>
        <v>10875319.148936171</v>
      </c>
      <c r="C10" s="230">
        <f>C9/2</f>
        <v>4337180.8510638298</v>
      </c>
      <c r="D10" s="229">
        <f>D9/2</f>
        <v>7524255.3191489363</v>
      </c>
      <c r="E10" s="230">
        <f>E9/2</f>
        <v>3000744.6808510642</v>
      </c>
    </row>
    <row r="11" spans="1:5" ht="28.5" x14ac:dyDescent="0.25">
      <c r="A11" s="223" t="s">
        <v>131</v>
      </c>
      <c r="B11" s="231">
        <f>B10*B15</f>
        <v>1011954.7035021563</v>
      </c>
      <c r="C11" s="232">
        <f>C10*B15</f>
        <v>403577.1734205028</v>
      </c>
      <c r="D11" s="231">
        <f>D10*B15</f>
        <v>700136.28623567428</v>
      </c>
      <c r="E11" s="232">
        <f>E10*B15</f>
        <v>279221.01891541772</v>
      </c>
    </row>
    <row r="12" spans="1:5" ht="57" x14ac:dyDescent="0.25">
      <c r="A12" s="223" t="s">
        <v>132</v>
      </c>
      <c r="B12" s="229">
        <f>C23*B10</f>
        <v>435012.76595744683</v>
      </c>
      <c r="C12" s="230">
        <f>C23*C10</f>
        <v>173487.2340425532</v>
      </c>
      <c r="D12" s="229">
        <f>C23*D10</f>
        <v>300970.21276595746</v>
      </c>
      <c r="E12" s="230">
        <f>C23*E10</f>
        <v>120029.78723404257</v>
      </c>
    </row>
    <row r="13" spans="1:5" ht="45.75" thickBot="1" x14ac:dyDescent="0.3">
      <c r="A13" s="233" t="s">
        <v>133</v>
      </c>
      <c r="B13" s="234">
        <f>SUM(B11:B12)</f>
        <v>1446967.4694596031</v>
      </c>
      <c r="C13" s="235">
        <f>SUM(C11:C12)</f>
        <v>577064.40746305604</v>
      </c>
      <c r="D13" s="234">
        <f>SUM(D11:D12)</f>
        <v>1001106.4990016317</v>
      </c>
      <c r="E13" s="235">
        <f>SUM(E11:E12)</f>
        <v>399250.80614946026</v>
      </c>
    </row>
    <row r="14" spans="1:5" x14ac:dyDescent="0.25">
      <c r="A14" s="236"/>
      <c r="B14" s="236"/>
      <c r="C14" s="236"/>
      <c r="D14" s="236"/>
      <c r="E14" s="236"/>
    </row>
    <row r="15" spans="1:5" x14ac:dyDescent="0.25">
      <c r="A15" s="236" t="s">
        <v>134</v>
      </c>
      <c r="B15" s="237">
        <f>($C$18/100*POWER((1+($C$18/100)),$C$20))/((POWER(((1+$C$18/100)),$C$20))-1)</f>
        <v>9.3050575311267647E-2</v>
      </c>
      <c r="C15" s="236"/>
      <c r="D15" s="236"/>
      <c r="E15" s="236"/>
    </row>
    <row r="16" spans="1:5" x14ac:dyDescent="0.25">
      <c r="A16" s="236"/>
      <c r="B16" s="236"/>
      <c r="C16" s="236"/>
      <c r="D16" s="236"/>
      <c r="E16" s="236"/>
    </row>
    <row r="17" spans="1:5" ht="15" x14ac:dyDescent="0.25">
      <c r="A17" s="238" t="s">
        <v>84</v>
      </c>
      <c r="B17" s="236"/>
      <c r="C17" s="239"/>
      <c r="D17" s="236"/>
      <c r="E17" s="236"/>
    </row>
    <row r="18" spans="1:5" x14ac:dyDescent="0.25">
      <c r="A18" s="236" t="s">
        <v>135</v>
      </c>
      <c r="B18" s="236"/>
      <c r="C18" s="240">
        <v>8.5</v>
      </c>
      <c r="D18" s="236" t="s">
        <v>136</v>
      </c>
      <c r="E18" s="236"/>
    </row>
    <row r="19" spans="1:5" x14ac:dyDescent="0.25">
      <c r="A19" s="236" t="s">
        <v>137</v>
      </c>
      <c r="B19" s="236"/>
      <c r="C19" s="236"/>
      <c r="D19" s="236"/>
      <c r="E19" s="236"/>
    </row>
    <row r="20" spans="1:5" x14ac:dyDescent="0.25">
      <c r="A20" s="236" t="s">
        <v>138</v>
      </c>
      <c r="B20" s="236"/>
      <c r="C20" s="241">
        <v>30</v>
      </c>
      <c r="D20" s="236" t="s">
        <v>87</v>
      </c>
      <c r="E20" s="236"/>
    </row>
    <row r="21" spans="1:5" x14ac:dyDescent="0.25">
      <c r="A21" s="236" t="s">
        <v>139</v>
      </c>
      <c r="B21" s="236"/>
      <c r="C21" s="236"/>
      <c r="D21" s="236"/>
      <c r="E21" s="236"/>
    </row>
    <row r="22" spans="1:5" x14ac:dyDescent="0.25">
      <c r="A22" s="236"/>
      <c r="B22" s="236"/>
      <c r="C22" s="236"/>
      <c r="D22" s="236"/>
      <c r="E22" s="236"/>
    </row>
    <row r="23" spans="1:5" ht="29.25" customHeight="1" x14ac:dyDescent="0.25">
      <c r="A23" s="334" t="s">
        <v>140</v>
      </c>
      <c r="B23" s="335"/>
      <c r="C23" s="242">
        <v>0.04</v>
      </c>
      <c r="D23" s="236"/>
      <c r="E23" s="236"/>
    </row>
    <row r="24" spans="1:5" ht="14.25" customHeight="1" x14ac:dyDescent="0.25">
      <c r="A24" s="334" t="s">
        <v>141</v>
      </c>
      <c r="B24" s="334"/>
      <c r="C24" s="236"/>
      <c r="D24" s="236"/>
      <c r="E24" s="236"/>
    </row>
    <row r="25" spans="1:5" x14ac:dyDescent="0.25">
      <c r="A25" s="236" t="s">
        <v>142</v>
      </c>
      <c r="B25" s="236"/>
      <c r="C25" s="236"/>
      <c r="D25" s="236"/>
      <c r="E25" s="236"/>
    </row>
    <row r="27" spans="1:5" x14ac:dyDescent="0.25">
      <c r="A27" s="159" t="s">
        <v>143</v>
      </c>
    </row>
  </sheetData>
  <sheetProtection algorithmName="SHA-512" hashValue="pedhFGJCroieouSmP3B/rVtIBozrwb6k2X9Iyd43fgmX6dYTVyLCpjUXuocwROLiieCap5iUOlZsqMTgjtkVoA==" saltValue="DHQS5o205CkzCIgzVTkHqw==" spinCount="100000" sheet="1" objects="1" scenarios="1"/>
  <mergeCells count="4">
    <mergeCell ref="A23:B23"/>
    <mergeCell ref="A24:B24"/>
    <mergeCell ref="B6:C6"/>
    <mergeCell ref="D6:E6"/>
  </mergeCells>
  <printOptions horizontalCentered="1"/>
  <pageMargins left="0.7" right="0.7" top="0.75" bottom="0.75" header="0.3" footer="0.3"/>
  <pageSetup orientation="portrait" r:id="rId1"/>
  <headerFooter>
    <oddFooter>&amp;L&amp;"Arial,Regular"&amp;8GVEA North Pole Facility
PM2.5 Serious NAA BACT Analysis&amp;C&amp;"Arial,Regular"&amp;8Page 109&amp;R&amp;"Arial,Regular"&amp;8August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"/>
  <sheetViews>
    <sheetView workbookViewId="0"/>
  </sheetViews>
  <sheetFormatPr defaultRowHeight="15" x14ac:dyDescent="0.25"/>
  <sheetData/>
  <sheetProtection algorithmName="SHA-512" hashValue="mrSUoP33bE2/ZmnEohfTc32jjrA+UisBHJWsj87/CSSMa4kZbYS2mfIzV3k2m3GdPMZoZ0mH3QBxc/MTef3Jqg==" saltValue="5tT8SjHkjJHsEiLZK8NgI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26"/>
  <sheetViews>
    <sheetView zoomScaleNormal="100" workbookViewId="0">
      <selection activeCell="C26" sqref="C26"/>
    </sheetView>
  </sheetViews>
  <sheetFormatPr defaultColWidth="8.85546875" defaultRowHeight="14.25" x14ac:dyDescent="0.2"/>
  <cols>
    <col min="1" max="1" width="9.28515625" style="1" customWidth="1"/>
    <col min="2" max="2" width="28.140625" style="1" bestFit="1" customWidth="1"/>
    <col min="3" max="3" width="30.5703125" style="1" bestFit="1" customWidth="1"/>
    <col min="4" max="16384" width="8.85546875" style="1"/>
  </cols>
  <sheetData>
    <row r="1" spans="1:3" ht="30" customHeight="1" x14ac:dyDescent="0.25">
      <c r="A1" s="269" t="s">
        <v>111</v>
      </c>
      <c r="B1" s="269"/>
      <c r="C1" s="269"/>
    </row>
    <row r="2" spans="1:3" ht="15.75" thickBot="1" x14ac:dyDescent="0.3">
      <c r="A2" s="5"/>
      <c r="B2" s="5"/>
      <c r="C2" s="5"/>
    </row>
    <row r="3" spans="1:3" ht="15" customHeight="1" thickBot="1" x14ac:dyDescent="0.25">
      <c r="A3" s="289" t="s">
        <v>4</v>
      </c>
      <c r="B3" s="290"/>
      <c r="C3" s="214" t="s">
        <v>18</v>
      </c>
    </row>
    <row r="4" spans="1:3" ht="16.5" thickTop="1" thickBot="1" x14ac:dyDescent="0.25">
      <c r="A4" s="173"/>
      <c r="B4" s="174"/>
      <c r="C4" s="175"/>
    </row>
    <row r="5" spans="1:3" x14ac:dyDescent="0.2">
      <c r="A5" s="296" t="s">
        <v>14</v>
      </c>
      <c r="B5" s="291" t="s">
        <v>13</v>
      </c>
      <c r="C5" s="169" t="s">
        <v>3</v>
      </c>
    </row>
    <row r="6" spans="1:3" x14ac:dyDescent="0.2">
      <c r="A6" s="297"/>
      <c r="B6" s="292"/>
      <c r="C6" s="170" t="s">
        <v>1</v>
      </c>
    </row>
    <row r="7" spans="1:3" ht="15" thickBot="1" x14ac:dyDescent="0.25">
      <c r="A7" s="263"/>
      <c r="B7" s="293"/>
      <c r="C7" s="171" t="s">
        <v>0</v>
      </c>
    </row>
    <row r="8" spans="1:3" x14ac:dyDescent="0.2">
      <c r="A8" s="298" t="s">
        <v>15</v>
      </c>
      <c r="B8" s="294" t="s">
        <v>6</v>
      </c>
      <c r="C8" s="6" t="s">
        <v>3</v>
      </c>
    </row>
    <row r="9" spans="1:3" ht="29.25" thickBot="1" x14ac:dyDescent="0.25">
      <c r="A9" s="299"/>
      <c r="B9" s="295"/>
      <c r="C9" s="176" t="s">
        <v>120</v>
      </c>
    </row>
    <row r="10" spans="1:3" x14ac:dyDescent="0.2">
      <c r="A10" s="296" t="s">
        <v>7</v>
      </c>
      <c r="B10" s="291" t="s">
        <v>23</v>
      </c>
      <c r="C10" s="169" t="s">
        <v>3</v>
      </c>
    </row>
    <row r="11" spans="1:3" x14ac:dyDescent="0.2">
      <c r="A11" s="262"/>
      <c r="B11" s="292"/>
      <c r="C11" s="170" t="s">
        <v>1</v>
      </c>
    </row>
    <row r="12" spans="1:3" x14ac:dyDescent="0.2">
      <c r="A12" s="262"/>
      <c r="B12" s="292"/>
      <c r="C12" s="170" t="s">
        <v>2</v>
      </c>
    </row>
    <row r="13" spans="1:3" ht="15" thickBot="1" x14ac:dyDescent="0.25">
      <c r="A13" s="263"/>
      <c r="B13" s="293"/>
      <c r="C13" s="171" t="s">
        <v>0</v>
      </c>
    </row>
    <row r="14" spans="1:3" x14ac:dyDescent="0.2">
      <c r="A14" s="285" t="s">
        <v>16</v>
      </c>
      <c r="B14" s="287" t="s">
        <v>17</v>
      </c>
      <c r="C14" s="6" t="s">
        <v>1</v>
      </c>
    </row>
    <row r="15" spans="1:3" ht="15" thickBot="1" x14ac:dyDescent="0.25">
      <c r="A15" s="286"/>
      <c r="B15" s="288"/>
      <c r="C15" s="4" t="s">
        <v>0</v>
      </c>
    </row>
    <row r="16" spans="1:3" x14ac:dyDescent="0.2">
      <c r="C16" s="7"/>
    </row>
    <row r="17" spans="1:3" x14ac:dyDescent="0.2">
      <c r="A17" s="1" t="s">
        <v>24</v>
      </c>
    </row>
    <row r="18" spans="1:3" ht="27.6" customHeight="1" x14ac:dyDescent="0.2">
      <c r="A18" s="283" t="s">
        <v>24</v>
      </c>
      <c r="B18" s="284"/>
      <c r="C18" s="284"/>
    </row>
    <row r="26" spans="1:3" x14ac:dyDescent="0.2">
      <c r="C26" s="126"/>
    </row>
  </sheetData>
  <sheetProtection algorithmName="SHA-512" hashValue="tAIjyYgZRrfePKj3yNY1M+xORTwM/8f0PDIPBDVWWEPEPsKGM5EsCasvA5HNuJtucORJdr72SIvOTVtqKuyuEA==" saltValue="Y/T6gs4Q+oy2I/rOlL/BLA==" spinCount="100000" sheet="1" objects="1" scenarios="1"/>
  <mergeCells count="11">
    <mergeCell ref="A18:C18"/>
    <mergeCell ref="A14:A15"/>
    <mergeCell ref="B14:B15"/>
    <mergeCell ref="A1:C1"/>
    <mergeCell ref="A3:B3"/>
    <mergeCell ref="B5:B7"/>
    <mergeCell ref="B8:B9"/>
    <mergeCell ref="B10:B13"/>
    <mergeCell ref="A5:A7"/>
    <mergeCell ref="A8:A9"/>
    <mergeCell ref="A10:A13"/>
  </mergeCells>
  <printOptions horizontalCentered="1"/>
  <pageMargins left="0.7" right="0.7" top="0.75" bottom="0.75" header="0.3" footer="0.3"/>
  <pageSetup firstPageNumber="92" orientation="portrait" useFirstPageNumber="1" verticalDpi="90" r:id="rId1"/>
  <headerFooter>
    <oddFooter>&amp;L&amp;"Arial,Regular"&amp;8GVEA North Pole Facility
PM&amp;Y2.5&amp;Y Serious NAA BACT Analysis&amp;C&amp;"Arial,Regular"&amp;8Page 101&amp;R&amp;"Arial,Regular"&amp;8August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20"/>
  <sheetViews>
    <sheetView tabSelected="1" zoomScaleNormal="100" workbookViewId="0">
      <selection activeCell="H3" sqref="H3"/>
    </sheetView>
  </sheetViews>
  <sheetFormatPr defaultColWidth="8.85546875" defaultRowHeight="14.25" x14ac:dyDescent="0.2"/>
  <cols>
    <col min="1" max="1" width="12.28515625" style="1" customWidth="1"/>
    <col min="2" max="2" width="45.7109375" style="1" customWidth="1"/>
    <col min="3" max="3" width="52.140625" style="1" bestFit="1" customWidth="1"/>
    <col min="4" max="4" width="15.85546875" style="8" customWidth="1"/>
    <col min="5" max="5" width="14.28515625" style="8" bestFit="1" customWidth="1"/>
    <col min="6" max="6" width="16.42578125" style="8" bestFit="1" customWidth="1"/>
    <col min="7" max="7" width="8.85546875" style="1"/>
    <col min="8" max="8" width="11.28515625" style="1" customWidth="1"/>
    <col min="9" max="16384" width="8.85546875" style="1"/>
  </cols>
  <sheetData>
    <row r="1" spans="1:9" ht="16.5" x14ac:dyDescent="0.3">
      <c r="A1" s="305" t="s">
        <v>112</v>
      </c>
      <c r="B1" s="305"/>
      <c r="C1" s="305"/>
      <c r="D1" s="305"/>
      <c r="E1" s="305"/>
      <c r="F1" s="305"/>
    </row>
    <row r="2" spans="1:9" ht="15.75" thickBot="1" x14ac:dyDescent="0.3">
      <c r="A2" s="5"/>
      <c r="B2" s="5"/>
      <c r="C2" s="5"/>
    </row>
    <row r="3" spans="1:9" ht="51" customHeight="1" thickBot="1" x14ac:dyDescent="0.25">
      <c r="A3" s="289" t="s">
        <v>4</v>
      </c>
      <c r="B3" s="290"/>
      <c r="C3" s="213" t="s">
        <v>100</v>
      </c>
      <c r="D3" s="213" t="s">
        <v>101</v>
      </c>
      <c r="E3" s="213" t="s">
        <v>33</v>
      </c>
      <c r="F3" s="214" t="s">
        <v>34</v>
      </c>
    </row>
    <row r="4" spans="1:9" ht="15" customHeight="1" thickTop="1" thickBot="1" x14ac:dyDescent="0.25">
      <c r="A4" s="173"/>
      <c r="B4" s="174"/>
      <c r="C4" s="177"/>
      <c r="D4" s="178"/>
      <c r="E4" s="178"/>
      <c r="F4" s="175"/>
    </row>
    <row r="5" spans="1:9" x14ac:dyDescent="0.2">
      <c r="A5" s="296" t="s">
        <v>8</v>
      </c>
      <c r="B5" s="311" t="s">
        <v>94</v>
      </c>
      <c r="C5" s="182" t="s">
        <v>20</v>
      </c>
      <c r="D5" s="183">
        <f>((0.5-0.0015)/0.5)*100</f>
        <v>99.7</v>
      </c>
      <c r="E5" s="184">
        <f>E$7*((100-D5)/100)</f>
        <v>4.4591999999999574</v>
      </c>
      <c r="F5" s="185">
        <f>$E$7-E5</f>
        <v>1481.9408000000001</v>
      </c>
    </row>
    <row r="6" spans="1:9" x14ac:dyDescent="0.2">
      <c r="A6" s="297"/>
      <c r="B6" s="312"/>
      <c r="C6" s="186" t="s">
        <v>10</v>
      </c>
      <c r="D6" s="187">
        <f>((0.5-0.05)/0.5)*100</f>
        <v>90</v>
      </c>
      <c r="E6" s="188">
        <f>E$7*((100-D6)/100)</f>
        <v>148.64000000000001</v>
      </c>
      <c r="F6" s="189">
        <f>$E$7-E6</f>
        <v>1337.76</v>
      </c>
    </row>
    <row r="7" spans="1:9" ht="15" thickBot="1" x14ac:dyDescent="0.25">
      <c r="A7" s="263"/>
      <c r="B7" s="313"/>
      <c r="C7" s="190" t="s">
        <v>119</v>
      </c>
      <c r="D7" s="191">
        <v>0</v>
      </c>
      <c r="E7" s="192">
        <v>1486.4</v>
      </c>
      <c r="F7" s="193">
        <v>0</v>
      </c>
    </row>
    <row r="8" spans="1:9" x14ac:dyDescent="0.2">
      <c r="A8" s="298" t="s">
        <v>9</v>
      </c>
      <c r="B8" s="314" t="s">
        <v>94</v>
      </c>
      <c r="C8" s="179" t="s">
        <v>21</v>
      </c>
      <c r="D8" s="180">
        <f>D5</f>
        <v>99.7</v>
      </c>
      <c r="E8" s="181">
        <f>E$10*((100-D8)/100)</f>
        <v>4.0682999999999607</v>
      </c>
      <c r="F8" s="146">
        <f>$E$10-E8</f>
        <v>1352.0317</v>
      </c>
      <c r="H8" s="245">
        <v>0.3</v>
      </c>
      <c r="I8" s="245" t="s">
        <v>168</v>
      </c>
    </row>
    <row r="9" spans="1:9" x14ac:dyDescent="0.2">
      <c r="A9" s="306"/>
      <c r="B9" s="314"/>
      <c r="C9" s="10" t="s">
        <v>11</v>
      </c>
      <c r="D9" s="148">
        <f>D6</f>
        <v>90</v>
      </c>
      <c r="E9" s="145">
        <f>E$10*((100-D9)/100)</f>
        <v>135.60999999999999</v>
      </c>
      <c r="F9" s="147">
        <f>$E$10-E9</f>
        <v>1220.49</v>
      </c>
      <c r="H9" s="245">
        <v>5.0000000000000001E-3</v>
      </c>
      <c r="I9" s="245" t="s">
        <v>169</v>
      </c>
    </row>
    <row r="10" spans="1:9" ht="15" thickBot="1" x14ac:dyDescent="0.25">
      <c r="A10" s="307"/>
      <c r="B10" s="314"/>
      <c r="C10" s="194" t="s">
        <v>119</v>
      </c>
      <c r="D10" s="255">
        <v>0</v>
      </c>
      <c r="E10" s="196">
        <v>1356.1</v>
      </c>
      <c r="F10" s="197">
        <v>0</v>
      </c>
      <c r="H10" s="245">
        <v>1.5E-3</v>
      </c>
      <c r="I10" s="245" t="s">
        <v>170</v>
      </c>
    </row>
    <row r="11" spans="1:9" ht="14.45" customHeight="1" x14ac:dyDescent="0.2">
      <c r="A11" s="308" t="s">
        <v>15</v>
      </c>
      <c r="B11" s="311" t="s">
        <v>122</v>
      </c>
      <c r="C11" s="200" t="s">
        <v>20</v>
      </c>
      <c r="D11" s="254">
        <f>(H9-H10)/H9</f>
        <v>0.7</v>
      </c>
      <c r="E11" s="184">
        <f>E$13-F11</f>
        <v>2.8613880749999998</v>
      </c>
      <c r="F11" s="201">
        <f>E13*D11</f>
        <v>6.6765721749999978</v>
      </c>
      <c r="G11" s="140"/>
      <c r="H11" s="245">
        <v>455</v>
      </c>
      <c r="I11" s="245" t="s">
        <v>171</v>
      </c>
    </row>
    <row r="12" spans="1:9" ht="14.45" customHeight="1" x14ac:dyDescent="0.2">
      <c r="A12" s="309"/>
      <c r="B12" s="312"/>
      <c r="C12" s="253" t="s">
        <v>176</v>
      </c>
      <c r="D12" s="250">
        <v>0</v>
      </c>
      <c r="E12" s="251">
        <v>36</v>
      </c>
      <c r="F12" s="252">
        <v>0</v>
      </c>
      <c r="G12" s="140"/>
      <c r="H12" s="245"/>
      <c r="I12" s="245"/>
    </row>
    <row r="13" spans="1:9" ht="27.95" customHeight="1" thickBot="1" x14ac:dyDescent="0.25">
      <c r="A13" s="310"/>
      <c r="B13" s="313"/>
      <c r="C13" s="202" t="s">
        <v>167</v>
      </c>
      <c r="D13" s="247">
        <v>0</v>
      </c>
      <c r="E13" s="248">
        <f>H$15*$H$9*$H$11*$H$16/2000</f>
        <v>9.5379602499999976</v>
      </c>
      <c r="F13" s="249">
        <v>0</v>
      </c>
      <c r="H13" s="246">
        <v>1500000</v>
      </c>
      <c r="I13" s="245" t="s">
        <v>172</v>
      </c>
    </row>
    <row r="14" spans="1:9" x14ac:dyDescent="0.2">
      <c r="A14" s="300" t="s">
        <v>7</v>
      </c>
      <c r="B14" s="302" t="s">
        <v>23</v>
      </c>
      <c r="C14" s="198" t="s">
        <v>99</v>
      </c>
      <c r="D14" s="259">
        <f>(0.1-0.0015)/0.1</f>
        <v>0.98499999999999999</v>
      </c>
      <c r="E14" s="256">
        <f>$E$16-F14</f>
        <v>1.7721600000000087E-4</v>
      </c>
      <c r="F14" s="199">
        <f>$E$16*D14</f>
        <v>1.1637183999999998E-2</v>
      </c>
      <c r="H14" s="245">
        <v>6.8</v>
      </c>
      <c r="I14" s="245" t="s">
        <v>173</v>
      </c>
    </row>
    <row r="15" spans="1:9" x14ac:dyDescent="0.2">
      <c r="A15" s="301"/>
      <c r="B15" s="303"/>
      <c r="C15" s="11" t="s">
        <v>98</v>
      </c>
      <c r="D15" s="9">
        <v>50</v>
      </c>
      <c r="E15" s="258">
        <f>$E$16*(100-D15)/100</f>
        <v>5.9071999999999987E-3</v>
      </c>
      <c r="F15" s="115">
        <f>$E$16-E15</f>
        <v>5.9072000000000005E-3</v>
      </c>
      <c r="H15" s="245">
        <v>1.01</v>
      </c>
      <c r="I15" s="245" t="s">
        <v>174</v>
      </c>
    </row>
    <row r="16" spans="1:9" ht="15" thickBot="1" x14ac:dyDescent="0.25">
      <c r="A16" s="266"/>
      <c r="B16" s="304"/>
      <c r="C16" s="203" t="s">
        <v>22</v>
      </c>
      <c r="D16" s="195">
        <v>0</v>
      </c>
      <c r="E16" s="257">
        <f>0.1/100*7.1*32*52*2/2000</f>
        <v>1.1814399999999999E-2</v>
      </c>
      <c r="F16" s="197">
        <v>0</v>
      </c>
      <c r="H16" s="246">
        <v>8302</v>
      </c>
      <c r="I16" s="245" t="s">
        <v>175</v>
      </c>
    </row>
    <row r="17" spans="1:6" ht="15" thickBot="1" x14ac:dyDescent="0.25">
      <c r="A17" s="204" t="s">
        <v>16</v>
      </c>
      <c r="B17" s="205" t="s">
        <v>17</v>
      </c>
      <c r="C17" s="206" t="s">
        <v>19</v>
      </c>
      <c r="D17" s="207">
        <v>0</v>
      </c>
      <c r="E17" s="207">
        <v>2.0000000000000001E-4</v>
      </c>
      <c r="F17" s="208">
        <v>0</v>
      </c>
    </row>
    <row r="18" spans="1:6" x14ac:dyDescent="0.2">
      <c r="A18" s="1" t="s">
        <v>24</v>
      </c>
      <c r="C18" s="7"/>
    </row>
    <row r="20" spans="1:6" ht="16.5" x14ac:dyDescent="0.2">
      <c r="A20" s="117" t="s">
        <v>24</v>
      </c>
      <c r="B20" s="141"/>
    </row>
  </sheetData>
  <sheetProtection algorithmName="SHA-512" hashValue="3iiu1Q5vK3k3BxPyVQfCM7kExXURnJtJXR54jlOLrerU7Vlr7T7L8SUg1gtgXkVY4BE49OL9JQUWtwYG/XmvCg==" saltValue="M4d4OIbhegiLnIpjaLyMCw==" spinCount="100000" sheet="1" objects="1" scenarios="1"/>
  <mergeCells count="10">
    <mergeCell ref="A14:A16"/>
    <mergeCell ref="B14:B16"/>
    <mergeCell ref="A1:F1"/>
    <mergeCell ref="A3:B3"/>
    <mergeCell ref="A8:A10"/>
    <mergeCell ref="A5:A7"/>
    <mergeCell ref="A11:A13"/>
    <mergeCell ref="B11:B13"/>
    <mergeCell ref="B5:B7"/>
    <mergeCell ref="B8:B10"/>
  </mergeCells>
  <printOptions horizontalCentered="1"/>
  <pageMargins left="0.7" right="0.7" top="0.75" bottom="0.75" header="0.3" footer="0.3"/>
  <pageSetup scale="57" firstPageNumber="93" orientation="portrait" useFirstPageNumber="1" verticalDpi="90" r:id="rId1"/>
  <headerFooter>
    <oddFooter>&amp;L&amp;"Arial,Regular"&amp;8GVEA North Pole Facility
PM&amp;Y2.5&amp;Y Serious NAA BACT Analysis&amp;C&amp;"Arial,Regular"&amp;8Page 102&amp;R&amp;"Arial,Regular"&amp;8August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04D3-1FA0-4BA2-8DA7-FDA9B17B7C98}">
  <sheetPr codeName="Sheet4">
    <tabColor theme="7" tint="0.79998168889431442"/>
    <pageSetUpPr fitToPage="1"/>
  </sheetPr>
  <dimension ref="B1:L41"/>
  <sheetViews>
    <sheetView topLeftCell="A6" zoomScale="80" zoomScaleNormal="80" workbookViewId="0">
      <selection activeCell="K29" sqref="K29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89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17" t="s">
        <v>88</v>
      </c>
      <c r="C2" s="317"/>
      <c r="D2" s="317"/>
      <c r="E2" s="317"/>
      <c r="F2" s="317"/>
      <c r="G2" s="317"/>
      <c r="H2" s="317"/>
      <c r="I2" s="317"/>
      <c r="J2" s="317"/>
      <c r="K2" s="31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103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'[1]Total Capital Investment'!K44*E9/E38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E10*'[1]Total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14">
        <v>45282461.539999999</v>
      </c>
      <c r="F13" s="58" t="s">
        <v>63</v>
      </c>
      <c r="G13" s="62">
        <v>0.185</v>
      </c>
      <c r="H13" s="59">
        <f>E13*G13</f>
        <v>8377255.3848999999</v>
      </c>
      <c r="I13" s="59"/>
      <c r="J13" s="60"/>
      <c r="K13" s="61">
        <f>H13</f>
        <v>8377255.3848999999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8377255.3848999999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E19*'[1]Total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($E$37/100*POWER((1+($E$37/100)),$E$38))/((POWER(((1+$E$37/100)),$E$38))-1)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E20*'[1]Total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145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'5-10 TCI ULSD EU1-2'!B13</f>
        <v>1446967.4694596031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9824222.8543596026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144">
        <f>'5-3 Ranking-SO2'!F5</f>
        <v>1481.9408000000001</v>
      </c>
    </row>
    <row r="30" spans="2:12" x14ac:dyDescent="0.25">
      <c r="B30" s="42"/>
      <c r="K30" s="96"/>
    </row>
    <row r="31" spans="2:12" ht="15.75" x14ac:dyDescent="0.25">
      <c r="B31" s="97" t="s">
        <v>147</v>
      </c>
      <c r="C31" s="80"/>
      <c r="H31" s="163"/>
      <c r="J31" s="164" t="s">
        <v>83</v>
      </c>
      <c r="K31" s="243">
        <f>K25/K29</f>
        <v>6629.295080046114</v>
      </c>
    </row>
    <row r="32" spans="2:12" ht="18" x14ac:dyDescent="0.25">
      <c r="B32" s="97" t="s">
        <v>150</v>
      </c>
      <c r="C32" s="80"/>
      <c r="H32" s="163"/>
      <c r="J32" s="164" t="s">
        <v>83</v>
      </c>
      <c r="K32" s="61">
        <f>+('5-10 TCI ULSD EU1-2'!C13+G13*833*672/0.13)/142.3</f>
        <v>9653.3289891452096</v>
      </c>
    </row>
    <row r="33" spans="2:11" ht="20.25" thickBot="1" x14ac:dyDescent="0.4">
      <c r="B33" s="99" t="s">
        <v>149</v>
      </c>
      <c r="C33" s="100"/>
      <c r="D33" s="101"/>
      <c r="E33" s="101"/>
      <c r="F33" s="101"/>
      <c r="G33" s="101"/>
      <c r="H33" s="102"/>
      <c r="I33" s="101"/>
      <c r="J33" s="103" t="s">
        <v>83</v>
      </c>
      <c r="K33" s="104">
        <f>+K32*6</f>
        <v>57919.973934871261</v>
      </c>
    </row>
    <row r="34" spans="2:11" ht="15.75" thickTop="1" x14ac:dyDescent="0.25"/>
    <row r="35" spans="2:11" ht="15.75" thickBot="1" x14ac:dyDescent="0.3"/>
    <row r="36" spans="2:11" x14ac:dyDescent="0.25">
      <c r="D36" s="105" t="s">
        <v>84</v>
      </c>
      <c r="E36" s="52"/>
      <c r="F36" s="106"/>
      <c r="G36" s="107"/>
    </row>
    <row r="37" spans="2:11" x14ac:dyDescent="0.25">
      <c r="D37" s="108" t="s">
        <v>85</v>
      </c>
      <c r="E37" s="109">
        <v>8.5</v>
      </c>
      <c r="F37" s="110" t="s">
        <v>52</v>
      </c>
    </row>
    <row r="38" spans="2:11" ht="15.75" thickBot="1" x14ac:dyDescent="0.3">
      <c r="D38" s="111" t="s">
        <v>86</v>
      </c>
      <c r="E38" s="112">
        <v>30</v>
      </c>
      <c r="F38" s="113" t="s">
        <v>87</v>
      </c>
    </row>
    <row r="40" spans="2:11" ht="42" customHeight="1" x14ac:dyDescent="0.25">
      <c r="B40" s="212">
        <v>1</v>
      </c>
      <c r="C40" s="315" t="s">
        <v>163</v>
      </c>
      <c r="D40" s="315"/>
      <c r="E40" s="315"/>
      <c r="F40" s="315"/>
      <c r="G40" s="315"/>
      <c r="H40" s="315"/>
      <c r="I40" s="315"/>
      <c r="J40" s="315"/>
      <c r="K40" s="315"/>
    </row>
    <row r="41" spans="2:11" ht="60" customHeight="1" x14ac:dyDescent="0.25">
      <c r="B41" s="212">
        <v>2</v>
      </c>
      <c r="C41" s="315" t="s">
        <v>154</v>
      </c>
      <c r="D41" s="315"/>
      <c r="E41" s="315"/>
      <c r="F41" s="315"/>
      <c r="G41" s="315"/>
      <c r="H41" s="315"/>
      <c r="I41" s="315"/>
      <c r="J41" s="315"/>
      <c r="K41" s="315"/>
    </row>
  </sheetData>
  <sheetProtection algorithmName="SHA-512" hashValue="2PGSZXD3o2q8yZh1N6cB/nQf2m3b3drkUgdXwNyJ8r9d6hpQsX0Nm9SYtEi0/+f3CyctpSXAr6cg2SXcjCx7jA==" saltValue="Zbj1ckxsDdjRkQiM6SIGgw==" spinCount="100000" sheet="1" objects="1" scenarios="1"/>
  <mergeCells count="7">
    <mergeCell ref="C41:K41"/>
    <mergeCell ref="B1:K1"/>
    <mergeCell ref="B2:K2"/>
    <mergeCell ref="I3:K3"/>
    <mergeCell ref="B7:K7"/>
    <mergeCell ref="B27:K27"/>
    <mergeCell ref="C40:K40"/>
  </mergeCells>
  <printOptions horizontalCentered="1"/>
  <pageMargins left="0.7" right="0.7" top="0.75" bottom="0.75" header="0.3" footer="0.3"/>
  <pageSetup scale="51" firstPageNumber="94" orientation="portrait" useFirstPageNumber="1" r:id="rId1"/>
  <headerFooter>
    <oddFooter>&amp;L&amp;"Arial,Regular"&amp;8GVEA North Pole Facility
PM&amp;Y2.5&amp;Y Serious NAA BACT Analysis&amp;C&amp;"Arial,Regular"&amp;8Page 103&amp;R&amp;"Arial,Regular"&amp;8August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7" tint="0.79998168889431442"/>
    <pageSetUpPr fitToPage="1"/>
  </sheetPr>
  <dimension ref="B1:L41"/>
  <sheetViews>
    <sheetView zoomScale="80" zoomScaleNormal="80" workbookViewId="0">
      <selection activeCell="N38" sqref="N38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89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17" t="s">
        <v>88</v>
      </c>
      <c r="C2" s="317"/>
      <c r="D2" s="317"/>
      <c r="E2" s="317"/>
      <c r="F2" s="317"/>
      <c r="G2" s="317"/>
      <c r="H2" s="317"/>
      <c r="I2" s="317"/>
      <c r="J2" s="317"/>
      <c r="K2" s="31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103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'[1]Total Capital Investment'!K44*E9/E38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E10*'[1]Total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14">
        <v>45282461.539999999</v>
      </c>
      <c r="F13" s="58" t="s">
        <v>63</v>
      </c>
      <c r="G13" s="62">
        <v>0.42399999999999999</v>
      </c>
      <c r="H13" s="59">
        <f>E13*G13</f>
        <v>19199763.692959998</v>
      </c>
      <c r="I13" s="59"/>
      <c r="J13" s="60"/>
      <c r="K13" s="61">
        <f>H13</f>
        <v>19199763.692959998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19199763.692959998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E19*'[1]Total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($E$37/100*POWER((1+($E$37/100)),$E$38))/((POWER(((1+$E$37/100)),$E$38))-1)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E20*'[1]Total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145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'5-10 TCI ULSD EU1-2'!B13</f>
        <v>1446967.4694596031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20646731.162419602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144">
        <f>'5-3 Ranking-SO2'!F5</f>
        <v>1481.9408000000001</v>
      </c>
    </row>
    <row r="30" spans="2:12" x14ac:dyDescent="0.25">
      <c r="B30" s="42"/>
      <c r="K30" s="96"/>
    </row>
    <row r="31" spans="2:12" ht="15.75" x14ac:dyDescent="0.25">
      <c r="B31" s="97" t="s">
        <v>147</v>
      </c>
      <c r="C31" s="80"/>
      <c r="H31" s="163"/>
      <c r="J31" s="164" t="s">
        <v>83</v>
      </c>
      <c r="K31" s="243">
        <f>K25/K29</f>
        <v>13932.223987908019</v>
      </c>
    </row>
    <row r="32" spans="2:12" ht="18" x14ac:dyDescent="0.25">
      <c r="B32" s="97" t="s">
        <v>150</v>
      </c>
      <c r="C32" s="80"/>
      <c r="H32" s="163"/>
      <c r="J32" s="164" t="s">
        <v>83</v>
      </c>
      <c r="K32" s="61">
        <f>+('5-10 TCI ULSD EU1-2'!C13+G13*833*672/0.13)/142.3</f>
        <v>16885.420669776595</v>
      </c>
    </row>
    <row r="33" spans="2:11" ht="20.25" thickBot="1" x14ac:dyDescent="0.4">
      <c r="B33" s="99" t="s">
        <v>149</v>
      </c>
      <c r="C33" s="100"/>
      <c r="D33" s="101"/>
      <c r="E33" s="101"/>
      <c r="F33" s="101"/>
      <c r="G33" s="101"/>
      <c r="H33" s="102"/>
      <c r="I33" s="101"/>
      <c r="J33" s="103" t="s">
        <v>83</v>
      </c>
      <c r="K33" s="104">
        <f>+K32*6</f>
        <v>101312.52401865958</v>
      </c>
    </row>
    <row r="34" spans="2:11" ht="15.75" thickTop="1" x14ac:dyDescent="0.25"/>
    <row r="35" spans="2:11" ht="15.75" thickBot="1" x14ac:dyDescent="0.3"/>
    <row r="36" spans="2:11" x14ac:dyDescent="0.25">
      <c r="D36" s="105" t="s">
        <v>84</v>
      </c>
      <c r="E36" s="52"/>
      <c r="F36" s="106"/>
      <c r="G36" s="107"/>
    </row>
    <row r="37" spans="2:11" x14ac:dyDescent="0.25">
      <c r="D37" s="108" t="s">
        <v>85</v>
      </c>
      <c r="E37" s="109">
        <v>8.5</v>
      </c>
      <c r="F37" s="110" t="s">
        <v>52</v>
      </c>
    </row>
    <row r="38" spans="2:11" ht="15.75" thickBot="1" x14ac:dyDescent="0.3">
      <c r="D38" s="111" t="s">
        <v>86</v>
      </c>
      <c r="E38" s="112">
        <v>30</v>
      </c>
      <c r="F38" s="113" t="s">
        <v>87</v>
      </c>
    </row>
    <row r="40" spans="2:11" ht="42" customHeight="1" x14ac:dyDescent="0.25">
      <c r="B40" s="212">
        <v>1</v>
      </c>
      <c r="C40" s="315" t="s">
        <v>163</v>
      </c>
      <c r="D40" s="315"/>
      <c r="E40" s="315"/>
      <c r="F40" s="315"/>
      <c r="G40" s="315"/>
      <c r="H40" s="315"/>
      <c r="I40" s="315"/>
      <c r="J40" s="315"/>
      <c r="K40" s="315"/>
    </row>
    <row r="41" spans="2:11" ht="60" customHeight="1" x14ac:dyDescent="0.25">
      <c r="B41" s="212">
        <v>2</v>
      </c>
      <c r="C41" s="315" t="s">
        <v>154</v>
      </c>
      <c r="D41" s="315"/>
      <c r="E41" s="315"/>
      <c r="F41" s="315"/>
      <c r="G41" s="315"/>
      <c r="H41" s="315"/>
      <c r="I41" s="315"/>
      <c r="J41" s="315"/>
      <c r="K41" s="315"/>
    </row>
  </sheetData>
  <sheetProtection algorithmName="SHA-512" hashValue="EJEU6iypkDiKsES6SfIv3AhtY3qsXKzL4oN4KOVofHOEt7/Xbf/sxLuKSeWdNza5qgiFVchiJWE9tycxMA2bJw==" saltValue="/xGXSDMYFbIHjYmiCD+L/A==" spinCount="100000" sheet="1" objects="1" scenarios="1"/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1" firstPageNumber="94" orientation="portrait" useFirstPageNumber="1" r:id="rId1"/>
  <headerFooter>
    <oddFooter>&amp;L&amp;"Arial,Regular"&amp;8GVEA North Pole Facility
PM&amp;Y2.5&amp;Y Serious NAA BACT Analysis&amp;C&amp;"Arial,Regular"&amp;8Page 103&amp;R&amp;"Arial,Regular"&amp;8August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0520-E83F-492F-B368-CE828BEC08C8}">
  <sheetPr codeName="Sheet6">
    <tabColor theme="7" tint="0.79998168889431442"/>
    <pageSetUpPr fitToPage="1"/>
  </sheetPr>
  <dimension ref="B1:L41"/>
  <sheetViews>
    <sheetView topLeftCell="A7" zoomScale="90" zoomScaleNormal="90" workbookViewId="0">
      <selection activeCell="G13" sqref="G13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90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91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104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'[2]Total Capital Investment'!K44*E9/E38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E10*'[2]Total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14">
        <v>41312492.310000002</v>
      </c>
      <c r="F13" s="58" t="s">
        <v>63</v>
      </c>
      <c r="G13" s="62">
        <v>0.185</v>
      </c>
      <c r="H13" s="59">
        <f>E13*G13</f>
        <v>7642811.0773499999</v>
      </c>
      <c r="I13" s="59"/>
      <c r="J13" s="60"/>
      <c r="K13" s="61">
        <f>H13</f>
        <v>7642811.0773499999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7642811.0773499999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E19*'[2]Total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($E$37/100*POWER((1+($E$37/100)),$E$38))/((POWER(((1+$E$37/100)),$E$38))-1)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E20*'[2]Total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146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'5-10 TCI ULSD EU1-2'!B13</f>
        <v>1446967.4694596031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9089778.5468096025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244">
        <f>'5-3 Ranking-SO2'!F8</f>
        <v>1352.0317</v>
      </c>
    </row>
    <row r="30" spans="2:12" x14ac:dyDescent="0.25">
      <c r="B30" s="42"/>
      <c r="K30" s="96"/>
    </row>
    <row r="31" spans="2:12" ht="15.75" x14ac:dyDescent="0.25">
      <c r="B31" s="97" t="s">
        <v>147</v>
      </c>
      <c r="C31" s="80"/>
      <c r="H31" s="163"/>
      <c r="J31" s="164" t="s">
        <v>83</v>
      </c>
      <c r="K31" s="61">
        <f>K25/K29</f>
        <v>6723.0513506522093</v>
      </c>
    </row>
    <row r="32" spans="2:12" ht="18" x14ac:dyDescent="0.25">
      <c r="B32" s="97" t="s">
        <v>151</v>
      </c>
      <c r="C32" s="80"/>
      <c r="H32" s="163"/>
      <c r="J32" s="164" t="s">
        <v>83</v>
      </c>
      <c r="K32" s="61">
        <f>+('5-10 TCI ULSD EU1-2'!C13+G13*2472*672/0.13)/422.3</f>
        <v>6964.3784580811534</v>
      </c>
    </row>
    <row r="33" spans="2:11" ht="20.25" thickBot="1" x14ac:dyDescent="0.4">
      <c r="B33" s="99" t="s">
        <v>148</v>
      </c>
      <c r="C33" s="100"/>
      <c r="D33" s="101"/>
      <c r="E33" s="101"/>
      <c r="F33" s="101"/>
      <c r="G33" s="101"/>
      <c r="H33" s="102"/>
      <c r="I33" s="101"/>
      <c r="J33" s="103" t="s">
        <v>83</v>
      </c>
      <c r="K33" s="104">
        <f>+K32*6</f>
        <v>41786.270748486917</v>
      </c>
    </row>
    <row r="34" spans="2:11" ht="15.75" thickTop="1" x14ac:dyDescent="0.25"/>
    <row r="35" spans="2:11" ht="15.75" thickBot="1" x14ac:dyDescent="0.3"/>
    <row r="36" spans="2:11" x14ac:dyDescent="0.25">
      <c r="D36" s="105" t="s">
        <v>84</v>
      </c>
      <c r="E36" s="52"/>
      <c r="F36" s="106"/>
      <c r="G36" s="107"/>
    </row>
    <row r="37" spans="2:11" x14ac:dyDescent="0.25">
      <c r="D37" s="108" t="s">
        <v>85</v>
      </c>
      <c r="E37" s="109">
        <v>8.5</v>
      </c>
      <c r="F37" s="110" t="s">
        <v>52</v>
      </c>
    </row>
    <row r="38" spans="2:11" ht="15.75" thickBot="1" x14ac:dyDescent="0.3">
      <c r="D38" s="111" t="s">
        <v>86</v>
      </c>
      <c r="E38" s="112">
        <v>30</v>
      </c>
      <c r="F38" s="113" t="s">
        <v>87</v>
      </c>
    </row>
    <row r="40" spans="2:11" ht="36" customHeight="1" x14ac:dyDescent="0.25">
      <c r="B40" s="212">
        <v>1</v>
      </c>
      <c r="C40" s="315" t="s">
        <v>164</v>
      </c>
      <c r="D40" s="315"/>
      <c r="E40" s="315"/>
      <c r="F40" s="315"/>
      <c r="G40" s="315"/>
      <c r="H40" s="315"/>
      <c r="I40" s="315"/>
      <c r="J40" s="315"/>
      <c r="K40" s="315"/>
    </row>
    <row r="41" spans="2:11" ht="39" customHeight="1" x14ac:dyDescent="0.25">
      <c r="B41" s="212">
        <v>2</v>
      </c>
      <c r="C41" s="315" t="s">
        <v>154</v>
      </c>
      <c r="D41" s="315"/>
      <c r="E41" s="315"/>
      <c r="F41" s="315"/>
      <c r="G41" s="315"/>
      <c r="H41" s="315"/>
      <c r="I41" s="315"/>
      <c r="J41" s="315"/>
      <c r="K41" s="315"/>
    </row>
  </sheetData>
  <sheetProtection algorithmName="SHA-512" hashValue="AkJHazT4SXCRSMJXPAdMv9pmvpmMP1g3/SGhkWRSkkCgLXiZgaC+QYcLy7uRCmlasPTPw/5IOHD38CHGuCxVMg==" saltValue="3t1YM3jgETdRCXJE73/Xtg==" spinCount="100000" sheet="1" objects="1" scenarios="1"/>
  <mergeCells count="7">
    <mergeCell ref="C41:K41"/>
    <mergeCell ref="B1:K1"/>
    <mergeCell ref="B2:K2"/>
    <mergeCell ref="I3:K3"/>
    <mergeCell ref="B7:K7"/>
    <mergeCell ref="B27:K27"/>
    <mergeCell ref="C40:K40"/>
  </mergeCells>
  <printOptions horizontalCentered="1"/>
  <pageMargins left="0.7" right="0.7" top="0.75" bottom="0.75" header="0.3" footer="0.3"/>
  <pageSetup scale="51" firstPageNumber="95" orientation="portrait" useFirstPageNumber="1" r:id="rId1"/>
  <headerFooter>
    <oddFooter>&amp;L&amp;"Arial,Regular"&amp;8GVEA North Pole Facility
PM&amp;Y2.5&amp;Y Serious NAA BACT Analysis&amp;C&amp;"Arial,Regular"&amp;8Page 104&amp;R&amp;"Arial,Regular"&amp;8August 2017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7" tint="0.79998168889431442"/>
    <pageSetUpPr fitToPage="1"/>
  </sheetPr>
  <dimension ref="B1:L41"/>
  <sheetViews>
    <sheetView topLeftCell="D7" zoomScale="90" zoomScaleNormal="90" workbookViewId="0">
      <selection activeCell="E13" sqref="E13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90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91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I3" s="318" t="s">
        <v>38</v>
      </c>
      <c r="J3" s="319"/>
      <c r="K3" s="320"/>
    </row>
    <row r="4" spans="2:11" ht="18" x14ac:dyDescent="0.35">
      <c r="B4" s="42" t="s">
        <v>39</v>
      </c>
      <c r="D4" s="43" t="s">
        <v>104</v>
      </c>
      <c r="J4" s="44" t="s">
        <v>40</v>
      </c>
      <c r="K4" s="45"/>
    </row>
    <row r="5" spans="2:11" x14ac:dyDescent="0.25">
      <c r="B5" s="42"/>
      <c r="J5" s="44" t="s">
        <v>41</v>
      </c>
      <c r="K5" s="45"/>
    </row>
    <row r="6" spans="2:11" ht="15.75" thickBot="1" x14ac:dyDescent="0.3">
      <c r="B6" s="46"/>
      <c r="C6" s="47"/>
      <c r="D6" s="47"/>
      <c r="E6" s="47"/>
      <c r="F6" s="47"/>
      <c r="G6" s="47"/>
      <c r="H6" s="47"/>
      <c r="I6" s="47"/>
      <c r="J6" s="48" t="s">
        <v>42</v>
      </c>
      <c r="K6" s="49"/>
    </row>
    <row r="7" spans="2:11" ht="16.5" thickBot="1" x14ac:dyDescent="0.3">
      <c r="B7" s="321" t="s">
        <v>43</v>
      </c>
      <c r="C7" s="322"/>
      <c r="D7" s="322"/>
      <c r="E7" s="322"/>
      <c r="F7" s="322"/>
      <c r="G7" s="322"/>
      <c r="H7" s="322"/>
      <c r="I7" s="322"/>
      <c r="J7" s="322"/>
      <c r="K7" s="323"/>
    </row>
    <row r="8" spans="2:11" ht="15.75" x14ac:dyDescent="0.25">
      <c r="B8" s="50" t="s">
        <v>44</v>
      </c>
      <c r="C8" s="51"/>
      <c r="D8" s="52"/>
      <c r="E8" s="53" t="s">
        <v>45</v>
      </c>
      <c r="F8" s="53" t="s">
        <v>46</v>
      </c>
      <c r="G8" s="54"/>
      <c r="H8" s="53" t="s">
        <v>47</v>
      </c>
      <c r="I8" s="53" t="s">
        <v>48</v>
      </c>
      <c r="J8" s="52"/>
      <c r="K8" s="55" t="s">
        <v>49</v>
      </c>
    </row>
    <row r="9" spans="2:11" x14ac:dyDescent="0.25">
      <c r="B9" s="56" t="s">
        <v>50</v>
      </c>
      <c r="C9" t="s">
        <v>51</v>
      </c>
      <c r="E9" s="57"/>
      <c r="F9" s="58" t="s">
        <v>52</v>
      </c>
      <c r="G9" s="58"/>
      <c r="H9" s="59"/>
      <c r="I9" s="59">
        <f>'[2]Total Capital Investment'!K44*E9/E38</f>
        <v>0</v>
      </c>
      <c r="J9" s="60"/>
      <c r="K9" s="61">
        <f>I9</f>
        <v>0</v>
      </c>
    </row>
    <row r="10" spans="2:11" x14ac:dyDescent="0.25">
      <c r="B10" s="56" t="s">
        <v>53</v>
      </c>
      <c r="C10" t="s">
        <v>54</v>
      </c>
      <c r="E10" s="57"/>
      <c r="F10" s="58" t="s">
        <v>52</v>
      </c>
      <c r="G10" s="58"/>
      <c r="H10" s="59"/>
      <c r="I10" s="59">
        <f>E10*'[2]Total Capital Investment'!K47/10</f>
        <v>0</v>
      </c>
      <c r="J10" s="60"/>
      <c r="K10" s="61">
        <f t="shared" ref="K10" si="0">I10</f>
        <v>0</v>
      </c>
    </row>
    <row r="11" spans="2:11" x14ac:dyDescent="0.25">
      <c r="B11" s="56" t="s">
        <v>55</v>
      </c>
      <c r="C11" t="s">
        <v>56</v>
      </c>
      <c r="E11" s="62"/>
      <c r="F11" s="58" t="s">
        <v>57</v>
      </c>
      <c r="G11" s="62"/>
      <c r="H11" s="63" t="s">
        <v>58</v>
      </c>
      <c r="I11" s="59"/>
      <c r="J11" s="60"/>
      <c r="K11" s="61"/>
    </row>
    <row r="12" spans="2:11" x14ac:dyDescent="0.25">
      <c r="B12" s="56" t="s">
        <v>59</v>
      </c>
      <c r="C12" t="s">
        <v>60</v>
      </c>
      <c r="E12" s="58"/>
      <c r="F12" s="58"/>
      <c r="G12" s="59"/>
      <c r="H12" s="59"/>
      <c r="I12" s="59"/>
      <c r="J12" s="60"/>
      <c r="K12" s="61"/>
    </row>
    <row r="13" spans="2:11" x14ac:dyDescent="0.25">
      <c r="B13" s="42"/>
      <c r="C13" t="s">
        <v>61</v>
      </c>
      <c r="D13" t="s">
        <v>62</v>
      </c>
      <c r="E13" s="114">
        <v>41312492.310000002</v>
      </c>
      <c r="F13" s="58" t="s">
        <v>63</v>
      </c>
      <c r="G13" s="62">
        <v>0.42399999999999999</v>
      </c>
      <c r="H13" s="59">
        <f>E13*G13</f>
        <v>17516496.739440002</v>
      </c>
      <c r="I13" s="59"/>
      <c r="J13" s="60"/>
      <c r="K13" s="61">
        <f>H13</f>
        <v>17516496.739440002</v>
      </c>
    </row>
    <row r="14" spans="2:11" x14ac:dyDescent="0.25">
      <c r="B14" s="64"/>
      <c r="C14" s="65"/>
      <c r="E14" s="66"/>
      <c r="F14" s="44"/>
      <c r="G14" s="60"/>
      <c r="H14" s="59"/>
      <c r="I14" s="67"/>
      <c r="J14" s="59"/>
      <c r="K14" s="61"/>
    </row>
    <row r="15" spans="2:11" x14ac:dyDescent="0.25">
      <c r="B15" s="68" t="s">
        <v>64</v>
      </c>
      <c r="C15" s="69"/>
      <c r="D15" s="70"/>
      <c r="E15" s="71"/>
      <c r="F15" s="72"/>
      <c r="G15" s="73"/>
      <c r="H15" s="74"/>
      <c r="I15" s="75"/>
      <c r="J15" s="76" t="s">
        <v>65</v>
      </c>
      <c r="K15" s="77">
        <f>SUM(K9:K13)</f>
        <v>17516496.739440002</v>
      </c>
    </row>
    <row r="16" spans="2:11" x14ac:dyDescent="0.25">
      <c r="B16" s="42"/>
      <c r="C16" s="65"/>
      <c r="E16" s="58"/>
      <c r="G16" s="59"/>
      <c r="H16" s="59"/>
      <c r="I16" s="67"/>
      <c r="J16" s="78"/>
      <c r="K16" s="61"/>
    </row>
    <row r="17" spans="2:12" ht="15.75" x14ac:dyDescent="0.25">
      <c r="B17" s="79" t="s">
        <v>66</v>
      </c>
      <c r="C17" s="80"/>
      <c r="D17" s="81"/>
      <c r="E17" s="58"/>
      <c r="F17" s="58"/>
      <c r="G17" s="59"/>
      <c r="H17" s="59"/>
      <c r="I17" s="59"/>
      <c r="J17" s="59"/>
      <c r="K17" s="61"/>
    </row>
    <row r="18" spans="2:12" x14ac:dyDescent="0.25">
      <c r="B18" s="56" t="s">
        <v>67</v>
      </c>
      <c r="C18" t="s">
        <v>68</v>
      </c>
      <c r="E18" s="62"/>
      <c r="F18" s="58" t="s">
        <v>52</v>
      </c>
      <c r="G18" s="58"/>
      <c r="H18" s="63" t="s">
        <v>58</v>
      </c>
      <c r="I18" s="59">
        <f>E18*G18</f>
        <v>0</v>
      </c>
      <c r="J18" s="60"/>
      <c r="K18" s="61">
        <f>I18</f>
        <v>0</v>
      </c>
    </row>
    <row r="19" spans="2:12" x14ac:dyDescent="0.25">
      <c r="B19" s="56" t="s">
        <v>69</v>
      </c>
      <c r="C19" t="s">
        <v>70</v>
      </c>
      <c r="E19" s="82"/>
      <c r="F19" s="58" t="s">
        <v>71</v>
      </c>
      <c r="G19" s="58"/>
      <c r="H19" s="63"/>
      <c r="I19" s="59">
        <f>E19*'[2]Total Capital Investment'!K62</f>
        <v>0</v>
      </c>
      <c r="J19" s="60"/>
      <c r="K19" s="61">
        <f>I19</f>
        <v>0</v>
      </c>
    </row>
    <row r="20" spans="2:12" x14ac:dyDescent="0.25">
      <c r="B20" s="56"/>
      <c r="C20" t="s">
        <v>72</v>
      </c>
      <c r="E20" s="66">
        <f>($E$37/100*POWER((1+($E$37/100)),$E$38))/((POWER(((1+$E$37/100)),$E$38))-1)</f>
        <v>9.3050575311267647E-2</v>
      </c>
      <c r="F20" s="58"/>
      <c r="G20" s="59"/>
      <c r="H20" s="59"/>
      <c r="I20" s="59"/>
      <c r="J20" s="60"/>
      <c r="K20" s="83"/>
      <c r="L20" s="84"/>
    </row>
    <row r="21" spans="2:12" x14ac:dyDescent="0.25">
      <c r="B21" s="56" t="s">
        <v>73</v>
      </c>
      <c r="C21" t="s">
        <v>74</v>
      </c>
      <c r="G21" s="59"/>
      <c r="H21" s="85"/>
      <c r="I21" s="59"/>
      <c r="J21" s="86" t="s">
        <v>75</v>
      </c>
      <c r="K21" s="61">
        <f>E20*'[2]Total Capital Investment'!K62</f>
        <v>0</v>
      </c>
      <c r="L21" s="84"/>
    </row>
    <row r="22" spans="2:12" x14ac:dyDescent="0.25">
      <c r="B22" s="42"/>
      <c r="E22" s="58"/>
      <c r="G22" s="59"/>
      <c r="H22" s="59"/>
      <c r="I22" s="59"/>
      <c r="J22" s="59"/>
      <c r="K22" s="61"/>
    </row>
    <row r="23" spans="2:12" x14ac:dyDescent="0.25">
      <c r="B23" s="68" t="s">
        <v>146</v>
      </c>
      <c r="C23" s="69"/>
      <c r="D23" s="87"/>
      <c r="E23" s="88"/>
      <c r="F23" s="72"/>
      <c r="G23" s="75"/>
      <c r="H23" s="74"/>
      <c r="I23" s="75"/>
      <c r="J23" s="76" t="s">
        <v>77</v>
      </c>
      <c r="K23" s="77">
        <f>'5-10 TCI ULSD EU1-2'!B13</f>
        <v>1446967.4694596031</v>
      </c>
    </row>
    <row r="24" spans="2:12" x14ac:dyDescent="0.25">
      <c r="B24" s="89"/>
      <c r="C24" s="90"/>
      <c r="E24" s="58"/>
      <c r="G24" s="59"/>
      <c r="H24" s="59"/>
      <c r="I24" s="59"/>
      <c r="J24" s="59"/>
      <c r="K24" s="61"/>
    </row>
    <row r="25" spans="2:12" ht="15.75" x14ac:dyDescent="0.25">
      <c r="B25" s="91" t="s">
        <v>78</v>
      </c>
      <c r="C25" s="92"/>
      <c r="D25" s="93"/>
      <c r="E25" s="94"/>
      <c r="F25" s="93"/>
      <c r="G25" s="74"/>
      <c r="H25" s="95"/>
      <c r="I25" s="74"/>
      <c r="J25" s="76" t="s">
        <v>79</v>
      </c>
      <c r="K25" s="77">
        <f>K15+K23</f>
        <v>18963464.208899606</v>
      </c>
    </row>
    <row r="26" spans="2:12" ht="15.75" thickBot="1" x14ac:dyDescent="0.3">
      <c r="B26" s="42"/>
      <c r="E26" s="58"/>
      <c r="K26" s="96"/>
    </row>
    <row r="27" spans="2:12" ht="16.5" thickBot="1" x14ac:dyDescent="0.3">
      <c r="B27" s="324" t="s">
        <v>80</v>
      </c>
      <c r="C27" s="325"/>
      <c r="D27" s="325"/>
      <c r="E27" s="325"/>
      <c r="F27" s="325"/>
      <c r="G27" s="325"/>
      <c r="H27" s="325"/>
      <c r="I27" s="325"/>
      <c r="J27" s="325"/>
      <c r="K27" s="326"/>
    </row>
    <row r="28" spans="2:12" x14ac:dyDescent="0.25">
      <c r="B28" s="42"/>
      <c r="K28" s="96"/>
    </row>
    <row r="29" spans="2:12" ht="18.75" x14ac:dyDescent="0.35">
      <c r="B29" s="97" t="s">
        <v>121</v>
      </c>
      <c r="C29" s="80"/>
      <c r="J29" s="98" t="s">
        <v>81</v>
      </c>
      <c r="K29" s="244">
        <f>'5-3 Ranking-SO2'!F8</f>
        <v>1352.0317</v>
      </c>
    </row>
    <row r="30" spans="2:12" x14ac:dyDescent="0.25">
      <c r="B30" s="42"/>
      <c r="K30" s="96"/>
    </row>
    <row r="31" spans="2:12" ht="15.75" x14ac:dyDescent="0.25">
      <c r="B31" s="97" t="s">
        <v>147</v>
      </c>
      <c r="C31" s="80"/>
      <c r="H31" s="163"/>
      <c r="J31" s="164" t="s">
        <v>83</v>
      </c>
      <c r="K31" s="61">
        <f>K25/K29</f>
        <v>14025.902061985385</v>
      </c>
    </row>
    <row r="32" spans="2:12" ht="18" x14ac:dyDescent="0.25">
      <c r="B32" s="97" t="s">
        <v>151</v>
      </c>
      <c r="C32" s="80"/>
      <c r="H32" s="163"/>
      <c r="J32" s="164" t="s">
        <v>83</v>
      </c>
      <c r="K32" s="61">
        <f>+('5-10 TCI ULSD EU1-2'!C13+G13*2472*672/0.13)/422.3</f>
        <v>14196.258383034248</v>
      </c>
    </row>
    <row r="33" spans="2:11" ht="20.25" thickBot="1" x14ac:dyDescent="0.4">
      <c r="B33" s="99" t="s">
        <v>148</v>
      </c>
      <c r="C33" s="100"/>
      <c r="D33" s="101"/>
      <c r="E33" s="101"/>
      <c r="F33" s="101"/>
      <c r="G33" s="101"/>
      <c r="H33" s="102"/>
      <c r="I33" s="101"/>
      <c r="J33" s="103" t="s">
        <v>83</v>
      </c>
      <c r="K33" s="104">
        <f>+K32*6</f>
        <v>85177.55029820549</v>
      </c>
    </row>
    <row r="34" spans="2:11" ht="15.75" thickTop="1" x14ac:dyDescent="0.25"/>
    <row r="35" spans="2:11" ht="15.75" thickBot="1" x14ac:dyDescent="0.3"/>
    <row r="36" spans="2:11" x14ac:dyDescent="0.25">
      <c r="D36" s="105" t="s">
        <v>84</v>
      </c>
      <c r="E36" s="52"/>
      <c r="F36" s="106"/>
      <c r="G36" s="107"/>
    </row>
    <row r="37" spans="2:11" x14ac:dyDescent="0.25">
      <c r="D37" s="108" t="s">
        <v>85</v>
      </c>
      <c r="E37" s="109">
        <v>8.5</v>
      </c>
      <c r="F37" s="110" t="s">
        <v>52</v>
      </c>
    </row>
    <row r="38" spans="2:11" ht="15.75" thickBot="1" x14ac:dyDescent="0.3">
      <c r="D38" s="111" t="s">
        <v>86</v>
      </c>
      <c r="E38" s="112">
        <v>30</v>
      </c>
      <c r="F38" s="113" t="s">
        <v>87</v>
      </c>
    </row>
    <row r="40" spans="2:11" ht="36" customHeight="1" x14ac:dyDescent="0.25">
      <c r="B40" s="212">
        <v>1</v>
      </c>
      <c r="C40" s="315" t="s">
        <v>164</v>
      </c>
      <c r="D40" s="315"/>
      <c r="E40" s="315"/>
      <c r="F40" s="315"/>
      <c r="G40" s="315"/>
      <c r="H40" s="315"/>
      <c r="I40" s="315"/>
      <c r="J40" s="315"/>
      <c r="K40" s="315"/>
    </row>
    <row r="41" spans="2:11" ht="39" customHeight="1" x14ac:dyDescent="0.25">
      <c r="B41" s="212">
        <v>2</v>
      </c>
      <c r="C41" s="315" t="s">
        <v>154</v>
      </c>
      <c r="D41" s="315"/>
      <c r="E41" s="315"/>
      <c r="F41" s="315"/>
      <c r="G41" s="315"/>
      <c r="H41" s="315"/>
      <c r="I41" s="315"/>
      <c r="J41" s="315"/>
      <c r="K41" s="315"/>
    </row>
  </sheetData>
  <sheetProtection algorithmName="SHA-512" hashValue="uCrOS6jKk+b8MWQL8ZQ4aRO5qhfDZ27VHBdHYm8smXzc4GMcCmrhMplYPEzPvLd1GE2DjnTdXqsc9hgF4TbR3Q==" saltValue="aeql5fTlM0bK3hU65vi0cg==" spinCount="100000" sheet="1" objects="1" scenarios="1"/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1" firstPageNumber="95" orientation="portrait" useFirstPageNumber="1" r:id="rId1"/>
  <headerFooter>
    <oddFooter>&amp;L&amp;"Arial,Regular"&amp;8GVEA North Pole Facility
PM&amp;Y2.5&amp;Y Serious NAA BACT Analysis&amp;C&amp;"Arial,Regular"&amp;8Page 104&amp;R&amp;"Arial,Regular"&amp;8August 2017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CD73-3535-46FD-AF36-07D04A135FFF}">
  <sheetPr codeName="Sheet8">
    <pageSetUpPr fitToPage="1"/>
  </sheetPr>
  <dimension ref="B1:L37"/>
  <sheetViews>
    <sheetView showWhiteSpace="0" zoomScale="80" zoomScaleNormal="80" zoomScalePageLayoutView="70" workbookViewId="0">
      <selection activeCell="N19" sqref="N19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92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118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2:11" ht="15.75" thickBot="1" x14ac:dyDescent="0.3">
      <c r="I4" s="318" t="s">
        <v>38</v>
      </c>
      <c r="J4" s="319"/>
      <c r="K4" s="320"/>
    </row>
    <row r="5" spans="2:11" ht="18.75" thickTop="1" x14ac:dyDescent="0.35">
      <c r="B5" s="215" t="s">
        <v>39</v>
      </c>
      <c r="C5" s="216"/>
      <c r="D5" s="217" t="s">
        <v>117</v>
      </c>
      <c r="E5" s="216"/>
      <c r="F5" s="216"/>
      <c r="G5" s="216"/>
      <c r="H5" s="216"/>
      <c r="I5" s="216"/>
      <c r="J5" s="218" t="s">
        <v>40</v>
      </c>
      <c r="K5" s="219"/>
    </row>
    <row r="6" spans="2:11" x14ac:dyDescent="0.25">
      <c r="B6" s="42"/>
      <c r="J6" s="44" t="s">
        <v>41</v>
      </c>
      <c r="K6" s="45"/>
    </row>
    <row r="7" spans="2:11" ht="15.75" thickBot="1" x14ac:dyDescent="0.3">
      <c r="B7" s="46"/>
      <c r="C7" s="47"/>
      <c r="D7" s="47"/>
      <c r="E7" s="47"/>
      <c r="F7" s="47"/>
      <c r="G7" s="47"/>
      <c r="H7" s="47"/>
      <c r="I7" s="47"/>
      <c r="J7" s="48" t="s">
        <v>42</v>
      </c>
      <c r="K7" s="49"/>
    </row>
    <row r="8" spans="2:11" ht="16.5" thickBot="1" x14ac:dyDescent="0.3">
      <c r="B8" s="321" t="s">
        <v>43</v>
      </c>
      <c r="C8" s="322"/>
      <c r="D8" s="322"/>
      <c r="E8" s="322"/>
      <c r="F8" s="322"/>
      <c r="G8" s="322"/>
      <c r="H8" s="322"/>
      <c r="I8" s="322"/>
      <c r="J8" s="322"/>
      <c r="K8" s="323"/>
    </row>
    <row r="9" spans="2:11" ht="15.75" x14ac:dyDescent="0.25">
      <c r="B9" s="50" t="s">
        <v>44</v>
      </c>
      <c r="C9" s="51"/>
      <c r="D9" s="52"/>
      <c r="E9" s="53" t="s">
        <v>45</v>
      </c>
      <c r="F9" s="53" t="s">
        <v>46</v>
      </c>
      <c r="G9" s="54"/>
      <c r="H9" s="53" t="s">
        <v>47</v>
      </c>
      <c r="I9" s="53" t="s">
        <v>48</v>
      </c>
      <c r="J9" s="52"/>
      <c r="K9" s="55" t="s">
        <v>49</v>
      </c>
    </row>
    <row r="10" spans="2:11" x14ac:dyDescent="0.25">
      <c r="B10" s="56" t="s">
        <v>50</v>
      </c>
      <c r="C10" t="s">
        <v>51</v>
      </c>
      <c r="E10" s="57"/>
      <c r="F10" s="58" t="s">
        <v>52</v>
      </c>
      <c r="G10" s="58"/>
      <c r="H10" s="59"/>
      <c r="I10" s="59">
        <f>'[2]Total Capital Investment'!K44*E10/E37</f>
        <v>0</v>
      </c>
      <c r="J10" s="60"/>
      <c r="K10" s="61">
        <f>I10</f>
        <v>0</v>
      </c>
    </row>
    <row r="11" spans="2:11" x14ac:dyDescent="0.25">
      <c r="B11" s="56" t="s">
        <v>53</v>
      </c>
      <c r="C11" t="s">
        <v>54</v>
      </c>
      <c r="E11" s="57"/>
      <c r="F11" s="58" t="s">
        <v>52</v>
      </c>
      <c r="G11" s="58"/>
      <c r="H11" s="59"/>
      <c r="I11" s="59">
        <f>E11*'[2]Total Capital Investment'!K47/10</f>
        <v>0</v>
      </c>
      <c r="J11" s="60"/>
      <c r="K11" s="61">
        <f t="shared" ref="K11" si="0">I11</f>
        <v>0</v>
      </c>
    </row>
    <row r="12" spans="2:11" x14ac:dyDescent="0.25">
      <c r="B12" s="56" t="s">
        <v>55</v>
      </c>
      <c r="C12" t="s">
        <v>56</v>
      </c>
      <c r="E12" s="62"/>
      <c r="F12" s="58" t="s">
        <v>57</v>
      </c>
      <c r="G12" s="62"/>
      <c r="H12" s="63" t="s">
        <v>58</v>
      </c>
      <c r="I12" s="59"/>
      <c r="J12" s="60"/>
      <c r="K12" s="61"/>
    </row>
    <row r="13" spans="2:11" x14ac:dyDescent="0.25">
      <c r="B13" s="56" t="s">
        <v>59</v>
      </c>
      <c r="C13" t="s">
        <v>60</v>
      </c>
      <c r="E13" s="58"/>
      <c r="F13" s="58"/>
      <c r="G13" s="59"/>
      <c r="H13" s="59"/>
      <c r="I13" s="59"/>
      <c r="J13" s="60"/>
      <c r="K13" s="61"/>
    </row>
    <row r="14" spans="2:11" x14ac:dyDescent="0.25">
      <c r="B14" s="42"/>
      <c r="C14" t="s">
        <v>61</v>
      </c>
      <c r="D14" t="s">
        <v>62</v>
      </c>
      <c r="E14" s="114">
        <f>455*8302/0.13</f>
        <v>29057000</v>
      </c>
      <c r="F14" s="58" t="s">
        <v>63</v>
      </c>
      <c r="G14" s="131">
        <v>0.58799999999999997</v>
      </c>
      <c r="H14" s="59">
        <f>E14*G14</f>
        <v>17085516</v>
      </c>
      <c r="I14" s="59"/>
      <c r="J14" s="60"/>
      <c r="K14" s="61">
        <f>H14</f>
        <v>17085516</v>
      </c>
    </row>
    <row r="15" spans="2:11" x14ac:dyDescent="0.25">
      <c r="B15" s="64"/>
      <c r="C15" s="65"/>
      <c r="E15" s="66"/>
      <c r="F15" s="44"/>
      <c r="G15" s="60"/>
      <c r="H15" s="59"/>
      <c r="I15" s="67"/>
      <c r="J15" s="59"/>
      <c r="K15" s="61"/>
    </row>
    <row r="16" spans="2:11" x14ac:dyDescent="0.25">
      <c r="B16" s="68" t="s">
        <v>64</v>
      </c>
      <c r="C16" s="69"/>
      <c r="D16" s="70"/>
      <c r="E16" s="71"/>
      <c r="F16" s="72"/>
      <c r="G16" s="73"/>
      <c r="H16" s="74"/>
      <c r="I16" s="75"/>
      <c r="J16" s="76" t="s">
        <v>65</v>
      </c>
      <c r="K16" s="77">
        <f>SUM(K10:K14)</f>
        <v>17085516</v>
      </c>
    </row>
    <row r="17" spans="2:12" x14ac:dyDescent="0.25">
      <c r="B17" s="42"/>
      <c r="C17" s="65"/>
      <c r="E17" s="58"/>
      <c r="G17" s="59"/>
      <c r="H17" s="59"/>
      <c r="I17" s="67"/>
      <c r="J17" s="78"/>
      <c r="K17" s="61"/>
    </row>
    <row r="18" spans="2:12" ht="15.75" x14ac:dyDescent="0.25">
      <c r="B18" s="79" t="s">
        <v>66</v>
      </c>
      <c r="C18" s="80"/>
      <c r="D18" s="81"/>
      <c r="E18" s="58"/>
      <c r="F18" s="58"/>
      <c r="G18" s="59"/>
      <c r="H18" s="59"/>
      <c r="I18" s="59"/>
      <c r="J18" s="59"/>
      <c r="K18" s="61"/>
    </row>
    <row r="19" spans="2:12" x14ac:dyDescent="0.25">
      <c r="B19" s="56" t="s">
        <v>67</v>
      </c>
      <c r="C19" t="s">
        <v>68</v>
      </c>
      <c r="E19" s="62"/>
      <c r="F19" s="58" t="s">
        <v>52</v>
      </c>
      <c r="G19" s="58"/>
      <c r="H19" s="63" t="s">
        <v>58</v>
      </c>
      <c r="I19" s="59">
        <f>E19*G19</f>
        <v>0</v>
      </c>
      <c r="J19" s="60"/>
      <c r="K19" s="61">
        <f>I19</f>
        <v>0</v>
      </c>
    </row>
    <row r="20" spans="2:12" x14ac:dyDescent="0.25">
      <c r="B20" s="56" t="s">
        <v>69</v>
      </c>
      <c r="C20" t="s">
        <v>70</v>
      </c>
      <c r="E20" s="82"/>
      <c r="F20" s="58" t="s">
        <v>71</v>
      </c>
      <c r="G20" s="58"/>
      <c r="H20" s="63"/>
      <c r="I20" s="59">
        <f>E20*'[2]Total Capital Investment'!K62</f>
        <v>0</v>
      </c>
      <c r="J20" s="60"/>
      <c r="K20" s="61">
        <f>I20</f>
        <v>0</v>
      </c>
    </row>
    <row r="21" spans="2:12" x14ac:dyDescent="0.25">
      <c r="B21" s="56"/>
      <c r="C21" t="s">
        <v>72</v>
      </c>
      <c r="E21" s="66">
        <f>($E$36/100*POWER((1+($E$36/100)),$E$37))/((POWER(((1+$E$36/100)),$E$37))-1)</f>
        <v>9.3050575311267647E-2</v>
      </c>
      <c r="F21" s="58"/>
      <c r="G21" s="59"/>
      <c r="H21" s="59"/>
      <c r="I21" s="59"/>
      <c r="J21" s="60"/>
      <c r="K21" s="83"/>
      <c r="L21" s="84"/>
    </row>
    <row r="22" spans="2:12" x14ac:dyDescent="0.25">
      <c r="B22" s="56" t="s">
        <v>73</v>
      </c>
      <c r="C22" t="s">
        <v>74</v>
      </c>
      <c r="G22" s="59"/>
      <c r="H22" s="85"/>
      <c r="I22" s="59"/>
      <c r="J22" s="86" t="s">
        <v>75</v>
      </c>
      <c r="K22" s="61">
        <f>E21*'[2]Total Capital Investment'!K62</f>
        <v>0</v>
      </c>
      <c r="L22" s="84"/>
    </row>
    <row r="23" spans="2:12" x14ac:dyDescent="0.25">
      <c r="B23" s="42"/>
      <c r="E23" s="58"/>
      <c r="G23" s="59"/>
      <c r="H23" s="59"/>
      <c r="I23" s="59"/>
      <c r="J23" s="59"/>
      <c r="K23" s="61"/>
    </row>
    <row r="24" spans="2:12" x14ac:dyDescent="0.25">
      <c r="B24" s="68" t="s">
        <v>76</v>
      </c>
      <c r="C24" s="69"/>
      <c r="D24" s="87"/>
      <c r="E24" s="88"/>
      <c r="F24" s="72"/>
      <c r="G24" s="75"/>
      <c r="H24" s="74"/>
      <c r="I24" s="75"/>
      <c r="J24" s="76" t="s">
        <v>77</v>
      </c>
      <c r="K24" s="77">
        <f>SUM(K19:K22)</f>
        <v>0</v>
      </c>
    </row>
    <row r="25" spans="2:12" x14ac:dyDescent="0.25">
      <c r="B25" s="89"/>
      <c r="C25" s="90"/>
      <c r="E25" s="58"/>
      <c r="G25" s="59"/>
      <c r="H25" s="59"/>
      <c r="I25" s="59"/>
      <c r="J25" s="59"/>
      <c r="K25" s="61"/>
    </row>
    <row r="26" spans="2:12" ht="15.75" x14ac:dyDescent="0.25">
      <c r="B26" s="91" t="s">
        <v>78</v>
      </c>
      <c r="C26" s="92"/>
      <c r="D26" s="93"/>
      <c r="E26" s="94"/>
      <c r="F26" s="93"/>
      <c r="G26" s="74"/>
      <c r="H26" s="95"/>
      <c r="I26" s="74"/>
      <c r="J26" s="76" t="s">
        <v>79</v>
      </c>
      <c r="K26" s="77">
        <f>K16+K24</f>
        <v>17085516</v>
      </c>
    </row>
    <row r="27" spans="2:12" ht="15.75" thickBot="1" x14ac:dyDescent="0.3">
      <c r="B27" s="42"/>
      <c r="E27" s="58"/>
      <c r="K27" s="96"/>
    </row>
    <row r="28" spans="2:12" ht="16.5" thickBot="1" x14ac:dyDescent="0.3">
      <c r="B28" s="324" t="s">
        <v>80</v>
      </c>
      <c r="C28" s="325"/>
      <c r="D28" s="325"/>
      <c r="E28" s="325"/>
      <c r="F28" s="325"/>
      <c r="G28" s="325"/>
      <c r="H28" s="325"/>
      <c r="I28" s="325"/>
      <c r="J28" s="325"/>
      <c r="K28" s="326"/>
    </row>
    <row r="29" spans="2:12" x14ac:dyDescent="0.25">
      <c r="B29" s="42"/>
      <c r="K29" s="96"/>
    </row>
    <row r="30" spans="2:12" ht="18.75" x14ac:dyDescent="0.35">
      <c r="B30" s="97" t="s">
        <v>121</v>
      </c>
      <c r="C30" s="80"/>
      <c r="J30" s="98" t="s">
        <v>81</v>
      </c>
      <c r="K30" s="149">
        <f>'5-3 Ranking-SO2'!F11-'5-3 Ranking-SO2'!F13</f>
        <v>6.6765721749999978</v>
      </c>
    </row>
    <row r="31" spans="2:12" x14ac:dyDescent="0.25">
      <c r="B31" s="42"/>
      <c r="K31" s="96"/>
    </row>
    <row r="32" spans="2:12" ht="16.5" thickBot="1" x14ac:dyDescent="0.3">
      <c r="B32" s="99" t="s">
        <v>82</v>
      </c>
      <c r="C32" s="100"/>
      <c r="D32" s="101"/>
      <c r="E32" s="101"/>
      <c r="F32" s="101"/>
      <c r="G32" s="101"/>
      <c r="H32" s="102"/>
      <c r="I32" s="101"/>
      <c r="J32" s="103" t="s">
        <v>83</v>
      </c>
      <c r="K32" s="104">
        <f>K26/K30</f>
        <v>2559025.1332825599</v>
      </c>
    </row>
    <row r="33" spans="4:7" ht="15.75" thickTop="1" x14ac:dyDescent="0.25"/>
    <row r="34" spans="4:7" ht="15.75" thickBot="1" x14ac:dyDescent="0.3"/>
    <row r="35" spans="4:7" x14ac:dyDescent="0.25">
      <c r="D35" s="105" t="s">
        <v>84</v>
      </c>
      <c r="E35" s="52"/>
      <c r="F35" s="106"/>
      <c r="G35" s="107"/>
    </row>
    <row r="36" spans="4:7" x14ac:dyDescent="0.25">
      <c r="D36" s="108" t="s">
        <v>85</v>
      </c>
      <c r="E36" s="109">
        <v>8.5</v>
      </c>
      <c r="F36" s="110" t="s">
        <v>52</v>
      </c>
    </row>
    <row r="37" spans="4:7" ht="15.75" thickBot="1" x14ac:dyDescent="0.3">
      <c r="D37" s="111" t="s">
        <v>86</v>
      </c>
      <c r="E37" s="112">
        <v>30</v>
      </c>
      <c r="F37" s="113" t="s">
        <v>87</v>
      </c>
    </row>
  </sheetData>
  <sheetProtection algorithmName="SHA-512" hashValue="Ok35sa40jg/3Cp146aseezEAXMolj7XV9eQAZMNWVySU225JBaVgOruLVQTltBZkgxxKd9BFlffGfpq8WaNJog==" saltValue="OU1R3SAM4941QLuSHQoZwA==" spinCount="100000" sheet="1" objects="1" scenarios="1"/>
  <mergeCells count="5">
    <mergeCell ref="B1:K1"/>
    <mergeCell ref="B2:K2"/>
    <mergeCell ref="I4:K4"/>
    <mergeCell ref="B8:K8"/>
    <mergeCell ref="B28:K28"/>
  </mergeCells>
  <pageMargins left="0.7" right="0.7" top="0.75" bottom="0.75" header="0.3" footer="0.3"/>
  <pageSetup scale="52" firstPageNumber="96" fitToHeight="0" orientation="portrait" useFirstPageNumber="1" r:id="rId1"/>
  <headerFooter>
    <oddFooter>&amp;LGVEA North Pole Facility
PM2.5 Serious NAA BACT Analysis&amp;CPage 105&amp;RAugust 2017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B1:L37"/>
  <sheetViews>
    <sheetView showWhiteSpace="0" zoomScale="80" zoomScaleNormal="80" zoomScalePageLayoutView="70" workbookViewId="0">
      <selection activeCell="G14" sqref="G14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6" t="s">
        <v>92</v>
      </c>
      <c r="C1" s="316"/>
      <c r="D1" s="316"/>
      <c r="E1" s="316"/>
      <c r="F1" s="316"/>
      <c r="G1" s="316"/>
      <c r="H1" s="316"/>
      <c r="I1" s="316"/>
      <c r="J1" s="316"/>
      <c r="K1" s="316"/>
    </row>
    <row r="2" spans="2:11" x14ac:dyDescent="0.25">
      <c r="B2" s="327" t="s">
        <v>118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2:11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2:11" ht="15.75" thickBot="1" x14ac:dyDescent="0.3">
      <c r="I4" s="318" t="s">
        <v>38</v>
      </c>
      <c r="J4" s="319"/>
      <c r="K4" s="320"/>
    </row>
    <row r="5" spans="2:11" ht="18.75" thickTop="1" x14ac:dyDescent="0.35">
      <c r="B5" s="215" t="s">
        <v>39</v>
      </c>
      <c r="C5" s="216"/>
      <c r="D5" s="217" t="s">
        <v>117</v>
      </c>
      <c r="E5" s="216"/>
      <c r="F5" s="216"/>
      <c r="G5" s="216"/>
      <c r="H5" s="216"/>
      <c r="I5" s="216"/>
      <c r="J5" s="218" t="s">
        <v>40</v>
      </c>
      <c r="K5" s="219"/>
    </row>
    <row r="6" spans="2:11" x14ac:dyDescent="0.25">
      <c r="B6" s="42"/>
      <c r="J6" s="44" t="s">
        <v>41</v>
      </c>
      <c r="K6" s="45"/>
    </row>
    <row r="7" spans="2:11" ht="15.75" thickBot="1" x14ac:dyDescent="0.3">
      <c r="B7" s="46"/>
      <c r="C7" s="47"/>
      <c r="D7" s="47"/>
      <c r="E7" s="47"/>
      <c r="F7" s="47"/>
      <c r="G7" s="47"/>
      <c r="H7" s="47"/>
      <c r="I7" s="47"/>
      <c r="J7" s="48" t="s">
        <v>42</v>
      </c>
      <c r="K7" s="49"/>
    </row>
    <row r="8" spans="2:11" ht="16.5" thickBot="1" x14ac:dyDescent="0.3">
      <c r="B8" s="321" t="s">
        <v>43</v>
      </c>
      <c r="C8" s="322"/>
      <c r="D8" s="322"/>
      <c r="E8" s="322"/>
      <c r="F8" s="322"/>
      <c r="G8" s="322"/>
      <c r="H8" s="322"/>
      <c r="I8" s="322"/>
      <c r="J8" s="322"/>
      <c r="K8" s="323"/>
    </row>
    <row r="9" spans="2:11" ht="15.75" x14ac:dyDescent="0.25">
      <c r="B9" s="50" t="s">
        <v>44</v>
      </c>
      <c r="C9" s="51"/>
      <c r="D9" s="52"/>
      <c r="E9" s="53" t="s">
        <v>45</v>
      </c>
      <c r="F9" s="53" t="s">
        <v>46</v>
      </c>
      <c r="G9" s="54"/>
      <c r="H9" s="53" t="s">
        <v>47</v>
      </c>
      <c r="I9" s="53" t="s">
        <v>48</v>
      </c>
      <c r="J9" s="52"/>
      <c r="K9" s="55" t="s">
        <v>49</v>
      </c>
    </row>
    <row r="10" spans="2:11" x14ac:dyDescent="0.25">
      <c r="B10" s="56" t="s">
        <v>50</v>
      </c>
      <c r="C10" t="s">
        <v>51</v>
      </c>
      <c r="E10" s="57"/>
      <c r="F10" s="58" t="s">
        <v>52</v>
      </c>
      <c r="G10" s="58"/>
      <c r="H10" s="59"/>
      <c r="I10" s="59">
        <f>'[2]Total Capital Investment'!K44*E10/E37</f>
        <v>0</v>
      </c>
      <c r="J10" s="60"/>
      <c r="K10" s="61">
        <f>I10</f>
        <v>0</v>
      </c>
    </row>
    <row r="11" spans="2:11" x14ac:dyDescent="0.25">
      <c r="B11" s="56" t="s">
        <v>53</v>
      </c>
      <c r="C11" t="s">
        <v>54</v>
      </c>
      <c r="E11" s="57"/>
      <c r="F11" s="58" t="s">
        <v>52</v>
      </c>
      <c r="G11" s="58"/>
      <c r="H11" s="59"/>
      <c r="I11" s="59">
        <f>E11*'[2]Total Capital Investment'!K47/10</f>
        <v>0</v>
      </c>
      <c r="J11" s="60"/>
      <c r="K11" s="61">
        <f t="shared" ref="K11" si="0">I11</f>
        <v>0</v>
      </c>
    </row>
    <row r="12" spans="2:11" x14ac:dyDescent="0.25">
      <c r="B12" s="56" t="s">
        <v>55</v>
      </c>
      <c r="C12" t="s">
        <v>56</v>
      </c>
      <c r="E12" s="62"/>
      <c r="F12" s="58" t="s">
        <v>57</v>
      </c>
      <c r="G12" s="62"/>
      <c r="H12" s="63" t="s">
        <v>58</v>
      </c>
      <c r="I12" s="59"/>
      <c r="J12" s="60"/>
      <c r="K12" s="61"/>
    </row>
    <row r="13" spans="2:11" x14ac:dyDescent="0.25">
      <c r="B13" s="56" t="s">
        <v>59</v>
      </c>
      <c r="C13" t="s">
        <v>60</v>
      </c>
      <c r="E13" s="58"/>
      <c r="F13" s="58"/>
      <c r="G13" s="59"/>
      <c r="H13" s="59"/>
      <c r="I13" s="59"/>
      <c r="J13" s="60"/>
      <c r="K13" s="61"/>
    </row>
    <row r="14" spans="2:11" x14ac:dyDescent="0.25">
      <c r="B14" s="42"/>
      <c r="C14" t="s">
        <v>61</v>
      </c>
      <c r="D14" t="s">
        <v>62</v>
      </c>
      <c r="E14" s="114">
        <f>455*8302/0.13</f>
        <v>29057000</v>
      </c>
      <c r="F14" s="58" t="s">
        <v>63</v>
      </c>
      <c r="G14" s="131">
        <v>1.117</v>
      </c>
      <c r="H14" s="59">
        <f>E14*G14</f>
        <v>32456669</v>
      </c>
      <c r="I14" s="59"/>
      <c r="J14" s="60"/>
      <c r="K14" s="61">
        <f>H14</f>
        <v>32456669</v>
      </c>
    </row>
    <row r="15" spans="2:11" x14ac:dyDescent="0.25">
      <c r="B15" s="64"/>
      <c r="C15" s="65"/>
      <c r="E15" s="66"/>
      <c r="F15" s="44"/>
      <c r="G15" s="60"/>
      <c r="H15" s="59"/>
      <c r="I15" s="67"/>
      <c r="J15" s="59"/>
      <c r="K15" s="61"/>
    </row>
    <row r="16" spans="2:11" x14ac:dyDescent="0.25">
      <c r="B16" s="68" t="s">
        <v>64</v>
      </c>
      <c r="C16" s="69"/>
      <c r="D16" s="70"/>
      <c r="E16" s="71"/>
      <c r="F16" s="72"/>
      <c r="G16" s="73"/>
      <c r="H16" s="74"/>
      <c r="I16" s="75"/>
      <c r="J16" s="76" t="s">
        <v>65</v>
      </c>
      <c r="K16" s="77">
        <f>SUM(K10:K14)</f>
        <v>32456669</v>
      </c>
    </row>
    <row r="17" spans="2:12" x14ac:dyDescent="0.25">
      <c r="B17" s="42"/>
      <c r="C17" s="65"/>
      <c r="E17" s="58"/>
      <c r="G17" s="59"/>
      <c r="H17" s="59"/>
      <c r="I17" s="67"/>
      <c r="J17" s="78"/>
      <c r="K17" s="61"/>
    </row>
    <row r="18" spans="2:12" ht="15.75" x14ac:dyDescent="0.25">
      <c r="B18" s="79" t="s">
        <v>66</v>
      </c>
      <c r="C18" s="80"/>
      <c r="D18" s="81"/>
      <c r="E18" s="58"/>
      <c r="F18" s="58"/>
      <c r="G18" s="59"/>
      <c r="H18" s="59"/>
      <c r="I18" s="59"/>
      <c r="J18" s="59"/>
      <c r="K18" s="61"/>
    </row>
    <row r="19" spans="2:12" x14ac:dyDescent="0.25">
      <c r="B19" s="56" t="s">
        <v>67</v>
      </c>
      <c r="C19" t="s">
        <v>68</v>
      </c>
      <c r="E19" s="62"/>
      <c r="F19" s="58" t="s">
        <v>52</v>
      </c>
      <c r="G19" s="58"/>
      <c r="H19" s="63" t="s">
        <v>58</v>
      </c>
      <c r="I19" s="59">
        <f>E19*G19</f>
        <v>0</v>
      </c>
      <c r="J19" s="60"/>
      <c r="K19" s="61">
        <f>I19</f>
        <v>0</v>
      </c>
    </row>
    <row r="20" spans="2:12" x14ac:dyDescent="0.25">
      <c r="B20" s="56" t="s">
        <v>69</v>
      </c>
      <c r="C20" t="s">
        <v>70</v>
      </c>
      <c r="E20" s="82"/>
      <c r="F20" s="58" t="s">
        <v>71</v>
      </c>
      <c r="G20" s="58"/>
      <c r="H20" s="63"/>
      <c r="I20" s="59">
        <f>E20*'[2]Total Capital Investment'!K62</f>
        <v>0</v>
      </c>
      <c r="J20" s="60"/>
      <c r="K20" s="61">
        <f>I20</f>
        <v>0</v>
      </c>
    </row>
    <row r="21" spans="2:12" x14ac:dyDescent="0.25">
      <c r="B21" s="56"/>
      <c r="C21" t="s">
        <v>72</v>
      </c>
      <c r="E21" s="66">
        <f>($E$36/100*POWER((1+($E$36/100)),$E$37))/((POWER(((1+$E$36/100)),$E$37))-1)</f>
        <v>9.3050575311267647E-2</v>
      </c>
      <c r="F21" s="58"/>
      <c r="G21" s="59"/>
      <c r="H21" s="59"/>
      <c r="I21" s="59"/>
      <c r="J21" s="60"/>
      <c r="K21" s="83"/>
      <c r="L21" s="84"/>
    </row>
    <row r="22" spans="2:12" x14ac:dyDescent="0.25">
      <c r="B22" s="56" t="s">
        <v>73</v>
      </c>
      <c r="C22" t="s">
        <v>74</v>
      </c>
      <c r="G22" s="59"/>
      <c r="H22" s="85"/>
      <c r="I22" s="59"/>
      <c r="J22" s="86" t="s">
        <v>75</v>
      </c>
      <c r="K22" s="61">
        <f>E21*'[2]Total Capital Investment'!K62</f>
        <v>0</v>
      </c>
      <c r="L22" s="84"/>
    </row>
    <row r="23" spans="2:12" x14ac:dyDescent="0.25">
      <c r="B23" s="42"/>
      <c r="E23" s="58"/>
      <c r="G23" s="59"/>
      <c r="H23" s="59"/>
      <c r="I23" s="59"/>
      <c r="J23" s="59"/>
      <c r="K23" s="61"/>
    </row>
    <row r="24" spans="2:12" x14ac:dyDescent="0.25">
      <c r="B24" s="68" t="s">
        <v>76</v>
      </c>
      <c r="C24" s="69"/>
      <c r="D24" s="87"/>
      <c r="E24" s="88"/>
      <c r="F24" s="72"/>
      <c r="G24" s="75"/>
      <c r="H24" s="74"/>
      <c r="I24" s="75"/>
      <c r="J24" s="76" t="s">
        <v>77</v>
      </c>
      <c r="K24" s="77">
        <f>SUM(K19:K22)</f>
        <v>0</v>
      </c>
    </row>
    <row r="25" spans="2:12" x14ac:dyDescent="0.25">
      <c r="B25" s="89"/>
      <c r="C25" s="90"/>
      <c r="E25" s="58"/>
      <c r="G25" s="59"/>
      <c r="H25" s="59"/>
      <c r="I25" s="59"/>
      <c r="J25" s="59"/>
      <c r="K25" s="61"/>
    </row>
    <row r="26" spans="2:12" ht="15.75" x14ac:dyDescent="0.25">
      <c r="B26" s="91" t="s">
        <v>78</v>
      </c>
      <c r="C26" s="92"/>
      <c r="D26" s="93"/>
      <c r="E26" s="94"/>
      <c r="F26" s="93"/>
      <c r="G26" s="74"/>
      <c r="H26" s="95"/>
      <c r="I26" s="74"/>
      <c r="J26" s="76" t="s">
        <v>79</v>
      </c>
      <c r="K26" s="77">
        <f>K16+K24</f>
        <v>32456669</v>
      </c>
    </row>
    <row r="27" spans="2:12" ht="15.75" thickBot="1" x14ac:dyDescent="0.3">
      <c r="B27" s="42"/>
      <c r="E27" s="58"/>
      <c r="K27" s="96"/>
    </row>
    <row r="28" spans="2:12" ht="16.5" thickBot="1" x14ac:dyDescent="0.3">
      <c r="B28" s="324" t="s">
        <v>80</v>
      </c>
      <c r="C28" s="325"/>
      <c r="D28" s="325"/>
      <c r="E28" s="325"/>
      <c r="F28" s="325"/>
      <c r="G28" s="325"/>
      <c r="H28" s="325"/>
      <c r="I28" s="325"/>
      <c r="J28" s="325"/>
      <c r="K28" s="326"/>
    </row>
    <row r="29" spans="2:12" x14ac:dyDescent="0.25">
      <c r="B29" s="42"/>
      <c r="K29" s="96"/>
    </row>
    <row r="30" spans="2:12" ht="18.75" x14ac:dyDescent="0.35">
      <c r="B30" s="97" t="s">
        <v>121</v>
      </c>
      <c r="C30" s="80"/>
      <c r="J30" s="98" t="s">
        <v>81</v>
      </c>
      <c r="K30" s="149">
        <f>'5-3 Ranking-SO2'!F11-'5-3 Ranking-SO2'!F13</f>
        <v>6.6765721749999978</v>
      </c>
    </row>
    <row r="31" spans="2:12" x14ac:dyDescent="0.25">
      <c r="B31" s="42"/>
      <c r="K31" s="96"/>
    </row>
    <row r="32" spans="2:12" ht="16.5" thickBot="1" x14ac:dyDescent="0.3">
      <c r="B32" s="99" t="s">
        <v>82</v>
      </c>
      <c r="C32" s="100"/>
      <c r="D32" s="101"/>
      <c r="E32" s="101"/>
      <c r="F32" s="101"/>
      <c r="G32" s="101"/>
      <c r="H32" s="102"/>
      <c r="I32" s="101"/>
      <c r="J32" s="103" t="s">
        <v>83</v>
      </c>
      <c r="K32" s="104">
        <f>K26/K30</f>
        <v>4861277.3365248628</v>
      </c>
    </row>
    <row r="33" spans="4:7" ht="15.75" thickTop="1" x14ac:dyDescent="0.25"/>
    <row r="34" spans="4:7" ht="15.75" thickBot="1" x14ac:dyDescent="0.3"/>
    <row r="35" spans="4:7" x14ac:dyDescent="0.25">
      <c r="D35" s="105" t="s">
        <v>84</v>
      </c>
      <c r="E35" s="52"/>
      <c r="F35" s="106"/>
      <c r="G35" s="107"/>
    </row>
    <row r="36" spans="4:7" x14ac:dyDescent="0.25">
      <c r="D36" s="108" t="s">
        <v>85</v>
      </c>
      <c r="E36" s="109">
        <v>8.5</v>
      </c>
      <c r="F36" s="110" t="s">
        <v>52</v>
      </c>
    </row>
    <row r="37" spans="4:7" ht="15.75" thickBot="1" x14ac:dyDescent="0.3">
      <c r="D37" s="111" t="s">
        <v>86</v>
      </c>
      <c r="E37" s="112">
        <v>30</v>
      </c>
      <c r="F37" s="113" t="s">
        <v>87</v>
      </c>
    </row>
  </sheetData>
  <sheetProtection algorithmName="SHA-512" hashValue="5tyvwlq08X/4D7kNIApT3JeSFKxBIznv1oWtJRdr6uhpBUKDmslkgiMv8Fo8E5JwSMe6ngcU/vVqFAnVGYrUbg==" saltValue="To61yHsp6kKihk4vIFE5hg==" spinCount="100000" sheet="1" objects="1" scenarios="1"/>
  <mergeCells count="5">
    <mergeCell ref="B1:K1"/>
    <mergeCell ref="B2:K2"/>
    <mergeCell ref="I4:K4"/>
    <mergeCell ref="B8:K8"/>
    <mergeCell ref="B28:K28"/>
  </mergeCells>
  <pageMargins left="0.7" right="0.7" top="0.75" bottom="0.75" header="0.3" footer="0.3"/>
  <pageSetup scale="52" firstPageNumber="96" fitToHeight="0" orientation="portrait" useFirstPageNumber="1" r:id="rId1"/>
  <headerFooter>
    <oddFooter>&amp;LGVEA North Pole Facility
PM2.5 Serious NAA BACT Analysis&amp;CPage 105&amp;RAugust 2017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5A6FC-CADD-4242-A42F-9E1C4B6281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A56E9-97D1-4D3B-8A6E-CE1D771BFAE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e9801683-13b5-4471-b07d-4f526a8d92e6"/>
    <ds:schemaRef ds:uri="328188c1-2ee9-48af-ac1f-a2e00dbc8300"/>
  </ds:schemaRefs>
</ds:datastoreItem>
</file>

<file path=customXml/itemProps3.xml><?xml version="1.0" encoding="utf-8"?>
<ds:datastoreItem xmlns:ds="http://schemas.openxmlformats.org/officeDocument/2006/customXml" ds:itemID="{A048CE17-3E07-4187-8A5C-FEC910C9B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5-1 Available-SO2</vt:lpstr>
      <vt:lpstr>5-2 Feasible-SO2</vt:lpstr>
      <vt:lpstr>5-3 Ranking-SO2</vt:lpstr>
      <vt:lpstr>5-4 EU ID 1 ULSD CE -</vt:lpstr>
      <vt:lpstr>5-4 EU ID 1 ULSD CE +</vt:lpstr>
      <vt:lpstr>5-5 EU ID 2 ULSD CE -</vt:lpstr>
      <vt:lpstr>5-5 EU ID 2 ULSD +</vt:lpstr>
      <vt:lpstr>5-6 EU ID 5&amp;6 ULSD CE Norm -</vt:lpstr>
      <vt:lpstr>5-6 EU ID 5&amp;6 ULSD CE Norm +</vt:lpstr>
      <vt:lpstr>5-7 EU ID 7 ULSD CE -</vt:lpstr>
      <vt:lpstr>5-7 EU ID 7 ULSD +</vt:lpstr>
      <vt:lpstr>Table 5-8</vt:lpstr>
      <vt:lpstr>Table - 5-9</vt:lpstr>
      <vt:lpstr>5-10 TCI ULSD EU1-2</vt:lpstr>
      <vt:lpstr>'5-3 Ranking-SO2'!Print_Area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2024-08-21T18:10:46Z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ffbd0ccf-7e8a-48ac-953e-03a18e98db69</vt:lpwstr>
  </property>
  <property fmtid="{D5CDD505-2E9C-101B-9397-08002B2CF9AE}" pid="3" name="ContentTypeId">
    <vt:lpwstr>0x010100EF08C179EEC2074C94A5872F733D36B4</vt:lpwstr>
  </property>
  <property fmtid="{D5CDD505-2E9C-101B-9397-08002B2CF9AE}" pid="4" name="ESRI_WORKBOOK_ID">
    <vt:lpwstr>2b8eb248d88a4e52a66bfea9062a3837</vt:lpwstr>
  </property>
</Properties>
</file>