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salimi\Downloads\Chena Power Plant\"/>
    </mc:Choice>
  </mc:AlternateContent>
  <xr:revisionPtr revIDLastSave="0" documentId="13_ncr:1_{0365057B-D869-45E3-AAA2-09DFEF4BD186}" xr6:coauthVersionLast="47" xr6:coauthVersionMax="47" xr10:uidLastSave="{00000000-0000-0000-0000-000000000000}"/>
  <bookViews>
    <workbookView xWindow="-120" yWindow="-120" windowWidth="20730" windowHeight="11160" xr2:uid="{5F755682-1396-4283-AD47-4517AB2837AF}"/>
  </bookViews>
  <sheets>
    <sheet name="1-Available" sheetId="8" r:id="rId1"/>
    <sheet name="2-Feasible" sheetId="9" r:id="rId2"/>
    <sheet name="3-Ranking" sheetId="4" r:id="rId3"/>
    <sheet name="4-CostEffective" sheetId="5" r:id="rId4"/>
    <sheet name="TableA-SO2_PTE" sheetId="1" r:id="rId5"/>
    <sheet name="TableB-BACT_Cost" sheetId="10" r:id="rId6"/>
    <sheet name="TableC-Labor_Rate" sheetId="13" r:id="rId7"/>
    <sheet name="TableD-Ash_Disposal" sheetId="11" r:id="rId8"/>
    <sheet name="TableE-2022_Coal_Samples " sheetId="12" r:id="rId9"/>
    <sheet name="TableF-DSI_Electrical_Equip" sheetId="14" r:id="rId10"/>
  </sheets>
  <definedNames>
    <definedName name="_xlnm._FilterDatabase" localSheetId="9" hidden="1">'TableF-DSI_Electrical_Equip'!$A$4:$J$4</definedName>
    <definedName name="_xlnm.Print_Area" localSheetId="4">'TableA-SO2_PTE'!$A$1:$N$16</definedName>
    <definedName name="_xlnm.Print_Area" localSheetId="5">'TableB-BACT_Cost'!$A$1:$H$68</definedName>
    <definedName name="_xlnm.Print_Area" localSheetId="7">'TableD-Ash_Disposal'!$A$1:$D$30</definedName>
    <definedName name="_xlnm.Print_Area" localSheetId="8">'TableE-2022_Coal_Samples '!$A$1:$M$199</definedName>
    <definedName name="_xlnm.Print_Area" localSheetId="9">'TableF-DSI_Electrical_Equip'!$A$1:$O$63</definedName>
    <definedName name="_xlnm.Print_Titles" localSheetId="5">'TableB-BACT_Cost'!$1:$2</definedName>
    <definedName name="_xlnm.Print_Titles" localSheetId="8">'TableE-2022_Coal_Samples '!$1:$5</definedName>
    <definedName name="_xlnm.Print_Titles" localSheetId="9">'TableF-DSI_Electrical_Equip'!$4:$4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0" l="1"/>
  <c r="G30" i="10"/>
  <c r="G22" i="10"/>
  <c r="F4" i="4" l="1"/>
  <c r="F5" i="4"/>
  <c r="F6" i="4"/>
  <c r="F3" i="4"/>
  <c r="E4" i="4"/>
  <c r="E5" i="4"/>
  <c r="E6" i="4"/>
  <c r="B4" i="4"/>
  <c r="B5" i="4"/>
  <c r="B6" i="4"/>
  <c r="D4" i="4"/>
  <c r="D5" i="4"/>
  <c r="D6" i="4"/>
  <c r="C3" i="4"/>
  <c r="C7" i="4"/>
  <c r="D52" i="10"/>
  <c r="N63" i="14"/>
  <c r="H61" i="14"/>
  <c r="D61" i="14"/>
  <c r="J60" i="14"/>
  <c r="L60" i="14" s="1"/>
  <c r="N60" i="14" s="1"/>
  <c r="J59" i="14"/>
  <c r="L59" i="14" s="1"/>
  <c r="N59" i="14" s="1"/>
  <c r="J58" i="14"/>
  <c r="L58" i="14" s="1"/>
  <c r="N58" i="14" s="1"/>
  <c r="J57" i="14"/>
  <c r="L57" i="14" s="1"/>
  <c r="N57" i="14" s="1"/>
  <c r="J56" i="14"/>
  <c r="L56" i="14" s="1"/>
  <c r="N56" i="14" s="1"/>
  <c r="J55" i="14"/>
  <c r="L55" i="14" s="1"/>
  <c r="N55" i="14" s="1"/>
  <c r="J54" i="14"/>
  <c r="L54" i="14" s="1"/>
  <c r="N54" i="14" s="1"/>
  <c r="J53" i="14"/>
  <c r="L53" i="14" s="1"/>
  <c r="N53" i="14" s="1"/>
  <c r="J52" i="14"/>
  <c r="L52" i="14" s="1"/>
  <c r="N52" i="14" s="1"/>
  <c r="J51" i="14"/>
  <c r="L51" i="14" s="1"/>
  <c r="N51" i="14" s="1"/>
  <c r="J50" i="14"/>
  <c r="L50" i="14" s="1"/>
  <c r="N50" i="14" s="1"/>
  <c r="J49" i="14"/>
  <c r="L49" i="14" s="1"/>
  <c r="N49" i="14" s="1"/>
  <c r="J48" i="14"/>
  <c r="L48" i="14" s="1"/>
  <c r="N48" i="14" s="1"/>
  <c r="J47" i="14"/>
  <c r="L47" i="14" s="1"/>
  <c r="N47" i="14" s="1"/>
  <c r="J46" i="14"/>
  <c r="L46" i="14" s="1"/>
  <c r="N46" i="14" s="1"/>
  <c r="J45" i="14"/>
  <c r="L45" i="14" s="1"/>
  <c r="N45" i="14" s="1"/>
  <c r="J44" i="14"/>
  <c r="L44" i="14" s="1"/>
  <c r="N44" i="14" s="1"/>
  <c r="J43" i="14"/>
  <c r="L43" i="14" s="1"/>
  <c r="N43" i="14" s="1"/>
  <c r="J42" i="14"/>
  <c r="L42" i="14" s="1"/>
  <c r="N42" i="14" s="1"/>
  <c r="J41" i="14"/>
  <c r="L41" i="14" s="1"/>
  <c r="N41" i="14" s="1"/>
  <c r="J40" i="14"/>
  <c r="L40" i="14" s="1"/>
  <c r="N40" i="14" s="1"/>
  <c r="J39" i="14"/>
  <c r="L39" i="14" s="1"/>
  <c r="N39" i="14" s="1"/>
  <c r="J38" i="14"/>
  <c r="L38" i="14" s="1"/>
  <c r="N38" i="14" s="1"/>
  <c r="J37" i="14"/>
  <c r="L37" i="14" s="1"/>
  <c r="N37" i="14" s="1"/>
  <c r="J36" i="14"/>
  <c r="L36" i="14" s="1"/>
  <c r="N36" i="14" s="1"/>
  <c r="J35" i="14"/>
  <c r="L35" i="14" s="1"/>
  <c r="N35" i="14" s="1"/>
  <c r="J34" i="14"/>
  <c r="L34" i="14" s="1"/>
  <c r="N34" i="14" s="1"/>
  <c r="J33" i="14"/>
  <c r="L33" i="14" s="1"/>
  <c r="N33" i="14" s="1"/>
  <c r="J32" i="14"/>
  <c r="L32" i="14" s="1"/>
  <c r="N32" i="14" s="1"/>
  <c r="J31" i="14"/>
  <c r="L31" i="14" s="1"/>
  <c r="N31" i="14" s="1"/>
  <c r="J30" i="14"/>
  <c r="L30" i="14" s="1"/>
  <c r="N30" i="14" s="1"/>
  <c r="J29" i="14"/>
  <c r="L29" i="14" s="1"/>
  <c r="N29" i="14" s="1"/>
  <c r="J28" i="14"/>
  <c r="L28" i="14" s="1"/>
  <c r="N28" i="14" s="1"/>
  <c r="J27" i="14"/>
  <c r="L27" i="14" s="1"/>
  <c r="N27" i="14" s="1"/>
  <c r="J26" i="14"/>
  <c r="H23" i="14"/>
  <c r="D23" i="14"/>
  <c r="J22" i="14"/>
  <c r="L22" i="14" s="1"/>
  <c r="N22" i="14" s="1"/>
  <c r="J21" i="14"/>
  <c r="L21" i="14" s="1"/>
  <c r="N21" i="14" s="1"/>
  <c r="J20" i="14"/>
  <c r="L20" i="14" s="1"/>
  <c r="N20" i="14" s="1"/>
  <c r="J19" i="14"/>
  <c r="L19" i="14" s="1"/>
  <c r="N19" i="14" s="1"/>
  <c r="J18" i="14"/>
  <c r="L18" i="14" s="1"/>
  <c r="N18" i="14" s="1"/>
  <c r="J17" i="14"/>
  <c r="L17" i="14" s="1"/>
  <c r="N17" i="14" s="1"/>
  <c r="J16" i="14"/>
  <c r="L16" i="14" s="1"/>
  <c r="N16" i="14" s="1"/>
  <c r="J15" i="14"/>
  <c r="L15" i="14" s="1"/>
  <c r="N15" i="14" s="1"/>
  <c r="J14" i="14"/>
  <c r="L14" i="14" s="1"/>
  <c r="N14" i="14" s="1"/>
  <c r="J13" i="14"/>
  <c r="L13" i="14" s="1"/>
  <c r="N13" i="14" s="1"/>
  <c r="J12" i="14"/>
  <c r="L12" i="14" s="1"/>
  <c r="N12" i="14" s="1"/>
  <c r="J11" i="14"/>
  <c r="L11" i="14" s="1"/>
  <c r="N11" i="14" s="1"/>
  <c r="J10" i="14"/>
  <c r="L10" i="14" s="1"/>
  <c r="N10" i="14" s="1"/>
  <c r="J9" i="14"/>
  <c r="L9" i="14" s="1"/>
  <c r="N9" i="14" s="1"/>
  <c r="J8" i="14"/>
  <c r="L8" i="14" s="1"/>
  <c r="N8" i="14" s="1"/>
  <c r="J7" i="14"/>
  <c r="L7" i="14" s="1"/>
  <c r="N7" i="14" s="1"/>
  <c r="J6" i="14"/>
  <c r="L6" i="14" s="1"/>
  <c r="N6" i="14" s="1"/>
  <c r="J5" i="14"/>
  <c r="J23" i="14" l="1"/>
  <c r="J61" i="14"/>
  <c r="L5" i="14"/>
  <c r="N5" i="14" s="1"/>
  <c r="N23" i="14" s="1"/>
  <c r="L26" i="14"/>
  <c r="N26" i="14" s="1"/>
  <c r="N61" i="14" s="1"/>
  <c r="D51" i="10" s="1"/>
  <c r="G11" i="10" l="1"/>
  <c r="G37" i="10"/>
  <c r="G16" i="10"/>
  <c r="G9" i="10"/>
  <c r="G10" i="10"/>
  <c r="G15" i="10"/>
  <c r="D61" i="10" l="1"/>
  <c r="E19" i="13"/>
  <c r="E18" i="13"/>
  <c r="E17" i="13"/>
  <c r="E31" i="13" s="1"/>
  <c r="E9" i="13"/>
  <c r="E13" i="13" s="1"/>
  <c r="E23" i="13" s="1"/>
  <c r="E7" i="13"/>
  <c r="E12" i="13" s="1"/>
  <c r="E22" i="13" s="1"/>
  <c r="E26" i="13" l="1"/>
  <c r="E14" i="13"/>
  <c r="E24" i="13" s="1"/>
  <c r="E15" i="13"/>
  <c r="E25" i="13" s="1"/>
  <c r="E32" i="13" l="1"/>
  <c r="E28" i="13"/>
  <c r="G52" i="10" l="1"/>
  <c r="I198" i="12"/>
  <c r="H198" i="12"/>
  <c r="G198" i="12"/>
  <c r="F198" i="12"/>
  <c r="C10" i="11" s="1"/>
  <c r="E198" i="12"/>
  <c r="D198" i="12"/>
  <c r="C7" i="11" s="1"/>
  <c r="C21" i="11"/>
  <c r="C20" i="11"/>
  <c r="C19" i="11"/>
  <c r="C6" i="11"/>
  <c r="G51" i="10"/>
  <c r="D50" i="10"/>
  <c r="G50" i="10" s="1"/>
  <c r="D48" i="10"/>
  <c r="G48" i="10" s="1"/>
  <c r="G49" i="10" s="1"/>
  <c r="D46" i="10"/>
  <c r="G46" i="10" s="1"/>
  <c r="G29" i="10"/>
  <c r="G21" i="10"/>
  <c r="G20" i="10"/>
  <c r="G19" i="10"/>
  <c r="G18" i="10"/>
  <c r="G17" i="10"/>
  <c r="G8" i="10"/>
  <c r="G7" i="10"/>
  <c r="G12" i="10" s="1"/>
  <c r="G23" i="10" l="1"/>
  <c r="G47" i="10"/>
  <c r="G56" i="10" s="1"/>
  <c r="C8" i="11"/>
  <c r="C9" i="11" s="1"/>
  <c r="C11" i="11" s="1"/>
  <c r="C16" i="11"/>
  <c r="C17" i="11" s="1"/>
  <c r="C18" i="11" s="1"/>
  <c r="C22" i="11" s="1"/>
  <c r="G25" i="10" l="1"/>
  <c r="G32" i="10" s="1"/>
  <c r="C23" i="11"/>
  <c r="C24" i="11" s="1"/>
  <c r="G53" i="10"/>
  <c r="G33" i="10" l="1"/>
  <c r="C26" i="11"/>
  <c r="G35" i="10" l="1"/>
  <c r="G34" i="10"/>
  <c r="K7" i="1"/>
  <c r="M7" i="1" s="1"/>
  <c r="K8" i="1"/>
  <c r="M8" i="1" s="1"/>
  <c r="K9" i="1"/>
  <c r="M9" i="1" s="1"/>
  <c r="K6" i="1"/>
  <c r="M6" i="1" s="1"/>
  <c r="G36" i="10" l="1"/>
  <c r="D7" i="4"/>
  <c r="M11" i="1"/>
  <c r="E7" i="4" s="1"/>
  <c r="G39" i="10" l="1"/>
  <c r="G41" i="10" s="1"/>
  <c r="D4" i="5"/>
  <c r="G59" i="10" l="1"/>
  <c r="G57" i="10"/>
  <c r="G58" i="10"/>
  <c r="B3" i="5"/>
  <c r="G60" i="10"/>
  <c r="D3" i="4"/>
  <c r="G65" i="10" l="1"/>
  <c r="G67" i="10" s="1"/>
  <c r="C3" i="5" s="1"/>
  <c r="E3" i="4"/>
  <c r="D3" i="5" s="1"/>
  <c r="E3" i="5" l="1"/>
</calcChain>
</file>

<file path=xl/sharedStrings.xml><?xml version="1.0" encoding="utf-8"?>
<sst xmlns="http://schemas.openxmlformats.org/spreadsheetml/2006/main" count="1158" uniqueCount="319">
  <si>
    <t>Emissions Unit</t>
  </si>
  <si>
    <t>ID</t>
  </si>
  <si>
    <t>Description</t>
  </si>
  <si>
    <t>Fuel Type</t>
  </si>
  <si>
    <t>Reference</t>
  </si>
  <si>
    <t>Factor</t>
  </si>
  <si>
    <t>Maximum Rating/Capacity</t>
  </si>
  <si>
    <t>Allowable Annual Operation</t>
  </si>
  <si>
    <t>Control Technology</t>
  </si>
  <si>
    <t>hr/yr</t>
  </si>
  <si>
    <t>Notes:</t>
  </si>
  <si>
    <t>Mass Conversion</t>
  </si>
  <si>
    <t xml:space="preserve"> </t>
  </si>
  <si>
    <t>tpy</t>
  </si>
  <si>
    <t>lb/ton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</si>
  <si>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Conversion factors:</t>
    </r>
  </si>
  <si>
    <t>~</t>
  </si>
  <si>
    <r>
      <t>Total Capital Investment ($)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</si>
  <si>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Total Annual Cost ($/year)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</si>
  <si>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Emissions Reduction (tpy)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</si>
  <si>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Aurora Energy, LLC - Chena Power Plant</t>
  </si>
  <si>
    <t>Chena 1 Coal-Fired Boiler</t>
  </si>
  <si>
    <t>Coal</t>
  </si>
  <si>
    <t>Chena 2 Coal-Fired Boiler</t>
  </si>
  <si>
    <t>Chena 3 Coal-Fired Boiler</t>
  </si>
  <si>
    <t>Chena 5 Coal-Fired Boiler</t>
  </si>
  <si>
    <r>
      <t>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Emission Factor</t>
    </r>
  </si>
  <si>
    <r>
      <t>Short Term 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Emissions</t>
    </r>
  </si>
  <si>
    <r>
      <t>Potential 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Emissions</t>
    </r>
  </si>
  <si>
    <t>MMBtu/hr</t>
  </si>
  <si>
    <t>lb/MMBtu</t>
  </si>
  <si>
    <t>lb/hr</t>
  </si>
  <si>
    <r>
      <t>Total 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Potential Emissions</t>
    </r>
  </si>
  <si>
    <r>
      <t>Available 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Emission Control Technologies</t>
    </r>
  </si>
  <si>
    <r>
      <t>Technically Feasible 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Emission Control Technologies</t>
    </r>
  </si>
  <si>
    <t>Wet Flue Gas Desulfurization (WFGD)</t>
  </si>
  <si>
    <t>Circulating Dry Scrubber (CDS)</t>
  </si>
  <si>
    <t>Spray Dry Absorber (SDA)</t>
  </si>
  <si>
    <t>Dry Sorbent Injection (DSI)</t>
  </si>
  <si>
    <r>
      <t>Ranking of Technically Feasible 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Emission Control Technologies</t>
    </r>
  </si>
  <si>
    <r>
      <t>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Emission Rate (lb/hr)</t>
    </r>
  </si>
  <si>
    <r>
      <t>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Cost-Effectiveness Summary</t>
    </r>
  </si>
  <si>
    <r>
      <t>Cost-Effectiveness ($/ton 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
Emissions Avoided)</t>
    </r>
  </si>
  <si>
    <t>CAPITAL COSTS</t>
  </si>
  <si>
    <t>DIRECT COSTS</t>
  </si>
  <si>
    <t>Quantity</t>
  </si>
  <si>
    <t>Unit</t>
  </si>
  <si>
    <t>Unit Cost</t>
  </si>
  <si>
    <t>Total</t>
  </si>
  <si>
    <t>Notes</t>
  </si>
  <si>
    <t>1. Purchased Equipment and Material Costs (PEMC)</t>
  </si>
  <si>
    <t>a. Basic equipment - DSI System</t>
  </si>
  <si>
    <t>ea</t>
  </si>
  <si>
    <t>BACT Process Systems, Inc. 7/28/2023 proposal</t>
  </si>
  <si>
    <t>Purchased Equipment and Material Cost (PEMC)</t>
  </si>
  <si>
    <t>PEMC=</t>
  </si>
  <si>
    <t>2. Direct Installation Costs (DIC)</t>
  </si>
  <si>
    <t>LOT</t>
  </si>
  <si>
    <t>Direct Installation Costs (DIC)</t>
  </si>
  <si>
    <t>DIC =</t>
  </si>
  <si>
    <t>Total Direct Costs (TDC)</t>
  </si>
  <si>
    <t>TDC=PEMC+DIC=</t>
  </si>
  <si>
    <t>INDIRECT COSTS</t>
  </si>
  <si>
    <t>3. Engineering, Construction Support</t>
  </si>
  <si>
    <t>a. Engineering Services</t>
  </si>
  <si>
    <t>b. Mobilization/Demobilization</t>
  </si>
  <si>
    <t>c. Prime Contractor Indirect Labor</t>
  </si>
  <si>
    <t>d. Contractor Overhead and Labor Burdens</t>
  </si>
  <si>
    <t>e. Equipment and Small Tools</t>
  </si>
  <si>
    <t>Default value of 10 percent of direct and indirect costs [CCM Section 5, Chapter 1, page 1-79]</t>
  </si>
  <si>
    <t>Total Indirect Costs (TIC)</t>
  </si>
  <si>
    <t>TIC=</t>
  </si>
  <si>
    <t>TOTAL CAPITAL INVESTMENT (TCI)</t>
  </si>
  <si>
    <t>TCI = TDC+TIC=</t>
  </si>
  <si>
    <t>ANNUAL COSTS</t>
  </si>
  <si>
    <t>1. Operating Labor</t>
  </si>
  <si>
    <t>hours</t>
  </si>
  <si>
    <t>2. Supervisory Labor</t>
  </si>
  <si>
    <t>Assumes 15% of operator labor [CCM Section 5, Chapter 1]</t>
  </si>
  <si>
    <t>3. Maintenance Labor</t>
  </si>
  <si>
    <t>4. Maintenance Materials</t>
  </si>
  <si>
    <t>Assumes 100% of maintenance labor [CCM Section 5, Chapter 1]</t>
  </si>
  <si>
    <t>5. Reagent</t>
  </si>
  <si>
    <t>ton</t>
  </si>
  <si>
    <t xml:space="preserve">Sodium bicarbonate. Feed rate of 0.3625 tons per hour; unit cost includes rail delivery per BACT Process Systems, Inc. 7/28/2023 proposal. </t>
  </si>
  <si>
    <t>6. Utilities</t>
  </si>
  <si>
    <t>a. Electricity</t>
  </si>
  <si>
    <t>kWh</t>
  </si>
  <si>
    <t>Total Direct Annual Costs (TDAC)</t>
  </si>
  <si>
    <t>TDAC=</t>
  </si>
  <si>
    <t>7. Overhead</t>
  </si>
  <si>
    <t>60 percent of total labor and material costs [CCM Section 1, Chapter 2, page 35]</t>
  </si>
  <si>
    <t>8 Administrative  Charges</t>
  </si>
  <si>
    <t>2 percent of TCI [CCM Section 1, Chapter 2, page 35]</t>
  </si>
  <si>
    <t>9. Property Tax</t>
  </si>
  <si>
    <t>1 percent of TCI [CCM Section 1, Chapter 2, page 35]</t>
  </si>
  <si>
    <t>10. Insurance</t>
  </si>
  <si>
    <t>11. Capital Recovery</t>
  </si>
  <si>
    <t>CRF x TCI</t>
  </si>
  <si>
    <t>Capital Recovery Factor (CRF)</t>
  </si>
  <si>
    <r>
      <t>CRF = i(1+i)</t>
    </r>
    <r>
      <rPr>
        <i/>
        <vertAlign val="superscript"/>
        <sz val="11"/>
        <color theme="1"/>
        <rFont val="Calibri"/>
        <family val="2"/>
        <scheme val="minor"/>
      </rPr>
      <t>n</t>
    </r>
    <r>
      <rPr>
        <i/>
        <sz val="11"/>
        <color theme="1"/>
        <rFont val="Calibri"/>
        <family val="2"/>
        <scheme val="minor"/>
      </rPr>
      <t xml:space="preserve"> / ((1+i)</t>
    </r>
    <r>
      <rPr>
        <i/>
        <vertAlign val="superscript"/>
        <sz val="11"/>
        <color theme="1"/>
        <rFont val="Calibri"/>
        <family val="2"/>
        <scheme val="minor"/>
      </rPr>
      <t>n</t>
    </r>
    <r>
      <rPr>
        <i/>
        <sz val="11"/>
        <color theme="1"/>
        <rFont val="Calibri"/>
        <family val="2"/>
        <scheme val="minor"/>
      </rPr>
      <t>-1) [CCM Section 1, Chapter 2, page 22]</t>
    </r>
  </si>
  <si>
    <t>i = interest rate</t>
  </si>
  <si>
    <t>n = life of control equipment</t>
  </si>
  <si>
    <t>years</t>
  </si>
  <si>
    <t>Total Indirect Annual Costs (TIAC)</t>
  </si>
  <si>
    <t>TIAC=</t>
  </si>
  <si>
    <t>TOTAL ANNUALIZED COST (TAC)</t>
  </si>
  <si>
    <t>TAC = TDAC+TIAC=</t>
  </si>
  <si>
    <r>
      <t>Aurora Energy Chena Power Plant 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BACT Analysis</t>
    </r>
  </si>
  <si>
    <t>Value</t>
  </si>
  <si>
    <t>Max Annual Heat Input</t>
  </si>
  <si>
    <t>Coal Heat Content</t>
  </si>
  <si>
    <t>Coal Use per Year</t>
  </si>
  <si>
    <r>
      <t>2(NaHCO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)/NaSO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</t>
    </r>
  </si>
  <si>
    <t>wt. ratio</t>
  </si>
  <si>
    <r>
      <t>Na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/SO</t>
    </r>
    <r>
      <rPr>
        <vertAlign val="subscript"/>
        <sz val="11"/>
        <color theme="1"/>
        <rFont val="Calibri"/>
        <family val="2"/>
        <scheme val="minor"/>
      </rPr>
      <t>2</t>
    </r>
  </si>
  <si>
    <r>
      <t>Na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SO</t>
    </r>
    <r>
      <rPr>
        <vertAlign val="subscript"/>
        <sz val="11"/>
        <color theme="1"/>
        <rFont val="Calibri"/>
        <family val="2"/>
        <scheme val="minor"/>
      </rPr>
      <t>4</t>
    </r>
  </si>
  <si>
    <t>tpy (in ash)</t>
  </si>
  <si>
    <r>
      <t>NaHCO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</t>
    </r>
  </si>
  <si>
    <t>tpy (unreacted)</t>
  </si>
  <si>
    <t>Cars</t>
  </si>
  <si>
    <t>Location</t>
  </si>
  <si>
    <t>Bench</t>
  </si>
  <si>
    <t>Seam</t>
  </si>
  <si>
    <t>Tons</t>
  </si>
  <si>
    <t>AURORA ENERGY LLC</t>
  </si>
  <si>
    <t>JD</t>
  </si>
  <si>
    <t>4</t>
  </si>
  <si>
    <t>BDL/JD</t>
  </si>
  <si>
    <t>Q3</t>
  </si>
  <si>
    <t>3/4</t>
  </si>
  <si>
    <t>JD/BDL</t>
  </si>
  <si>
    <t>3/3</t>
  </si>
  <si>
    <t>JD/JD</t>
  </si>
  <si>
    <t>4/3</t>
  </si>
  <si>
    <t>R4</t>
  </si>
  <si>
    <t>4/4</t>
  </si>
  <si>
    <t>JD/STK</t>
  </si>
  <si>
    <t>3</t>
  </si>
  <si>
    <t>BDL/STK</t>
  </si>
  <si>
    <t>Coal Ash Content</t>
  </si>
  <si>
    <t>Ash Generation due to Dry Sorbent Injection</t>
  </si>
  <si>
    <r>
      <t>NaHCO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Use</t>
    </r>
  </si>
  <si>
    <r>
      <t>Maximum SO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 Rate</t>
    </r>
  </si>
  <si>
    <t>lb/yr</t>
  </si>
  <si>
    <t>Btu/lb</t>
  </si>
  <si>
    <r>
      <t>Ash Generation Based on Potential to Emit, No 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Control</t>
    </r>
  </si>
  <si>
    <t xml:space="preserve">Total </t>
  </si>
  <si>
    <r>
      <t>SO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Potential Emissions</t>
    </r>
  </si>
  <si>
    <r>
      <t>SO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 Reduction</t>
    </r>
  </si>
  <si>
    <t>Total Ash Disposal Requirement</t>
  </si>
  <si>
    <t>AR BTU</t>
  </si>
  <si>
    <t>AR Moisture</t>
  </si>
  <si>
    <t>AR Ash</t>
  </si>
  <si>
    <t>Sample Date</t>
  </si>
  <si>
    <t>AR Volatiles</t>
  </si>
  <si>
    <t>AR Carbon</t>
  </si>
  <si>
    <t>AR Sulfur</t>
  </si>
  <si>
    <r>
      <t>Btu/lb</t>
    </r>
    <r>
      <rPr>
        <vertAlign val="superscript"/>
        <sz val="11"/>
        <color theme="1"/>
        <rFont val="Calibri"/>
        <family val="2"/>
        <scheme val="minor"/>
      </rPr>
      <t>1</t>
    </r>
  </si>
  <si>
    <r>
      <t>Fraction</t>
    </r>
    <r>
      <rPr>
        <vertAlign val="superscript"/>
        <sz val="11"/>
        <color theme="1"/>
        <rFont val="Calibri"/>
        <family val="2"/>
        <scheme val="minor"/>
      </rPr>
      <t>2</t>
    </r>
  </si>
  <si>
    <t>Annual Average</t>
  </si>
  <si>
    <t>4. Contingency</t>
  </si>
  <si>
    <t>5. Profit</t>
  </si>
  <si>
    <t>6. Bond</t>
  </si>
  <si>
    <t>7. Performance testing</t>
  </si>
  <si>
    <t>AR = as received</t>
  </si>
  <si>
    <t>Aurora Energy, LLC</t>
  </si>
  <si>
    <t>Per Hour*</t>
  </si>
  <si>
    <t>CBA Section*</t>
  </si>
  <si>
    <t>Operator Wage Rate Y1</t>
  </si>
  <si>
    <t>Shift Diff.</t>
  </si>
  <si>
    <t>401K (0.50/hr)</t>
  </si>
  <si>
    <t>H&amp;W (Annual cost/hrs)</t>
  </si>
  <si>
    <t>Pension</t>
  </si>
  <si>
    <t>Reg Rate</t>
  </si>
  <si>
    <t>OT Rate</t>
  </si>
  <si>
    <t>Grave Rate</t>
  </si>
  <si>
    <t>Grave OT Rate</t>
  </si>
  <si>
    <t>Reg Hours</t>
  </si>
  <si>
    <t>OT Hours</t>
  </si>
  <si>
    <t>Grave Reg Hours</t>
  </si>
  <si>
    <t>Grave OT Hours</t>
  </si>
  <si>
    <t>Reg Rate x Reg Hours</t>
  </si>
  <si>
    <t>OT Rate x OT Hours</t>
  </si>
  <si>
    <t>Grave Rate x Grave Reg Hours</t>
  </si>
  <si>
    <t>Grave OT Rate x Grave OT Hours</t>
  </si>
  <si>
    <t>Total Labor Cost for FT Burden Operator working day/graves</t>
  </si>
  <si>
    <t>x 2 for Adding two Operators</t>
  </si>
  <si>
    <t>Total Labor Cost for two FT Burden Operators</t>
  </si>
  <si>
    <t>Annual Working Hours</t>
  </si>
  <si>
    <t>Average Hourly Rate</t>
  </si>
  <si>
    <t>*Aurora Energy, LLC CBA 2023 - 2025</t>
  </si>
  <si>
    <r>
      <t>Base Case: SO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 Limit, Low Sulfur Coal, and Good Combustion Practices</t>
    </r>
  </si>
  <si>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Emissions reductions are calculated in Table 3 of this report.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</si>
  <si>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The combined SO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emissions from the common stack for EU IDs 4 through 7 are limited to 0.301 lb/MMBtu per Condition 15 of Permit No. AQ0315TVP04, Revision 2.</t>
    </r>
  </si>
  <si>
    <t>Condition 15, Permit No. AQ0315TVP04, Revision 2</t>
  </si>
  <si>
    <t>pct.</t>
  </si>
  <si>
    <t>pct. TCI</t>
  </si>
  <si>
    <t>b. Waste Disposal (ash)</t>
  </si>
  <si>
    <t>Control Efficiency Compared to Base Case (pct.)</t>
  </si>
  <si>
    <r>
      <t>Potential 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Emissions (tpy)</t>
    </r>
  </si>
  <si>
    <r>
      <t>Potential 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Emissions Reduction (tpy)</t>
    </r>
  </si>
  <si>
    <t>b. Freight - DSI System</t>
  </si>
  <si>
    <t>d. Freight - Baghouse system</t>
  </si>
  <si>
    <t>a. Field installation - DSI</t>
  </si>
  <si>
    <t>c. Structural</t>
  </si>
  <si>
    <t>d. Mechanical</t>
  </si>
  <si>
    <t>e. Electrical</t>
  </si>
  <si>
    <t>f. Instrumentation and Controls</t>
  </si>
  <si>
    <t>g. Heavy Equipment</t>
  </si>
  <si>
    <t>e. Continuous Emission Monitoring System</t>
  </si>
  <si>
    <t>Emerson 10/22/2019 cost estimate (equipment and shipping)</t>
  </si>
  <si>
    <t>Do not use for electrical equipment sizing. Use only for approximating actual kW consumption under normal operating conditions.</t>
  </si>
  <si>
    <t>SOURCE
Equip Tag</t>
  </si>
  <si>
    <t>EQUIPMENT
Equip Tag</t>
  </si>
  <si>
    <t>Load Name</t>
  </si>
  <si>
    <t>MCC  Starter Size</t>
  </si>
  <si>
    <t>MCC  Starter Type</t>
  </si>
  <si>
    <t>Voltage
[V]</t>
  </si>
  <si>
    <t>Load 
[VA]</t>
  </si>
  <si>
    <t>Load 
[HP]</t>
  </si>
  <si>
    <t>Load 
[KW]</t>
  </si>
  <si>
    <t>FLA</t>
  </si>
  <si>
    <t>Load Factor</t>
  </si>
  <si>
    <t>Adjusted Load (kVA)</t>
  </si>
  <si>
    <t>PF</t>
  </si>
  <si>
    <t>Adjusted Load (kW)</t>
  </si>
  <si>
    <t>05B3A</t>
  </si>
  <si>
    <t>Unloading Blower</t>
  </si>
  <si>
    <t>FVNR</t>
  </si>
  <si>
    <t>Only used for unloading</t>
  </si>
  <si>
    <t>05B3B</t>
  </si>
  <si>
    <t>Air Cooler for Unloading Blower</t>
  </si>
  <si>
    <t>06B3A</t>
  </si>
  <si>
    <t>Bin Vent Exhaust Fan</t>
  </si>
  <si>
    <t>06B3B</t>
  </si>
  <si>
    <t>Bin Discharger Silo #1</t>
  </si>
  <si>
    <t>Bin Discharger Silo #2</t>
  </si>
  <si>
    <t>08B3A</t>
  </si>
  <si>
    <t>Transfer Blower for Day Bins A</t>
  </si>
  <si>
    <t>Only used to transfer to plant</t>
  </si>
  <si>
    <t>Transfer Blower for Day Bins B</t>
  </si>
  <si>
    <t>Spare</t>
  </si>
  <si>
    <t>Air Cooler for Transfer Blower</t>
  </si>
  <si>
    <t>09B3B</t>
  </si>
  <si>
    <t>Airlock Silo #1</t>
  </si>
  <si>
    <t>Airlock Silo #2</t>
  </si>
  <si>
    <t>Unloading Skid heater</t>
  </si>
  <si>
    <t>Silo #1 Heater</t>
  </si>
  <si>
    <t>Silo #2 Heater</t>
  </si>
  <si>
    <t>Silo #1 Exhaust Fan</t>
  </si>
  <si>
    <t>Silo #2 Exhaust Fan</t>
  </si>
  <si>
    <t>Air Compressor</t>
  </si>
  <si>
    <t>For continuous supply of fluidizing air</t>
  </si>
  <si>
    <t>Area Lighting</t>
  </si>
  <si>
    <t>100A BKR</t>
  </si>
  <si>
    <t>Receptacles</t>
  </si>
  <si>
    <t>Bin Vent Exhaust Fan #1</t>
  </si>
  <si>
    <t>Bin Vent Exhaust Fan #2</t>
  </si>
  <si>
    <t>Bin Discharger #1</t>
  </si>
  <si>
    <t>Bin Discharger #2</t>
  </si>
  <si>
    <t>Feeder #1</t>
  </si>
  <si>
    <t>Feeder #2</t>
  </si>
  <si>
    <t>Feeder #3</t>
  </si>
  <si>
    <t>Grinding Motor #1</t>
  </si>
  <si>
    <t>Grinding Motor #2</t>
  </si>
  <si>
    <t>Grinding Motor #3</t>
  </si>
  <si>
    <t>Classifier Motor #1</t>
  </si>
  <si>
    <t>Classifier Motor #2</t>
  </si>
  <si>
    <t>Classifier Motor #3</t>
  </si>
  <si>
    <t>Injection Blower Boiler #1</t>
  </si>
  <si>
    <t>Backup Injection Blower Boiler #1 (25HP)</t>
  </si>
  <si>
    <t>Injection Blower Boiler #2</t>
  </si>
  <si>
    <t>Backup Injection Blower Boiler #2 (25HP)</t>
  </si>
  <si>
    <t>Injection Blower Boiler #3</t>
  </si>
  <si>
    <t>Backup Injection Blower Boiler #3 (25HP)</t>
  </si>
  <si>
    <t>Injection Blower Boiler #5</t>
  </si>
  <si>
    <t>Backup Injection Blower Boiler #5 (75HP)</t>
  </si>
  <si>
    <t>Air Cooler #1</t>
  </si>
  <si>
    <t>Air Cooler #2</t>
  </si>
  <si>
    <t>Air Cooler #3</t>
  </si>
  <si>
    <t>Air Cooler #5</t>
  </si>
  <si>
    <t>Exhaust Fan Mill #1</t>
  </si>
  <si>
    <t>Exhaust Fan Mill #2</t>
  </si>
  <si>
    <t>Exhaust Fan Mill #3</t>
  </si>
  <si>
    <t>Exhaust Fan Mill #4</t>
  </si>
  <si>
    <t>Airlock Mill #1</t>
  </si>
  <si>
    <t>Airlock Mill #2</t>
  </si>
  <si>
    <t>Airlock Mill #3</t>
  </si>
  <si>
    <t>Airlock Mill #4</t>
  </si>
  <si>
    <t>Initial emissions performance test and CEMS RATA. Estimate based on recent source test costs at Aurora Energy.</t>
  </si>
  <si>
    <t>pct. TDC</t>
  </si>
  <si>
    <t>c. Equipment - Baghouse system</t>
  </si>
  <si>
    <t>b. Field installation - Baghouse</t>
  </si>
  <si>
    <t>Stanley Consultants Jan 2024 cost estimate</t>
  </si>
  <si>
    <t>Calculation consistent with Stanley Consultants Jan 2024 cost estimate. TDC calculated in this table also includes CEMS equipment cost in PEMC.</t>
  </si>
  <si>
    <t>Stanley Consultants Jan 2024 cost estimate plus 10 pct. of CEMS PEMC.</t>
  </si>
  <si>
    <t>Stanley Consultants Jan 2024 cost estimate. TDC calculated in this table also includes CEMS equipment cost in PEMC.</t>
  </si>
  <si>
    <r>
      <t>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Emission Rate (lb/MMBtu)</t>
    </r>
  </si>
  <si>
    <t>Note: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</si>
  <si>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The SO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control efficiency, in terms of percentage, for DSI is the vendor-provided emission reduction capability.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</si>
  <si>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The SO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emission rates, in terms of lb/MMBtu, for WFGD, CDS, and SDA are the average values for the top 20 percent performing coal-fired power plants per Table 1.3 of Section 5, Chapter 1 of the EPA Air Pollution Control Cost Manual (2021).</t>
    </r>
  </si>
  <si>
    <r>
      <t xml:space="preserve">Dry Sorbent Injection (DSI) 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</si>
  <si>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Wet Flue Gas Desulfurization (WFGD) </t>
    </r>
    <r>
      <rPr>
        <vertAlign val="superscript"/>
        <sz val="11"/>
        <color theme="1"/>
        <rFont val="Calibri"/>
        <family val="2"/>
        <scheme val="minor"/>
      </rPr>
      <t>2</t>
    </r>
  </si>
  <si>
    <t>Bank prime interest rate 7/27/2023 through 1/22/2024, https://www.federalreserve.gov/releases/h15/</t>
  </si>
  <si>
    <t>h. Demolition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</si>
  <si>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Total Capital Investment is calculated in Table B of Appendix B.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</si>
  <si>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Total Annual Cost is calculated in Table B of Appendix B.</t>
    </r>
  </si>
  <si>
    <r>
      <t>Table A. Potential to Emit Calculations for EUs 4 through 7 Supplemental BACT Analysis - SO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Emissions</t>
    </r>
  </si>
  <si>
    <t>Assumes 0.5 hours per shift, 12 hour shifts [CCM Section 5, Chapter 1]. Burdened operator labor rate is $66.40/hr per Table C, Aurora Energy, 2023.</t>
  </si>
  <si>
    <t xml:space="preserve">Steady state operating station service requirement for DSI equipment per demand in Table F at 8,760 hr/yr. Aurora Energy calculation of station service cost at $0.093/kWh for 2023. </t>
  </si>
  <si>
    <t xml:space="preserve">Incremental increase in ash disposal cost due to DSI. Ash tonnage calculated in Table D. Unit cost is market rate in ash hauling contract. </t>
  </si>
  <si>
    <t xml:space="preserve"> Table B. Dry Sorbent Injection (DSI) - Economic Analysis</t>
  </si>
  <si>
    <t>Table C. Full-time Burden Operator Labor Rate</t>
  </si>
  <si>
    <t>Table D. Projected Annual Ash Disposal Requirement for DSI</t>
  </si>
  <si>
    <t>Table E. 2022 Rail Sample Analyses of Delivered Coal</t>
  </si>
  <si>
    <t>Table F. Estimated Station Service Electrical Load for DSI Equipment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</si>
  <si>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Coal heat content based on 2022 deliveries, shown in Table E.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</si>
  <si>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Coal ash content based on 2022 deliveries, shown in Table 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</si>
</sst>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0.0000"/>
    <numFmt numFmtId="167" formatCode="_(* #,##0_);_(* \(#,##0\);_(* &quot;-&quot;??_);_(@_)"/>
    <numFmt numFmtId="168" formatCode="_(* #,##0.0_);_(* \(#,##0.0\);_(* &quot;-&quot;??_);_(@_)"/>
    <numFmt numFmtId="169" formatCode="_(* #,##0.000_);_(* \(#,##0.000\);_(* &quot;-&quot;??_);_(@_)"/>
    <numFmt numFmtId="170" formatCode="&quot;$&quot;#,##0.000_);[Red]\(&quot;$&quot;#,##0.000\)"/>
    <numFmt numFmtId="171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Times New Roman"/>
      <family val="1"/>
    </font>
    <font>
      <b/>
      <vertAlign val="sub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vertAlign val="superscript"/>
      <sz val="11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7">
    <xf numFmtId="0" fontId="0" fillId="0" borderId="0"/>
    <xf numFmtId="0" fontId="4" fillId="0" borderId="0"/>
    <xf numFmtId="0" fontId="4" fillId="0" borderId="0"/>
    <xf numFmtId="0" fontId="5" fillId="0" borderId="0"/>
    <xf numFmtId="0" fontId="1" fillId="0" borderId="0"/>
    <xf numFmtId="9" fontId="4" fillId="0" borderId="0" applyFont="0" applyFill="0" applyBorder="0" applyAlignment="0" applyProtection="0"/>
    <xf numFmtId="0" fontId="1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8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3" fontId="0" fillId="0" borderId="2" xfId="0" applyNumberFormat="1" applyBorder="1" applyAlignment="1">
      <alignment vertical="center" wrapText="1"/>
    </xf>
    <xf numFmtId="2" fontId="0" fillId="0" borderId="2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0" fillId="0" borderId="0" xfId="0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4" fontId="10" fillId="0" borderId="0" xfId="1" applyNumberFormat="1" applyFont="1" applyAlignment="1">
      <alignment vertical="center"/>
    </xf>
    <xf numFmtId="0" fontId="10" fillId="0" borderId="0" xfId="1" applyFont="1" applyAlignment="1">
      <alignment vertical="center"/>
    </xf>
    <xf numFmtId="3" fontId="9" fillId="0" borderId="0" xfId="1" applyNumberFormat="1" applyFont="1" applyAlignment="1">
      <alignment vertical="center"/>
    </xf>
    <xf numFmtId="0" fontId="9" fillId="0" borderId="0" xfId="1" applyFont="1" applyAlignment="1">
      <alignment horizontal="right" vertical="center"/>
    </xf>
    <xf numFmtId="165" fontId="9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2" fontId="0" fillId="0" borderId="1" xfId="0" quotePrefix="1" applyNumberFormat="1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1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right" vertical="center"/>
    </xf>
    <xf numFmtId="6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6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6" fontId="0" fillId="2" borderId="1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quotePrefix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6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8" fontId="15" fillId="0" borderId="0" xfId="0" applyNumberFormat="1" applyFont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 wrapText="1"/>
    </xf>
    <xf numFmtId="8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9" fontId="0" fillId="2" borderId="2" xfId="0" applyNumberFormat="1" applyFill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16" fillId="0" borderId="3" xfId="0" applyFont="1" applyBorder="1" applyAlignment="1">
      <alignment vertical="center"/>
    </xf>
    <xf numFmtId="166" fontId="16" fillId="0" borderId="2" xfId="0" applyNumberFormat="1" applyFont="1" applyBorder="1" applyAlignment="1">
      <alignment horizontal="center" vertical="center"/>
    </xf>
    <xf numFmtId="0" fontId="16" fillId="2" borderId="1" xfId="0" quotePrefix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6" fontId="16" fillId="2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167" fontId="0" fillId="0" borderId="2" xfId="33" applyNumberFormat="1" applyFont="1" applyFill="1" applyBorder="1"/>
    <xf numFmtId="0" fontId="0" fillId="0" borderId="3" xfId="0" applyBorder="1"/>
    <xf numFmtId="168" fontId="0" fillId="0" borderId="2" xfId="33" applyNumberFormat="1" applyFont="1" applyFill="1" applyBorder="1"/>
    <xf numFmtId="43" fontId="0" fillId="0" borderId="2" xfId="33" applyFont="1" applyFill="1" applyBorder="1"/>
    <xf numFmtId="0" fontId="0" fillId="0" borderId="0" xfId="0" applyAlignment="1">
      <alignment horizontal="left"/>
    </xf>
    <xf numFmtId="168" fontId="0" fillId="0" borderId="0" xfId="33" applyNumberFormat="1" applyFont="1" applyFill="1" applyBorder="1"/>
    <xf numFmtId="0" fontId="19" fillId="0" borderId="1" xfId="34" applyBorder="1" applyAlignment="1">
      <alignment horizontal="center"/>
    </xf>
    <xf numFmtId="0" fontId="19" fillId="0" borderId="0" xfId="34"/>
    <xf numFmtId="0" fontId="20" fillId="0" borderId="1" xfId="34" applyFont="1" applyBorder="1" applyAlignment="1">
      <alignment horizontal="center" wrapText="1"/>
    </xf>
    <xf numFmtId="14" fontId="20" fillId="0" borderId="1" xfId="34" applyNumberFormat="1" applyFont="1" applyBorder="1" applyAlignment="1">
      <alignment horizontal="center"/>
    </xf>
    <xf numFmtId="0" fontId="20" fillId="0" borderId="1" xfId="34" applyFont="1" applyBorder="1" applyAlignment="1">
      <alignment horizontal="center"/>
    </xf>
    <xf numFmtId="2" fontId="20" fillId="0" borderId="1" xfId="34" applyNumberFormat="1" applyFont="1" applyBorder="1" applyAlignment="1">
      <alignment horizontal="center"/>
    </xf>
    <xf numFmtId="2" fontId="20" fillId="5" borderId="1" xfId="34" applyNumberFormat="1" applyFont="1" applyFill="1" applyBorder="1" applyAlignment="1">
      <alignment horizontal="center"/>
    </xf>
    <xf numFmtId="169" fontId="0" fillId="0" borderId="2" xfId="33" applyNumberFormat="1" applyFont="1" applyFill="1" applyBorder="1"/>
    <xf numFmtId="0" fontId="3" fillId="3" borderId="3" xfId="0" applyFont="1" applyFill="1" applyBorder="1"/>
    <xf numFmtId="0" fontId="8" fillId="3" borderId="3" xfId="0" applyFont="1" applyFill="1" applyBorder="1"/>
    <xf numFmtId="167" fontId="8" fillId="3" borderId="2" xfId="33" applyNumberFormat="1" applyFont="1" applyFill="1" applyBorder="1"/>
    <xf numFmtId="0" fontId="0" fillId="0" borderId="4" xfId="0" applyBorder="1" applyAlignment="1">
      <alignment horizontal="left"/>
    </xf>
    <xf numFmtId="43" fontId="0" fillId="0" borderId="4" xfId="33" applyFont="1" applyFill="1" applyBorder="1"/>
    <xf numFmtId="0" fontId="0" fillId="0" borderId="4" xfId="0" applyBorder="1"/>
    <xf numFmtId="167" fontId="3" fillId="3" borderId="2" xfId="33" applyNumberFormat="1" applyFont="1" applyFill="1" applyBorder="1"/>
    <xf numFmtId="1" fontId="20" fillId="5" borderId="1" xfId="34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19" fillId="6" borderId="1" xfId="34" applyFill="1" applyBorder="1"/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right"/>
    </xf>
    <xf numFmtId="44" fontId="0" fillId="0" borderId="0" xfId="35" applyFont="1"/>
    <xf numFmtId="44" fontId="0" fillId="0" borderId="0" xfId="35" applyFont="1" applyBorder="1"/>
    <xf numFmtId="43" fontId="0" fillId="0" borderId="0" xfId="33" applyFont="1"/>
    <xf numFmtId="44" fontId="0" fillId="0" borderId="0" xfId="0" applyNumberFormat="1"/>
    <xf numFmtId="44" fontId="0" fillId="0" borderId="15" xfId="0" applyNumberFormat="1" applyBorder="1"/>
    <xf numFmtId="43" fontId="0" fillId="0" borderId="14" xfId="33" applyFont="1" applyBorder="1"/>
    <xf numFmtId="44" fontId="0" fillId="0" borderId="16" xfId="35" applyFont="1" applyBorder="1"/>
    <xf numFmtId="43" fontId="0" fillId="0" borderId="0" xfId="0" applyNumberFormat="1"/>
    <xf numFmtId="0" fontId="8" fillId="2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164" fontId="3" fillId="0" borderId="32" xfId="0" applyNumberFormat="1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11" fillId="0" borderId="0" xfId="7" applyFont="1" applyAlignment="1">
      <alignment vertical="center"/>
    </xf>
    <xf numFmtId="0" fontId="9" fillId="0" borderId="0" xfId="7" applyFont="1" applyAlignment="1">
      <alignment vertical="center"/>
    </xf>
    <xf numFmtId="0" fontId="0" fillId="0" borderId="0" xfId="10" applyFont="1" applyAlignment="1">
      <alignment vertical="center"/>
    </xf>
    <xf numFmtId="0" fontId="2" fillId="0" borderId="0" xfId="10" applyFont="1" applyAlignment="1">
      <alignment vertical="center"/>
    </xf>
    <xf numFmtId="2" fontId="16" fillId="0" borderId="1" xfId="0" applyNumberFormat="1" applyFont="1" applyBorder="1" applyAlignment="1">
      <alignment horizontal="center" vertical="center"/>
    </xf>
    <xf numFmtId="170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horizontal="left" wrapText="1"/>
    </xf>
    <xf numFmtId="2" fontId="0" fillId="0" borderId="0" xfId="0" applyNumberForma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righ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wrapText="1"/>
    </xf>
    <xf numFmtId="1" fontId="0" fillId="0" borderId="1" xfId="0" applyNumberFormat="1" applyBorder="1" applyAlignment="1">
      <alignment horizontal="right" wrapText="1"/>
    </xf>
    <xf numFmtId="16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horizontal="left" wrapText="1"/>
    </xf>
    <xf numFmtId="2" fontId="0" fillId="0" borderId="1" xfId="0" applyNumberFormat="1" applyBorder="1" applyAlignment="1">
      <alignment wrapText="1"/>
    </xf>
    <xf numFmtId="2" fontId="0" fillId="5" borderId="1" xfId="0" applyNumberFormat="1" applyFill="1" applyBorder="1"/>
    <xf numFmtId="164" fontId="0" fillId="5" borderId="1" xfId="0" applyNumberFormat="1" applyFill="1" applyBorder="1"/>
    <xf numFmtId="0" fontId="0" fillId="5" borderId="1" xfId="0" applyFill="1" applyBorder="1"/>
    <xf numFmtId="164" fontId="3" fillId="5" borderId="1" xfId="0" applyNumberFormat="1" applyFont="1" applyFill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3" fillId="0" borderId="35" xfId="0" applyFont="1" applyBorder="1"/>
    <xf numFmtId="164" fontId="3" fillId="0" borderId="36" xfId="0" applyNumberFormat="1" applyFont="1" applyBorder="1"/>
    <xf numFmtId="6" fontId="9" fillId="0" borderId="1" xfId="0" applyNumberFormat="1" applyFont="1" applyBorder="1" applyAlignment="1">
      <alignment horizontal="center" vertical="center"/>
    </xf>
    <xf numFmtId="17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9" fillId="0" borderId="4" xfId="0" applyFont="1" applyBorder="1" applyAlignment="1">
      <alignment vertical="center"/>
    </xf>
    <xf numFmtId="9" fontId="0" fillId="0" borderId="0" xfId="36" applyFont="1" applyFill="1"/>
    <xf numFmtId="164" fontId="0" fillId="0" borderId="0" xfId="0" applyNumberFormat="1"/>
    <xf numFmtId="8" fontId="0" fillId="0" borderId="0" xfId="0" applyNumberFormat="1"/>
    <xf numFmtId="0" fontId="9" fillId="0" borderId="0" xfId="0" applyFont="1"/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right" vertical="center" wrapText="1"/>
    </xf>
    <xf numFmtId="0" fontId="0" fillId="0" borderId="12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0" borderId="29" xfId="0" applyFont="1" applyBorder="1" applyAlignment="1">
      <alignment horizontal="right" vertical="center" wrapText="1"/>
    </xf>
    <xf numFmtId="0" fontId="3" fillId="0" borderId="30" xfId="0" applyFont="1" applyBorder="1" applyAlignment="1">
      <alignment horizontal="right" vertical="center" wrapText="1"/>
    </xf>
    <xf numFmtId="0" fontId="3" fillId="0" borderId="31" xfId="0" applyFont="1" applyBorder="1" applyAlignment="1">
      <alignment horizontal="right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3" borderId="2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0" fillId="5" borderId="2" xfId="34" applyFont="1" applyFill="1" applyBorder="1" applyAlignment="1">
      <alignment horizontal="center" wrapText="1"/>
    </xf>
    <xf numFmtId="0" fontId="20" fillId="5" borderId="4" xfId="34" applyFont="1" applyFill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</cellXfs>
  <cellStyles count="37">
    <cellStyle name="Comma 2" xfId="22" xr:uid="{D7DF8993-3B91-435D-B355-80498C55241B}"/>
    <cellStyle name="Comma 3" xfId="29" xr:uid="{9C44CA53-2AFC-4232-9B70-236E18789BA7}"/>
    <cellStyle name="Comma 4" xfId="33" xr:uid="{793E2F99-944A-4EC5-B941-51234E720C68}"/>
    <cellStyle name="Currency 2" xfId="35" xr:uid="{86904B47-58EA-444C-82BB-B584AE14A74A}"/>
    <cellStyle name="Normal" xfId="0" builtinId="0"/>
    <cellStyle name="Normal 12" xfId="31" xr:uid="{5681C275-93B5-4ADC-9952-47253809A8D6}"/>
    <cellStyle name="Normal 2" xfId="2" xr:uid="{EB739E74-23D2-4F25-BD97-27C57749600D}"/>
    <cellStyle name="Normal 2 2" xfId="3" xr:uid="{BF13C6CF-E472-417B-8067-0925277BCF3F}"/>
    <cellStyle name="Normal 2 2 2" xfId="28" xr:uid="{29FC1B4B-F83B-4916-95FB-944D54FC3A46}"/>
    <cellStyle name="Normal 2 3" xfId="8" xr:uid="{40E137AB-D6DB-487A-9FA3-818CC82510CB}"/>
    <cellStyle name="Normal 2 4" xfId="7" xr:uid="{8F25D99C-7D22-4FD0-92D0-A010E070A317}"/>
    <cellStyle name="Normal 2 5" xfId="34" xr:uid="{6362BF57-4468-4B02-BADD-9E8641C2B903}"/>
    <cellStyle name="Normal 23" xfId="4" xr:uid="{46E5349A-B413-4D5D-B350-C78912586DB6}"/>
    <cellStyle name="Normal 23 2" xfId="10" xr:uid="{8AF84A6C-5FE6-430E-B8D9-F24160A92DE4}"/>
    <cellStyle name="Normal 23 2 2" xfId="23" xr:uid="{0F15E260-DA58-4C7F-9A73-3EF45DE3A2F3}"/>
    <cellStyle name="Normal 23 2 3" xfId="17" xr:uid="{530EAF15-8A95-499F-AA27-C2A5F2F4DE58}"/>
    <cellStyle name="Normal 23 3" xfId="12" xr:uid="{AF7B53D5-E279-4035-BA4F-B5C65CAC801A}"/>
    <cellStyle name="Normal 23 3 2" xfId="19" xr:uid="{D0D03B92-6B6D-4720-A08B-3C99B7CB198C}"/>
    <cellStyle name="Normal 23 4" xfId="14" xr:uid="{C614C065-DE08-4780-BF7E-7028F18745F8}"/>
    <cellStyle name="Normal 3" xfId="9" xr:uid="{57715B78-EDCE-41B7-9C7D-EBEED0A6739E}"/>
    <cellStyle name="Normal 3 2" xfId="24" xr:uid="{12C23A00-B51D-40C3-BC43-20EDD643A7A1}"/>
    <cellStyle name="Normal 3 3" xfId="25" xr:uid="{B5EAECD3-DE76-41CF-9491-15DC06938E40}"/>
    <cellStyle name="Normal 4" xfId="6" xr:uid="{D11ACDEA-F035-410D-B711-5D60F54D01AF}"/>
    <cellStyle name="Normal 4 2" xfId="26" xr:uid="{23413E0B-1FD5-42CF-8AAB-47A10CC4F8AB}"/>
    <cellStyle name="Normal 4 3" xfId="16" xr:uid="{9101C6B6-10C8-4059-B72A-90E761D9CB35}"/>
    <cellStyle name="Normal 5" xfId="11" xr:uid="{02620917-DDDB-4317-8CCC-37020F36A178}"/>
    <cellStyle name="Normal 5 2" xfId="18" xr:uid="{4121C213-7CDB-40D9-A8A1-DB4118298C04}"/>
    <cellStyle name="Normal 6" xfId="13" xr:uid="{F9122E5B-5B71-4139-8A41-74D2A0B53236}"/>
    <cellStyle name="Normal 6 2" xfId="20" xr:uid="{B42EAD2D-88CE-4BE1-BDE8-98D5FAE15C8C}"/>
    <cellStyle name="Normal 7" xfId="21" xr:uid="{48FF2AE2-16C8-41E0-8648-B397F6D17B04}"/>
    <cellStyle name="Normal 8" xfId="1" xr:uid="{5815D66A-F994-42B7-B414-C5FC74BB88C2}"/>
    <cellStyle name="Percent" xfId="36" builtinId="5"/>
    <cellStyle name="Percent 2" xfId="27" xr:uid="{61A8D7A2-30AD-4118-A3C6-266A9CDCA55B}"/>
    <cellStyle name="Percent 3" xfId="15" xr:uid="{32C92261-0541-4E6E-9CF0-A5FB8D29C3D1}"/>
    <cellStyle name="Percent 4" xfId="5" xr:uid="{91014616-30AA-4CF3-BA8D-7C6D73E99D17}"/>
    <cellStyle name="Percent 4 2" xfId="32" xr:uid="{F90CF7BF-2C98-42D7-9EE9-993110E646A9}"/>
    <cellStyle name="Percent 5" xfId="30" xr:uid="{D61767ED-5F57-48C3-879C-327AFAB5CB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613F0-70C7-49A5-AE2B-2D30E61076D3}">
  <sheetPr codeName="Sheet1"/>
  <dimension ref="A1:A10"/>
  <sheetViews>
    <sheetView tabSelected="1" zoomScaleNormal="100" zoomScaleSheetLayoutView="100" workbookViewId="0">
      <selection activeCell="I1" sqref="I1"/>
    </sheetView>
  </sheetViews>
  <sheetFormatPr defaultRowHeight="15" x14ac:dyDescent="0.25"/>
  <cols>
    <col min="1" max="1" width="42.140625" customWidth="1"/>
  </cols>
  <sheetData>
    <row r="1" spans="1:1" ht="18" x14ac:dyDescent="0.35">
      <c r="A1" s="15" t="s">
        <v>33</v>
      </c>
    </row>
    <row r="2" spans="1:1" ht="30.75" customHeight="1" x14ac:dyDescent="0.25">
      <c r="A2" s="27" t="s">
        <v>35</v>
      </c>
    </row>
    <row r="3" spans="1:1" ht="30.75" customHeight="1" x14ac:dyDescent="0.25">
      <c r="A3" s="27" t="s">
        <v>36</v>
      </c>
    </row>
    <row r="4" spans="1:1" ht="30.75" customHeight="1" x14ac:dyDescent="0.25">
      <c r="A4" s="27" t="s">
        <v>37</v>
      </c>
    </row>
    <row r="5" spans="1:1" ht="30.75" customHeight="1" x14ac:dyDescent="0.25">
      <c r="A5" s="27" t="s">
        <v>38</v>
      </c>
    </row>
    <row r="6" spans="1:1" ht="33" x14ac:dyDescent="0.25">
      <c r="A6" s="4" t="s">
        <v>192</v>
      </c>
    </row>
    <row r="8" spans="1:1" x14ac:dyDescent="0.25">
      <c r="A8" s="12"/>
    </row>
    <row r="9" spans="1:1" x14ac:dyDescent="0.25">
      <c r="A9" s="13"/>
    </row>
    <row r="10" spans="1:1" x14ac:dyDescent="0.25">
      <c r="A10" s="14"/>
    </row>
  </sheetData>
  <sheetProtection algorithmName="SHA-512" hashValue="qALp2gZ5we8jfkkMUyTgHedmwyLAonjAGihNRiFVazJFvuvdKLw6wGTOraTPgvPJ0dg0PznA4CnZ2HbMmnvO9g==" saltValue="youagLD9KgfC9fJTl+RwgQ==" spinCount="100000" sheet="1" objects="1" scenario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3FAF5-B679-45D5-BEDB-573FEF4DD25A}">
  <sheetPr codeName="Sheet10">
    <pageSetUpPr fitToPage="1"/>
  </sheetPr>
  <dimension ref="A1:O63"/>
  <sheetViews>
    <sheetView view="pageLayout" topLeftCell="B58" zoomScaleNormal="100" workbookViewId="0">
      <selection activeCell="B73" sqref="B73"/>
    </sheetView>
  </sheetViews>
  <sheetFormatPr defaultColWidth="9.140625" defaultRowHeight="15" x14ac:dyDescent="0.25"/>
  <cols>
    <col min="1" max="1" width="18.5703125" style="37" hidden="1" customWidth="1"/>
    <col min="2" max="2" width="22.28515625" style="37" customWidth="1"/>
    <col min="3" max="3" width="36.7109375" style="37" customWidth="1"/>
    <col min="4" max="6" width="12.42578125" style="131" customWidth="1"/>
    <col min="7" max="7" width="9.7109375" style="132" customWidth="1"/>
    <col min="8" max="8" width="9.5703125" style="37" customWidth="1"/>
    <col min="9" max="9" width="10" style="133" customWidth="1"/>
    <col min="10" max="10" width="8.42578125" style="134" customWidth="1"/>
    <col min="11" max="12" width="12.85546875" customWidth="1"/>
    <col min="15" max="15" width="39.28515625" customWidth="1"/>
  </cols>
  <sheetData>
    <row r="1" spans="1:15" x14ac:dyDescent="0.25">
      <c r="A1" s="197" t="s">
        <v>316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</row>
    <row r="2" spans="1:15" ht="18" x14ac:dyDescent="0.35">
      <c r="A2" s="196" t="s">
        <v>108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</row>
    <row r="3" spans="1:15" ht="42" customHeight="1" x14ac:dyDescent="0.25">
      <c r="K3" s="220" t="s">
        <v>212</v>
      </c>
      <c r="L3" s="220"/>
      <c r="M3" s="220"/>
      <c r="N3" s="220"/>
    </row>
    <row r="4" spans="1:15" s="11" customFormat="1" ht="45" x14ac:dyDescent="0.25">
      <c r="A4" s="135" t="s">
        <v>213</v>
      </c>
      <c r="B4" s="135" t="s">
        <v>214</v>
      </c>
      <c r="C4" s="135" t="s">
        <v>215</v>
      </c>
      <c r="D4" s="136" t="s">
        <v>216</v>
      </c>
      <c r="E4" s="136" t="s">
        <v>217</v>
      </c>
      <c r="F4" s="137" t="s">
        <v>218</v>
      </c>
      <c r="G4" s="138" t="s">
        <v>219</v>
      </c>
      <c r="H4" s="135" t="s">
        <v>220</v>
      </c>
      <c r="I4" s="135" t="s">
        <v>221</v>
      </c>
      <c r="J4" s="139" t="s">
        <v>222</v>
      </c>
      <c r="K4" s="140" t="s">
        <v>223</v>
      </c>
      <c r="L4" s="140" t="s">
        <v>224</v>
      </c>
      <c r="M4" s="141" t="s">
        <v>225</v>
      </c>
      <c r="N4" s="140" t="s">
        <v>226</v>
      </c>
      <c r="O4" s="152" t="s">
        <v>49</v>
      </c>
    </row>
    <row r="5" spans="1:15" x14ac:dyDescent="0.25">
      <c r="A5" s="142"/>
      <c r="B5" s="142" t="s">
        <v>227</v>
      </c>
      <c r="C5" s="142" t="s">
        <v>228</v>
      </c>
      <c r="D5" s="143">
        <v>5</v>
      </c>
      <c r="E5" s="143" t="s">
        <v>229</v>
      </c>
      <c r="F5" s="144">
        <v>480</v>
      </c>
      <c r="G5" s="145"/>
      <c r="H5" s="142">
        <v>125</v>
      </c>
      <c r="I5" s="146"/>
      <c r="J5" s="147">
        <f>+H5*1000/F5/1.732</f>
        <v>150.3560431100847</v>
      </c>
      <c r="K5" s="148">
        <v>0.1</v>
      </c>
      <c r="L5" s="149">
        <f t="shared" ref="L5:L22" si="0">K5*SQRT(3)*J5*F5/1000</f>
        <v>12.50036668280079</v>
      </c>
      <c r="M5" s="148">
        <v>0.85</v>
      </c>
      <c r="N5" s="149">
        <f>L5*M5</f>
        <v>10.625311680380671</v>
      </c>
      <c r="O5" s="153" t="s">
        <v>230</v>
      </c>
    </row>
    <row r="6" spans="1:15" x14ac:dyDescent="0.25">
      <c r="A6" s="142"/>
      <c r="B6" s="142" t="s">
        <v>231</v>
      </c>
      <c r="C6" s="142" t="s">
        <v>232</v>
      </c>
      <c r="D6" s="143">
        <v>1</v>
      </c>
      <c r="E6" s="143" t="s">
        <v>229</v>
      </c>
      <c r="F6" s="144">
        <v>480</v>
      </c>
      <c r="G6" s="145"/>
      <c r="H6" s="142">
        <v>1</v>
      </c>
      <c r="I6" s="146"/>
      <c r="J6" s="147">
        <f t="shared" ref="J6:J20" si="1">+H6*1000/F6/1.732</f>
        <v>1.2028483448806775</v>
      </c>
      <c r="K6" s="148">
        <v>0.1</v>
      </c>
      <c r="L6" s="149">
        <f t="shared" si="0"/>
        <v>0.10000293346240631</v>
      </c>
      <c r="M6" s="148">
        <v>0.8</v>
      </c>
      <c r="N6" s="149">
        <f t="shared" ref="N6:N22" si="2">L6*M6</f>
        <v>8.0002346769925056E-2</v>
      </c>
      <c r="O6" s="153" t="s">
        <v>230</v>
      </c>
    </row>
    <row r="7" spans="1:15" x14ac:dyDescent="0.25">
      <c r="A7" s="142"/>
      <c r="B7" s="142" t="s">
        <v>233</v>
      </c>
      <c r="C7" s="142" t="s">
        <v>234</v>
      </c>
      <c r="D7" s="143">
        <v>1</v>
      </c>
      <c r="E7" s="143" t="s">
        <v>229</v>
      </c>
      <c r="F7" s="144">
        <v>480</v>
      </c>
      <c r="G7" s="145"/>
      <c r="H7" s="142">
        <v>7.5</v>
      </c>
      <c r="I7" s="146"/>
      <c r="J7" s="147">
        <f t="shared" si="1"/>
        <v>9.0213625866050808</v>
      </c>
      <c r="K7" s="148">
        <v>0.87</v>
      </c>
      <c r="L7" s="149">
        <f t="shared" si="0"/>
        <v>6.5251914084220113</v>
      </c>
      <c r="M7" s="148">
        <v>0.8</v>
      </c>
      <c r="N7" s="149">
        <f t="shared" si="2"/>
        <v>5.2201531267376096</v>
      </c>
      <c r="O7" s="153"/>
    </row>
    <row r="8" spans="1:15" x14ac:dyDescent="0.25">
      <c r="A8" s="142"/>
      <c r="B8" s="142" t="s">
        <v>235</v>
      </c>
      <c r="C8" s="142" t="s">
        <v>236</v>
      </c>
      <c r="D8" s="143">
        <v>1</v>
      </c>
      <c r="E8" s="143" t="s">
        <v>229</v>
      </c>
      <c r="F8" s="144">
        <v>480</v>
      </c>
      <c r="G8" s="145"/>
      <c r="H8" s="142">
        <v>3</v>
      </c>
      <c r="I8" s="146"/>
      <c r="J8" s="147">
        <f t="shared" si="1"/>
        <v>3.6085450346420322</v>
      </c>
      <c r="K8" s="148">
        <v>0.87</v>
      </c>
      <c r="L8" s="149">
        <f t="shared" si="0"/>
        <v>2.6100765633688048</v>
      </c>
      <c r="M8" s="148">
        <v>0.8</v>
      </c>
      <c r="N8" s="149">
        <f t="shared" si="2"/>
        <v>2.088061250695044</v>
      </c>
      <c r="O8" s="153"/>
    </row>
    <row r="9" spans="1:15" x14ac:dyDescent="0.25">
      <c r="A9" s="142"/>
      <c r="B9" s="142" t="s">
        <v>235</v>
      </c>
      <c r="C9" s="142" t="s">
        <v>237</v>
      </c>
      <c r="D9" s="143">
        <v>1</v>
      </c>
      <c r="E9" s="143" t="s">
        <v>229</v>
      </c>
      <c r="F9" s="144">
        <v>480</v>
      </c>
      <c r="G9" s="145"/>
      <c r="H9" s="142">
        <v>3</v>
      </c>
      <c r="I9" s="146"/>
      <c r="J9" s="147">
        <f t="shared" si="1"/>
        <v>3.6085450346420322</v>
      </c>
      <c r="K9" s="148">
        <v>0.87</v>
      </c>
      <c r="L9" s="149">
        <f t="shared" si="0"/>
        <v>2.6100765633688048</v>
      </c>
      <c r="M9" s="148">
        <v>0.8</v>
      </c>
      <c r="N9" s="149">
        <f t="shared" si="2"/>
        <v>2.088061250695044</v>
      </c>
      <c r="O9" s="153"/>
    </row>
    <row r="10" spans="1:15" x14ac:dyDescent="0.25">
      <c r="A10" s="142"/>
      <c r="B10" s="142" t="s">
        <v>238</v>
      </c>
      <c r="C10" s="142" t="s">
        <v>239</v>
      </c>
      <c r="D10" s="143">
        <v>3</v>
      </c>
      <c r="E10" s="143" t="s">
        <v>229</v>
      </c>
      <c r="F10" s="144">
        <v>480</v>
      </c>
      <c r="G10" s="145"/>
      <c r="H10" s="142">
        <v>50</v>
      </c>
      <c r="I10" s="146"/>
      <c r="J10" s="147">
        <f t="shared" si="1"/>
        <v>60.142417244033872</v>
      </c>
      <c r="K10" s="148">
        <v>0.25</v>
      </c>
      <c r="L10" s="149">
        <f t="shared" si="0"/>
        <v>12.500366682800788</v>
      </c>
      <c r="M10" s="148">
        <v>0.85</v>
      </c>
      <c r="N10" s="149">
        <f t="shared" si="2"/>
        <v>10.625311680380669</v>
      </c>
      <c r="O10" s="153" t="s">
        <v>240</v>
      </c>
    </row>
    <row r="11" spans="1:15" x14ac:dyDescent="0.25">
      <c r="A11" s="142"/>
      <c r="B11" s="142" t="s">
        <v>238</v>
      </c>
      <c r="C11" s="142" t="s">
        <v>241</v>
      </c>
      <c r="D11" s="143">
        <v>3</v>
      </c>
      <c r="E11" s="143" t="s">
        <v>229</v>
      </c>
      <c r="F11" s="144">
        <v>480</v>
      </c>
      <c r="G11" s="145"/>
      <c r="H11" s="142">
        <v>50</v>
      </c>
      <c r="I11" s="146"/>
      <c r="J11" s="147">
        <f t="shared" si="1"/>
        <v>60.142417244033872</v>
      </c>
      <c r="K11" s="148">
        <v>0</v>
      </c>
      <c r="L11" s="149">
        <f t="shared" si="0"/>
        <v>0</v>
      </c>
      <c r="M11" s="148">
        <v>0.85</v>
      </c>
      <c r="N11" s="149">
        <f t="shared" si="2"/>
        <v>0</v>
      </c>
      <c r="O11" s="153" t="s">
        <v>242</v>
      </c>
    </row>
    <row r="12" spans="1:15" x14ac:dyDescent="0.25">
      <c r="A12" s="142"/>
      <c r="B12" s="142" t="s">
        <v>238</v>
      </c>
      <c r="C12" s="142" t="s">
        <v>243</v>
      </c>
      <c r="D12" s="143">
        <v>3</v>
      </c>
      <c r="E12" s="143" t="s">
        <v>229</v>
      </c>
      <c r="F12" s="144">
        <v>480</v>
      </c>
      <c r="G12" s="145"/>
      <c r="H12" s="142">
        <v>1</v>
      </c>
      <c r="I12" s="146"/>
      <c r="J12" s="147">
        <f t="shared" si="1"/>
        <v>1.2028483448806775</v>
      </c>
      <c r="K12" s="148">
        <v>0.25</v>
      </c>
      <c r="L12" s="149">
        <f t="shared" si="0"/>
        <v>0.25000733365601574</v>
      </c>
      <c r="M12" s="148">
        <v>0.8</v>
      </c>
      <c r="N12" s="149">
        <f t="shared" si="2"/>
        <v>0.20000586692481259</v>
      </c>
      <c r="O12" s="153" t="s">
        <v>240</v>
      </c>
    </row>
    <row r="13" spans="1:15" x14ac:dyDescent="0.25">
      <c r="A13" s="142"/>
      <c r="B13" s="142" t="s">
        <v>244</v>
      </c>
      <c r="C13" s="142" t="s">
        <v>245</v>
      </c>
      <c r="D13" s="143">
        <v>1</v>
      </c>
      <c r="E13" s="143" t="s">
        <v>229</v>
      </c>
      <c r="F13" s="144">
        <v>480</v>
      </c>
      <c r="G13" s="145"/>
      <c r="H13" s="142">
        <v>1</v>
      </c>
      <c r="I13" s="146"/>
      <c r="J13" s="147">
        <f t="shared" si="1"/>
        <v>1.2028483448806775</v>
      </c>
      <c r="K13" s="148">
        <v>0.25</v>
      </c>
      <c r="L13" s="149">
        <f t="shared" si="0"/>
        <v>0.25000733365601574</v>
      </c>
      <c r="M13" s="148">
        <v>0.8</v>
      </c>
      <c r="N13" s="149">
        <f t="shared" si="2"/>
        <v>0.20000586692481259</v>
      </c>
      <c r="O13" s="153" t="s">
        <v>240</v>
      </c>
    </row>
    <row r="14" spans="1:15" x14ac:dyDescent="0.25">
      <c r="A14" s="142"/>
      <c r="B14" s="142" t="s">
        <v>244</v>
      </c>
      <c r="C14" s="142" t="s">
        <v>246</v>
      </c>
      <c r="D14" s="143">
        <v>1</v>
      </c>
      <c r="E14" s="143" t="s">
        <v>229</v>
      </c>
      <c r="F14" s="144">
        <v>480</v>
      </c>
      <c r="G14" s="145"/>
      <c r="H14" s="142">
        <v>1</v>
      </c>
      <c r="I14" s="146"/>
      <c r="J14" s="147">
        <f t="shared" si="1"/>
        <v>1.2028483448806775</v>
      </c>
      <c r="K14" s="148">
        <v>0.25</v>
      </c>
      <c r="L14" s="149">
        <f t="shared" si="0"/>
        <v>0.25000733365601574</v>
      </c>
      <c r="M14" s="148">
        <v>0.8</v>
      </c>
      <c r="N14" s="149">
        <f t="shared" si="2"/>
        <v>0.20000586692481259</v>
      </c>
      <c r="O14" s="153" t="s">
        <v>240</v>
      </c>
    </row>
    <row r="15" spans="1:15" x14ac:dyDescent="0.25">
      <c r="A15" s="142"/>
      <c r="B15" s="142"/>
      <c r="C15" s="142" t="s">
        <v>247</v>
      </c>
      <c r="D15" s="143"/>
      <c r="E15" s="143"/>
      <c r="F15" s="144">
        <v>480</v>
      </c>
      <c r="G15" s="145">
        <v>5000</v>
      </c>
      <c r="H15" s="142"/>
      <c r="I15" s="146">
        <v>5000</v>
      </c>
      <c r="J15" s="147">
        <f>+I15/F15/1.732</f>
        <v>6.0142417244033872</v>
      </c>
      <c r="K15" s="148">
        <v>0.1</v>
      </c>
      <c r="L15" s="149">
        <f t="shared" si="0"/>
        <v>0.50001466731203148</v>
      </c>
      <c r="M15" s="148">
        <v>1</v>
      </c>
      <c r="N15" s="149">
        <f t="shared" si="2"/>
        <v>0.50001466731203148</v>
      </c>
      <c r="O15" s="153" t="s">
        <v>230</v>
      </c>
    </row>
    <row r="16" spans="1:15" x14ac:dyDescent="0.25">
      <c r="A16" s="142"/>
      <c r="B16" s="142"/>
      <c r="C16" s="142" t="s">
        <v>248</v>
      </c>
      <c r="D16" s="143"/>
      <c r="E16" s="143"/>
      <c r="F16" s="144">
        <v>480</v>
      </c>
      <c r="G16" s="145">
        <v>5000</v>
      </c>
      <c r="H16" s="142"/>
      <c r="I16" s="146">
        <v>5000</v>
      </c>
      <c r="J16" s="147">
        <f>+I16/F16/1.732</f>
        <v>6.0142417244033872</v>
      </c>
      <c r="K16" s="148">
        <v>1</v>
      </c>
      <c r="L16" s="149">
        <f t="shared" si="0"/>
        <v>5.000146673120315</v>
      </c>
      <c r="M16" s="148">
        <v>1</v>
      </c>
      <c r="N16" s="149">
        <f t="shared" si="2"/>
        <v>5.000146673120315</v>
      </c>
      <c r="O16" s="153"/>
    </row>
    <row r="17" spans="1:15" x14ac:dyDescent="0.25">
      <c r="A17" s="142"/>
      <c r="B17" s="142"/>
      <c r="C17" s="142" t="s">
        <v>249</v>
      </c>
      <c r="D17" s="143"/>
      <c r="E17" s="143"/>
      <c r="F17" s="144">
        <v>480</v>
      </c>
      <c r="G17" s="145">
        <v>5000</v>
      </c>
      <c r="H17" s="142"/>
      <c r="I17" s="146">
        <v>5000</v>
      </c>
      <c r="J17" s="147">
        <f t="shared" ref="J17" si="3">+I17/F17/1.732</f>
        <v>6.0142417244033872</v>
      </c>
      <c r="K17" s="148">
        <v>1</v>
      </c>
      <c r="L17" s="149">
        <f t="shared" si="0"/>
        <v>5.000146673120315</v>
      </c>
      <c r="M17" s="148">
        <v>1</v>
      </c>
      <c r="N17" s="149">
        <f t="shared" si="2"/>
        <v>5.000146673120315</v>
      </c>
      <c r="O17" s="153"/>
    </row>
    <row r="18" spans="1:15" x14ac:dyDescent="0.25">
      <c r="A18" s="142"/>
      <c r="B18" s="142"/>
      <c r="C18" s="142" t="s">
        <v>250</v>
      </c>
      <c r="D18" s="143">
        <v>1</v>
      </c>
      <c r="E18" s="143" t="s">
        <v>229</v>
      </c>
      <c r="F18" s="144">
        <v>480</v>
      </c>
      <c r="G18" s="145"/>
      <c r="H18" s="142">
        <v>2</v>
      </c>
      <c r="I18" s="146"/>
      <c r="J18" s="147">
        <f t="shared" ref="J18:J19" si="4">+H18*1000/F18/1.732</f>
        <v>2.405696689761355</v>
      </c>
      <c r="K18" s="148">
        <v>0.87</v>
      </c>
      <c r="L18" s="149">
        <f t="shared" si="0"/>
        <v>1.7400510422458697</v>
      </c>
      <c r="M18" s="148">
        <v>0.8</v>
      </c>
      <c r="N18" s="149">
        <f t="shared" si="2"/>
        <v>1.3920408337966959</v>
      </c>
      <c r="O18" s="153"/>
    </row>
    <row r="19" spans="1:15" x14ac:dyDescent="0.25">
      <c r="A19" s="142"/>
      <c r="B19" s="142"/>
      <c r="C19" s="142" t="s">
        <v>251</v>
      </c>
      <c r="D19" s="143">
        <v>1</v>
      </c>
      <c r="E19" s="143" t="s">
        <v>229</v>
      </c>
      <c r="F19" s="144">
        <v>480</v>
      </c>
      <c r="G19" s="145"/>
      <c r="H19" s="142">
        <v>2</v>
      </c>
      <c r="I19" s="146"/>
      <c r="J19" s="147">
        <f t="shared" si="4"/>
        <v>2.405696689761355</v>
      </c>
      <c r="K19" s="148">
        <v>0.87</v>
      </c>
      <c r="L19" s="149">
        <f t="shared" si="0"/>
        <v>1.7400510422458697</v>
      </c>
      <c r="M19" s="148">
        <v>0.8</v>
      </c>
      <c r="N19" s="149">
        <f t="shared" si="2"/>
        <v>1.3920408337966959</v>
      </c>
      <c r="O19" s="153"/>
    </row>
    <row r="20" spans="1:15" x14ac:dyDescent="0.25">
      <c r="A20" s="142"/>
      <c r="B20" s="142"/>
      <c r="C20" s="142" t="s">
        <v>252</v>
      </c>
      <c r="D20" s="143">
        <v>3</v>
      </c>
      <c r="E20" s="143" t="s">
        <v>229</v>
      </c>
      <c r="F20" s="144">
        <v>480</v>
      </c>
      <c r="G20" s="145"/>
      <c r="H20" s="142">
        <v>30</v>
      </c>
      <c r="I20" s="146"/>
      <c r="J20" s="147">
        <f t="shared" si="1"/>
        <v>36.085450346420323</v>
      </c>
      <c r="K20" s="148">
        <v>0.87</v>
      </c>
      <c r="L20" s="149">
        <f t="shared" si="0"/>
        <v>26.100765633688045</v>
      </c>
      <c r="M20" s="148">
        <v>0.85</v>
      </c>
      <c r="N20" s="149">
        <f t="shared" si="2"/>
        <v>22.185650788634838</v>
      </c>
      <c r="O20" s="153" t="s">
        <v>253</v>
      </c>
    </row>
    <row r="21" spans="1:15" x14ac:dyDescent="0.25">
      <c r="A21" s="142"/>
      <c r="B21" s="142"/>
      <c r="C21" s="142" t="s">
        <v>254</v>
      </c>
      <c r="D21" s="143"/>
      <c r="E21" s="143" t="s">
        <v>255</v>
      </c>
      <c r="F21" s="144">
        <v>480</v>
      </c>
      <c r="G21" s="145">
        <v>1500</v>
      </c>
      <c r="H21" s="142"/>
      <c r="I21" s="146">
        <v>1500</v>
      </c>
      <c r="J21" s="147">
        <f t="shared" ref="J21:J22" si="5">+I21/F21/1.732</f>
        <v>1.8042725173210161</v>
      </c>
      <c r="K21" s="148">
        <v>1</v>
      </c>
      <c r="L21" s="149">
        <f t="shared" si="0"/>
        <v>1.5000440019360946</v>
      </c>
      <c r="M21" s="148">
        <v>0.9</v>
      </c>
      <c r="N21" s="149">
        <f t="shared" si="2"/>
        <v>1.3500396017424852</v>
      </c>
      <c r="O21" s="153"/>
    </row>
    <row r="22" spans="1:15" x14ac:dyDescent="0.25">
      <c r="A22" s="142"/>
      <c r="B22" s="142"/>
      <c r="C22" s="142" t="s">
        <v>256</v>
      </c>
      <c r="D22" s="143"/>
      <c r="E22" s="143"/>
      <c r="F22" s="144">
        <v>480</v>
      </c>
      <c r="G22" s="145">
        <v>1500</v>
      </c>
      <c r="H22" s="142"/>
      <c r="I22" s="146">
        <v>1500</v>
      </c>
      <c r="J22" s="147">
        <f t="shared" si="5"/>
        <v>1.8042725173210161</v>
      </c>
      <c r="K22" s="148">
        <v>1</v>
      </c>
      <c r="L22" s="149">
        <f t="shared" si="0"/>
        <v>1.5000440019360946</v>
      </c>
      <c r="M22" s="148">
        <v>0.9</v>
      </c>
      <c r="N22" s="149">
        <f t="shared" si="2"/>
        <v>1.3500396017424852</v>
      </c>
      <c r="O22" s="153"/>
    </row>
    <row r="23" spans="1:15" x14ac:dyDescent="0.25">
      <c r="A23" s="142"/>
      <c r="B23" s="142"/>
      <c r="C23" s="143" t="s">
        <v>48</v>
      </c>
      <c r="D23" s="143">
        <f>SUM(D5:D22)</f>
        <v>25</v>
      </c>
      <c r="E23" s="143"/>
      <c r="F23" s="144"/>
      <c r="G23" s="145"/>
      <c r="H23" s="142">
        <f>SUM(H5:H22)</f>
        <v>276.5</v>
      </c>
      <c r="I23" s="146"/>
      <c r="J23" s="147">
        <f>SUM(J5:J22)</f>
        <v>354.2388375673595</v>
      </c>
      <c r="K23" s="150"/>
      <c r="L23" s="150"/>
      <c r="M23" s="150"/>
      <c r="N23" s="151">
        <f>SUM(N5:N22)</f>
        <v>69.497038609699246</v>
      </c>
      <c r="O23" s="153"/>
    </row>
    <row r="24" spans="1:15" x14ac:dyDescent="0.25">
      <c r="A24" s="142"/>
      <c r="B24" s="142"/>
      <c r="C24" s="142"/>
      <c r="D24" s="143"/>
      <c r="E24" s="143"/>
      <c r="F24" s="144"/>
      <c r="G24" s="145"/>
      <c r="H24" s="142"/>
      <c r="I24" s="146"/>
      <c r="J24" s="147"/>
    </row>
    <row r="25" spans="1:15" x14ac:dyDescent="0.25">
      <c r="A25" s="142"/>
      <c r="B25" s="142"/>
      <c r="C25" s="142"/>
      <c r="D25" s="143"/>
      <c r="E25" s="143"/>
      <c r="F25" s="144"/>
      <c r="G25" s="145"/>
      <c r="H25" s="142"/>
      <c r="I25" s="146"/>
      <c r="J25" s="147"/>
    </row>
    <row r="26" spans="1:15" x14ac:dyDescent="0.25">
      <c r="A26" s="142"/>
      <c r="B26" s="142" t="s">
        <v>227</v>
      </c>
      <c r="C26" s="142" t="s">
        <v>257</v>
      </c>
      <c r="D26" s="143">
        <v>1</v>
      </c>
      <c r="E26" s="143" t="s">
        <v>229</v>
      </c>
      <c r="F26" s="144">
        <v>480</v>
      </c>
      <c r="G26" s="145"/>
      <c r="H26" s="142">
        <v>3</v>
      </c>
      <c r="I26" s="146"/>
      <c r="J26" s="147">
        <f t="shared" ref="J26:J58" si="6">+H26*1000/F26/1.732</f>
        <v>3.6085450346420322</v>
      </c>
      <c r="K26" s="148">
        <v>0.87</v>
      </c>
      <c r="L26" s="149">
        <f t="shared" ref="L26:L60" si="7">K26*SQRT(3)*J26*F26/1000</f>
        <v>2.6100765633688048</v>
      </c>
      <c r="M26" s="150">
        <v>0.8</v>
      </c>
      <c r="N26" s="149">
        <f t="shared" ref="N26:N60" si="8">L26*M26</f>
        <v>2.088061250695044</v>
      </c>
      <c r="O26" s="153"/>
    </row>
    <row r="27" spans="1:15" x14ac:dyDescent="0.25">
      <c r="A27" s="142"/>
      <c r="B27" s="142" t="s">
        <v>227</v>
      </c>
      <c r="C27" s="142" t="s">
        <v>258</v>
      </c>
      <c r="D27" s="143">
        <v>1</v>
      </c>
      <c r="E27" s="143" t="s">
        <v>229</v>
      </c>
      <c r="F27" s="144">
        <v>480</v>
      </c>
      <c r="G27" s="145"/>
      <c r="H27" s="142">
        <v>3</v>
      </c>
      <c r="I27" s="146"/>
      <c r="J27" s="147">
        <f t="shared" si="6"/>
        <v>3.6085450346420322</v>
      </c>
      <c r="K27" s="148">
        <v>0.87</v>
      </c>
      <c r="L27" s="149">
        <f t="shared" si="7"/>
        <v>2.6100765633688048</v>
      </c>
      <c r="M27" s="150">
        <v>0.8</v>
      </c>
      <c r="N27" s="149">
        <f t="shared" si="8"/>
        <v>2.088061250695044</v>
      </c>
      <c r="O27" s="153"/>
    </row>
    <row r="28" spans="1:15" x14ac:dyDescent="0.25">
      <c r="A28" s="142"/>
      <c r="B28" s="142"/>
      <c r="C28" s="142" t="s">
        <v>259</v>
      </c>
      <c r="D28" s="143">
        <v>1</v>
      </c>
      <c r="E28" s="143" t="s">
        <v>229</v>
      </c>
      <c r="F28" s="144">
        <v>480</v>
      </c>
      <c r="G28" s="145"/>
      <c r="H28" s="142">
        <v>1.5</v>
      </c>
      <c r="I28" s="146"/>
      <c r="J28" s="147">
        <f t="shared" si="6"/>
        <v>1.8042725173210161</v>
      </c>
      <c r="K28" s="148">
        <v>0.87</v>
      </c>
      <c r="L28" s="149">
        <f t="shared" si="7"/>
        <v>1.3050382816844024</v>
      </c>
      <c r="M28" s="150">
        <v>0.8</v>
      </c>
      <c r="N28" s="149">
        <f t="shared" si="8"/>
        <v>1.044030625347522</v>
      </c>
      <c r="O28" s="153"/>
    </row>
    <row r="29" spans="1:15" x14ac:dyDescent="0.25">
      <c r="A29" s="142"/>
      <c r="B29" s="142"/>
      <c r="C29" s="142" t="s">
        <v>260</v>
      </c>
      <c r="D29" s="143">
        <v>1</v>
      </c>
      <c r="E29" s="143" t="s">
        <v>229</v>
      </c>
      <c r="F29" s="144">
        <v>480</v>
      </c>
      <c r="G29" s="145"/>
      <c r="H29" s="142">
        <v>1.5</v>
      </c>
      <c r="I29" s="146"/>
      <c r="J29" s="147">
        <f t="shared" si="6"/>
        <v>1.8042725173210161</v>
      </c>
      <c r="K29" s="148">
        <v>0.87</v>
      </c>
      <c r="L29" s="149">
        <f t="shared" si="7"/>
        <v>1.3050382816844024</v>
      </c>
      <c r="M29" s="150">
        <v>0.8</v>
      </c>
      <c r="N29" s="149">
        <f t="shared" si="8"/>
        <v>1.044030625347522</v>
      </c>
      <c r="O29" s="153"/>
    </row>
    <row r="30" spans="1:15" x14ac:dyDescent="0.25">
      <c r="A30" s="142"/>
      <c r="B30" s="142"/>
      <c r="C30" s="142" t="s">
        <v>261</v>
      </c>
      <c r="D30" s="143">
        <v>1</v>
      </c>
      <c r="E30" s="143" t="s">
        <v>229</v>
      </c>
      <c r="F30" s="144">
        <v>480</v>
      </c>
      <c r="G30" s="145"/>
      <c r="H30" s="142">
        <v>1</v>
      </c>
      <c r="I30" s="146"/>
      <c r="J30" s="147">
        <f t="shared" si="6"/>
        <v>1.2028483448806775</v>
      </c>
      <c r="K30" s="148">
        <v>0.87</v>
      </c>
      <c r="L30" s="149">
        <f t="shared" si="7"/>
        <v>0.87002552112293485</v>
      </c>
      <c r="M30" s="150">
        <v>0.8</v>
      </c>
      <c r="N30" s="149">
        <f t="shared" si="8"/>
        <v>0.69602041689834793</v>
      </c>
      <c r="O30" s="153"/>
    </row>
    <row r="31" spans="1:15" x14ac:dyDescent="0.25">
      <c r="A31" s="142"/>
      <c r="B31" s="142"/>
      <c r="C31" s="142" t="s">
        <v>262</v>
      </c>
      <c r="D31" s="143">
        <v>1</v>
      </c>
      <c r="E31" s="143" t="s">
        <v>229</v>
      </c>
      <c r="F31" s="144">
        <v>480</v>
      </c>
      <c r="G31" s="145"/>
      <c r="H31" s="142">
        <v>2</v>
      </c>
      <c r="I31" s="146"/>
      <c r="J31" s="147">
        <f t="shared" si="6"/>
        <v>2.405696689761355</v>
      </c>
      <c r="K31" s="148">
        <v>0.87</v>
      </c>
      <c r="L31" s="149">
        <f t="shared" si="7"/>
        <v>1.7400510422458697</v>
      </c>
      <c r="M31" s="150">
        <v>0.8</v>
      </c>
      <c r="N31" s="149">
        <f t="shared" si="8"/>
        <v>1.3920408337966959</v>
      </c>
      <c r="O31" s="153"/>
    </row>
    <row r="32" spans="1:15" x14ac:dyDescent="0.25">
      <c r="A32" s="142"/>
      <c r="B32" s="142"/>
      <c r="C32" s="142" t="s">
        <v>263</v>
      </c>
      <c r="D32" s="143">
        <v>1</v>
      </c>
      <c r="E32" s="143" t="s">
        <v>229</v>
      </c>
      <c r="F32" s="144">
        <v>480</v>
      </c>
      <c r="G32" s="145"/>
      <c r="H32" s="142">
        <v>2</v>
      </c>
      <c r="I32" s="146"/>
      <c r="J32" s="147">
        <f t="shared" si="6"/>
        <v>2.405696689761355</v>
      </c>
      <c r="K32" s="148">
        <v>0</v>
      </c>
      <c r="L32" s="149">
        <f t="shared" si="7"/>
        <v>0</v>
      </c>
      <c r="M32" s="150">
        <v>0.8</v>
      </c>
      <c r="N32" s="149">
        <f t="shared" si="8"/>
        <v>0</v>
      </c>
      <c r="O32" s="153" t="s">
        <v>242</v>
      </c>
    </row>
    <row r="33" spans="1:15" x14ac:dyDescent="0.25">
      <c r="A33" s="142"/>
      <c r="B33" s="142"/>
      <c r="C33" s="142" t="s">
        <v>264</v>
      </c>
      <c r="D33" s="143">
        <v>3</v>
      </c>
      <c r="E33" s="143" t="s">
        <v>229</v>
      </c>
      <c r="F33" s="144">
        <v>480</v>
      </c>
      <c r="G33" s="145"/>
      <c r="H33" s="142">
        <v>30</v>
      </c>
      <c r="I33" s="146"/>
      <c r="J33" s="147">
        <f t="shared" si="6"/>
        <v>36.085450346420323</v>
      </c>
      <c r="K33" s="148">
        <v>0.87</v>
      </c>
      <c r="L33" s="149">
        <f t="shared" si="7"/>
        <v>26.100765633688045</v>
      </c>
      <c r="M33" s="150">
        <v>0.85</v>
      </c>
      <c r="N33" s="149">
        <f t="shared" si="8"/>
        <v>22.185650788634838</v>
      </c>
      <c r="O33" s="153"/>
    </row>
    <row r="34" spans="1:15" x14ac:dyDescent="0.25">
      <c r="A34" s="142"/>
      <c r="B34" s="142"/>
      <c r="C34" s="142" t="s">
        <v>265</v>
      </c>
      <c r="D34" s="143">
        <v>4</v>
      </c>
      <c r="E34" s="143" t="s">
        <v>229</v>
      </c>
      <c r="F34" s="144">
        <v>480</v>
      </c>
      <c r="G34" s="145"/>
      <c r="H34" s="142">
        <v>60</v>
      </c>
      <c r="I34" s="146"/>
      <c r="J34" s="147">
        <f t="shared" si="6"/>
        <v>72.170900692840647</v>
      </c>
      <c r="K34" s="148">
        <v>0.87</v>
      </c>
      <c r="L34" s="149">
        <f t="shared" si="7"/>
        <v>52.20153126737609</v>
      </c>
      <c r="M34" s="150">
        <v>0.85</v>
      </c>
      <c r="N34" s="149">
        <f t="shared" si="8"/>
        <v>44.371301577269676</v>
      </c>
      <c r="O34" s="153"/>
    </row>
    <row r="35" spans="1:15" x14ac:dyDescent="0.25">
      <c r="A35" s="142"/>
      <c r="B35" s="142"/>
      <c r="C35" s="142" t="s">
        <v>266</v>
      </c>
      <c r="D35" s="143">
        <v>3</v>
      </c>
      <c r="E35" s="143" t="s">
        <v>229</v>
      </c>
      <c r="F35" s="144">
        <v>480</v>
      </c>
      <c r="G35" s="145"/>
      <c r="H35" s="142">
        <v>30</v>
      </c>
      <c r="I35" s="146"/>
      <c r="J35" s="147">
        <f t="shared" si="6"/>
        <v>36.085450346420323</v>
      </c>
      <c r="K35" s="148">
        <v>0</v>
      </c>
      <c r="L35" s="149">
        <f t="shared" si="7"/>
        <v>0</v>
      </c>
      <c r="M35" s="150">
        <v>0.85</v>
      </c>
      <c r="N35" s="149">
        <f t="shared" si="8"/>
        <v>0</v>
      </c>
      <c r="O35" s="153" t="s">
        <v>242</v>
      </c>
    </row>
    <row r="36" spans="1:15" x14ac:dyDescent="0.25">
      <c r="A36" s="142"/>
      <c r="B36" s="142"/>
      <c r="C36" s="142" t="s">
        <v>267</v>
      </c>
      <c r="D36" s="143">
        <v>1</v>
      </c>
      <c r="E36" s="143" t="s">
        <v>229</v>
      </c>
      <c r="F36" s="144">
        <v>480</v>
      </c>
      <c r="G36" s="145"/>
      <c r="H36" s="142">
        <v>3</v>
      </c>
      <c r="I36" s="146"/>
      <c r="J36" s="147">
        <f t="shared" si="6"/>
        <v>3.6085450346420322</v>
      </c>
      <c r="K36" s="148">
        <v>0.87</v>
      </c>
      <c r="L36" s="149">
        <f t="shared" si="7"/>
        <v>2.6100765633688048</v>
      </c>
      <c r="M36" s="150">
        <v>0.8</v>
      </c>
      <c r="N36" s="149">
        <f t="shared" si="8"/>
        <v>2.088061250695044</v>
      </c>
      <c r="O36" s="153"/>
    </row>
    <row r="37" spans="1:15" x14ac:dyDescent="0.25">
      <c r="A37" s="142"/>
      <c r="B37" s="142"/>
      <c r="C37" s="142" t="s">
        <v>268</v>
      </c>
      <c r="D37" s="143">
        <v>1</v>
      </c>
      <c r="E37" s="143" t="s">
        <v>229</v>
      </c>
      <c r="F37" s="144">
        <v>480</v>
      </c>
      <c r="G37" s="145"/>
      <c r="H37" s="142">
        <v>6</v>
      </c>
      <c r="I37" s="146"/>
      <c r="J37" s="147">
        <f t="shared" si="6"/>
        <v>7.2170900692840645</v>
      </c>
      <c r="K37" s="148">
        <v>0.87</v>
      </c>
      <c r="L37" s="149">
        <f t="shared" si="7"/>
        <v>5.2201531267376096</v>
      </c>
      <c r="M37" s="150">
        <v>0.8</v>
      </c>
      <c r="N37" s="149">
        <f t="shared" si="8"/>
        <v>4.176122501390088</v>
      </c>
      <c r="O37" s="153"/>
    </row>
    <row r="38" spans="1:15" x14ac:dyDescent="0.25">
      <c r="A38" s="142"/>
      <c r="B38" s="142"/>
      <c r="C38" s="142" t="s">
        <v>269</v>
      </c>
      <c r="D38" s="143">
        <v>1</v>
      </c>
      <c r="E38" s="143" t="s">
        <v>229</v>
      </c>
      <c r="F38" s="144">
        <v>480</v>
      </c>
      <c r="G38" s="145"/>
      <c r="H38" s="142">
        <v>3</v>
      </c>
      <c r="I38" s="146"/>
      <c r="J38" s="147">
        <f t="shared" si="6"/>
        <v>3.6085450346420322</v>
      </c>
      <c r="K38" s="148">
        <v>0</v>
      </c>
      <c r="L38" s="149">
        <f t="shared" si="7"/>
        <v>0</v>
      </c>
      <c r="M38" s="150">
        <v>0.8</v>
      </c>
      <c r="N38" s="149">
        <f t="shared" si="8"/>
        <v>0</v>
      </c>
      <c r="O38" s="153" t="s">
        <v>242</v>
      </c>
    </row>
    <row r="39" spans="1:15" x14ac:dyDescent="0.25">
      <c r="A39" s="142"/>
      <c r="B39" s="142"/>
      <c r="C39" s="142" t="s">
        <v>270</v>
      </c>
      <c r="D39" s="143">
        <v>2</v>
      </c>
      <c r="E39" s="143" t="s">
        <v>229</v>
      </c>
      <c r="F39" s="144">
        <v>480</v>
      </c>
      <c r="G39" s="145"/>
      <c r="H39" s="142">
        <v>25</v>
      </c>
      <c r="I39" s="146"/>
      <c r="J39" s="147">
        <f t="shared" si="6"/>
        <v>30.071208622016936</v>
      </c>
      <c r="K39" s="148">
        <v>0.87</v>
      </c>
      <c r="L39" s="149">
        <f t="shared" si="7"/>
        <v>21.750638028073372</v>
      </c>
      <c r="M39" s="150">
        <v>0.85</v>
      </c>
      <c r="N39" s="149">
        <f t="shared" si="8"/>
        <v>18.488042323862366</v>
      </c>
      <c r="O39" s="153"/>
    </row>
    <row r="40" spans="1:15" ht="17.25" customHeight="1" x14ac:dyDescent="0.25">
      <c r="A40" s="142"/>
      <c r="B40" s="142"/>
      <c r="C40" s="142" t="s">
        <v>271</v>
      </c>
      <c r="D40" s="143">
        <v>2</v>
      </c>
      <c r="E40" s="143" t="s">
        <v>229</v>
      </c>
      <c r="F40" s="144">
        <v>480</v>
      </c>
      <c r="G40" s="145"/>
      <c r="H40" s="142"/>
      <c r="I40" s="146"/>
      <c r="J40" s="147">
        <f t="shared" si="6"/>
        <v>0</v>
      </c>
      <c r="K40" s="148">
        <v>0.87</v>
      </c>
      <c r="L40" s="149">
        <f t="shared" si="7"/>
        <v>0</v>
      </c>
      <c r="M40" s="150">
        <v>0.85</v>
      </c>
      <c r="N40" s="149">
        <f t="shared" si="8"/>
        <v>0</v>
      </c>
      <c r="O40" s="153" t="s">
        <v>242</v>
      </c>
    </row>
    <row r="41" spans="1:15" x14ac:dyDescent="0.25">
      <c r="A41" s="142"/>
      <c r="B41" s="142"/>
      <c r="C41" s="142" t="s">
        <v>272</v>
      </c>
      <c r="D41" s="143">
        <v>2</v>
      </c>
      <c r="E41" s="143" t="s">
        <v>229</v>
      </c>
      <c r="F41" s="144">
        <v>480</v>
      </c>
      <c r="G41" s="145"/>
      <c r="H41" s="142">
        <v>25</v>
      </c>
      <c r="I41" s="146"/>
      <c r="J41" s="147">
        <f t="shared" si="6"/>
        <v>30.071208622016936</v>
      </c>
      <c r="K41" s="148">
        <v>0.87</v>
      </c>
      <c r="L41" s="149">
        <f t="shared" si="7"/>
        <v>21.750638028073372</v>
      </c>
      <c r="M41" s="150">
        <v>0.85</v>
      </c>
      <c r="N41" s="149">
        <f t="shared" si="8"/>
        <v>18.488042323862366</v>
      </c>
      <c r="O41" s="153"/>
    </row>
    <row r="42" spans="1:15" ht="18.75" customHeight="1" x14ac:dyDescent="0.25">
      <c r="A42" s="142"/>
      <c r="B42" s="142"/>
      <c r="C42" s="142" t="s">
        <v>273</v>
      </c>
      <c r="D42" s="143">
        <v>2</v>
      </c>
      <c r="E42" s="143" t="s">
        <v>229</v>
      </c>
      <c r="F42" s="144">
        <v>480</v>
      </c>
      <c r="G42" s="145"/>
      <c r="H42" s="142"/>
      <c r="I42" s="146"/>
      <c r="J42" s="147">
        <f t="shared" si="6"/>
        <v>0</v>
      </c>
      <c r="K42" s="148">
        <v>0.87</v>
      </c>
      <c r="L42" s="149">
        <f t="shared" si="7"/>
        <v>0</v>
      </c>
      <c r="M42" s="150">
        <v>0.85</v>
      </c>
      <c r="N42" s="149">
        <f t="shared" si="8"/>
        <v>0</v>
      </c>
      <c r="O42" s="153" t="s">
        <v>242</v>
      </c>
    </row>
    <row r="43" spans="1:15" x14ac:dyDescent="0.25">
      <c r="A43" s="142"/>
      <c r="B43" s="142"/>
      <c r="C43" s="142" t="s">
        <v>274</v>
      </c>
      <c r="D43" s="143">
        <v>2</v>
      </c>
      <c r="E43" s="143" t="s">
        <v>229</v>
      </c>
      <c r="F43" s="144">
        <v>480</v>
      </c>
      <c r="G43" s="145"/>
      <c r="H43" s="142">
        <v>25</v>
      </c>
      <c r="I43" s="146"/>
      <c r="J43" s="147">
        <f t="shared" si="6"/>
        <v>30.071208622016936</v>
      </c>
      <c r="K43" s="148">
        <v>0.87</v>
      </c>
      <c r="L43" s="149">
        <f t="shared" si="7"/>
        <v>21.750638028073372</v>
      </c>
      <c r="M43" s="150">
        <v>0.85</v>
      </c>
      <c r="N43" s="149">
        <f t="shared" si="8"/>
        <v>18.488042323862366</v>
      </c>
      <c r="O43" s="153"/>
    </row>
    <row r="44" spans="1:15" ht="15.75" customHeight="1" x14ac:dyDescent="0.25">
      <c r="A44" s="142"/>
      <c r="B44" s="142"/>
      <c r="C44" s="142" t="s">
        <v>275</v>
      </c>
      <c r="D44" s="143">
        <v>2</v>
      </c>
      <c r="E44" s="143" t="s">
        <v>229</v>
      </c>
      <c r="F44" s="144">
        <v>480</v>
      </c>
      <c r="G44" s="145"/>
      <c r="H44" s="142"/>
      <c r="I44" s="146"/>
      <c r="J44" s="147">
        <f t="shared" si="6"/>
        <v>0</v>
      </c>
      <c r="K44" s="148">
        <v>0.87</v>
      </c>
      <c r="L44" s="149">
        <f t="shared" si="7"/>
        <v>0</v>
      </c>
      <c r="M44" s="150">
        <v>0.85</v>
      </c>
      <c r="N44" s="149">
        <f t="shared" si="8"/>
        <v>0</v>
      </c>
      <c r="O44" s="153" t="s">
        <v>242</v>
      </c>
    </row>
    <row r="45" spans="1:15" ht="15.75" customHeight="1" x14ac:dyDescent="0.25">
      <c r="A45" s="142"/>
      <c r="B45" s="142"/>
      <c r="C45" s="142" t="s">
        <v>276</v>
      </c>
      <c r="D45" s="143">
        <v>4</v>
      </c>
      <c r="E45" s="143" t="s">
        <v>229</v>
      </c>
      <c r="F45" s="144">
        <v>480</v>
      </c>
      <c r="G45" s="145"/>
      <c r="H45" s="142">
        <v>75</v>
      </c>
      <c r="I45" s="146"/>
      <c r="J45" s="147">
        <f t="shared" si="6"/>
        <v>90.213625866050805</v>
      </c>
      <c r="K45" s="148">
        <v>0.87</v>
      </c>
      <c r="L45" s="149">
        <f t="shared" si="7"/>
        <v>65.251914084220118</v>
      </c>
      <c r="M45" s="150">
        <v>0.85</v>
      </c>
      <c r="N45" s="149">
        <f t="shared" si="8"/>
        <v>55.464126971587099</v>
      </c>
      <c r="O45" s="153"/>
    </row>
    <row r="46" spans="1:15" ht="16.5" customHeight="1" x14ac:dyDescent="0.25">
      <c r="A46" s="142"/>
      <c r="B46" s="142"/>
      <c r="C46" s="142" t="s">
        <v>277</v>
      </c>
      <c r="D46" s="143">
        <v>4</v>
      </c>
      <c r="E46" s="143" t="s">
        <v>229</v>
      </c>
      <c r="F46" s="144">
        <v>480</v>
      </c>
      <c r="G46" s="145"/>
      <c r="H46" s="142"/>
      <c r="I46" s="146"/>
      <c r="J46" s="147">
        <f t="shared" si="6"/>
        <v>0</v>
      </c>
      <c r="K46" s="148">
        <v>0.87</v>
      </c>
      <c r="L46" s="149">
        <f t="shared" si="7"/>
        <v>0</v>
      </c>
      <c r="M46" s="150">
        <v>0.85</v>
      </c>
      <c r="N46" s="149">
        <f t="shared" si="8"/>
        <v>0</v>
      </c>
      <c r="O46" s="153" t="s">
        <v>242</v>
      </c>
    </row>
    <row r="47" spans="1:15" x14ac:dyDescent="0.25">
      <c r="A47" s="142"/>
      <c r="B47" s="142"/>
      <c r="C47" s="142" t="s">
        <v>278</v>
      </c>
      <c r="D47" s="143">
        <v>1</v>
      </c>
      <c r="E47" s="143" t="s">
        <v>229</v>
      </c>
      <c r="F47" s="144">
        <v>480</v>
      </c>
      <c r="G47" s="145"/>
      <c r="H47" s="142">
        <v>2</v>
      </c>
      <c r="I47" s="146"/>
      <c r="J47" s="147">
        <f t="shared" si="6"/>
        <v>2.405696689761355</v>
      </c>
      <c r="K47" s="148">
        <v>0.87</v>
      </c>
      <c r="L47" s="149">
        <f t="shared" si="7"/>
        <v>1.7400510422458697</v>
      </c>
      <c r="M47" s="150">
        <v>0.8</v>
      </c>
      <c r="N47" s="149">
        <f t="shared" si="8"/>
        <v>1.3920408337966959</v>
      </c>
      <c r="O47" s="153"/>
    </row>
    <row r="48" spans="1:15" x14ac:dyDescent="0.25">
      <c r="A48" s="142"/>
      <c r="B48" s="142"/>
      <c r="C48" s="142" t="s">
        <v>279</v>
      </c>
      <c r="D48" s="143">
        <v>1</v>
      </c>
      <c r="E48" s="143" t="s">
        <v>229</v>
      </c>
      <c r="F48" s="144">
        <v>480</v>
      </c>
      <c r="G48" s="145"/>
      <c r="H48" s="142">
        <v>2</v>
      </c>
      <c r="I48" s="146"/>
      <c r="J48" s="147">
        <f t="shared" si="6"/>
        <v>2.405696689761355</v>
      </c>
      <c r="K48" s="148">
        <v>0.87</v>
      </c>
      <c r="L48" s="149">
        <f t="shared" si="7"/>
        <v>1.7400510422458697</v>
      </c>
      <c r="M48" s="150">
        <v>0.8</v>
      </c>
      <c r="N48" s="149">
        <f t="shared" si="8"/>
        <v>1.3920408337966959</v>
      </c>
      <c r="O48" s="153"/>
    </row>
    <row r="49" spans="1:15" x14ac:dyDescent="0.25">
      <c r="A49" s="142"/>
      <c r="B49" s="142"/>
      <c r="C49" s="142" t="s">
        <v>280</v>
      </c>
      <c r="D49" s="143">
        <v>1</v>
      </c>
      <c r="E49" s="143" t="s">
        <v>229</v>
      </c>
      <c r="F49" s="144">
        <v>480</v>
      </c>
      <c r="G49" s="145"/>
      <c r="H49" s="142">
        <v>2</v>
      </c>
      <c r="I49" s="146"/>
      <c r="J49" s="147">
        <f t="shared" si="6"/>
        <v>2.405696689761355</v>
      </c>
      <c r="K49" s="148">
        <v>0.87</v>
      </c>
      <c r="L49" s="149">
        <f t="shared" si="7"/>
        <v>1.7400510422458697</v>
      </c>
      <c r="M49" s="150">
        <v>0.8</v>
      </c>
      <c r="N49" s="149">
        <f t="shared" si="8"/>
        <v>1.3920408337966959</v>
      </c>
      <c r="O49" s="153"/>
    </row>
    <row r="50" spans="1:15" x14ac:dyDescent="0.25">
      <c r="A50" s="142"/>
      <c r="B50" s="142"/>
      <c r="C50" s="142" t="s">
        <v>281</v>
      </c>
      <c r="D50" s="143">
        <v>1</v>
      </c>
      <c r="E50" s="143" t="s">
        <v>229</v>
      </c>
      <c r="F50" s="144">
        <v>480</v>
      </c>
      <c r="G50" s="145"/>
      <c r="H50" s="142">
        <v>2</v>
      </c>
      <c r="I50" s="146"/>
      <c r="J50" s="147">
        <f t="shared" si="6"/>
        <v>2.405696689761355</v>
      </c>
      <c r="K50" s="148">
        <v>0.87</v>
      </c>
      <c r="L50" s="149">
        <f t="shared" si="7"/>
        <v>1.7400510422458697</v>
      </c>
      <c r="M50" s="150">
        <v>0.8</v>
      </c>
      <c r="N50" s="149">
        <f t="shared" si="8"/>
        <v>1.3920408337966959</v>
      </c>
      <c r="O50" s="153"/>
    </row>
    <row r="51" spans="1:15" x14ac:dyDescent="0.25">
      <c r="A51" s="142"/>
      <c r="B51" s="142"/>
      <c r="C51" s="142" t="s">
        <v>282</v>
      </c>
      <c r="D51" s="143">
        <v>2</v>
      </c>
      <c r="E51" s="143" t="s">
        <v>229</v>
      </c>
      <c r="F51" s="144">
        <v>480</v>
      </c>
      <c r="G51" s="145"/>
      <c r="H51" s="142">
        <v>15</v>
      </c>
      <c r="I51" s="146"/>
      <c r="J51" s="147">
        <f t="shared" si="6"/>
        <v>18.042725173210162</v>
      </c>
      <c r="K51" s="148">
        <v>0.87</v>
      </c>
      <c r="L51" s="149">
        <f t="shared" si="7"/>
        <v>13.050382816844023</v>
      </c>
      <c r="M51" s="150">
        <v>0.8</v>
      </c>
      <c r="N51" s="149">
        <f t="shared" si="8"/>
        <v>10.440306253475219</v>
      </c>
      <c r="O51" s="153"/>
    </row>
    <row r="52" spans="1:15" x14ac:dyDescent="0.25">
      <c r="A52" s="142"/>
      <c r="B52" s="142"/>
      <c r="C52" s="142" t="s">
        <v>283</v>
      </c>
      <c r="D52" s="143">
        <v>2</v>
      </c>
      <c r="E52" s="143" t="s">
        <v>229</v>
      </c>
      <c r="F52" s="144">
        <v>480</v>
      </c>
      <c r="G52" s="145"/>
      <c r="H52" s="142">
        <v>15</v>
      </c>
      <c r="I52" s="146"/>
      <c r="J52" s="147">
        <f t="shared" si="6"/>
        <v>18.042725173210162</v>
      </c>
      <c r="K52" s="148">
        <v>0.87</v>
      </c>
      <c r="L52" s="149">
        <f t="shared" si="7"/>
        <v>13.050382816844023</v>
      </c>
      <c r="M52" s="150">
        <v>0.8</v>
      </c>
      <c r="N52" s="149">
        <f t="shared" si="8"/>
        <v>10.440306253475219</v>
      </c>
      <c r="O52" s="153"/>
    </row>
    <row r="53" spans="1:15" x14ac:dyDescent="0.25">
      <c r="A53" s="142"/>
      <c r="B53" s="142"/>
      <c r="C53" s="142" t="s">
        <v>284</v>
      </c>
      <c r="D53" s="143">
        <v>2</v>
      </c>
      <c r="E53" s="143" t="s">
        <v>229</v>
      </c>
      <c r="F53" s="144">
        <v>480</v>
      </c>
      <c r="G53" s="145"/>
      <c r="H53" s="142">
        <v>15</v>
      </c>
      <c r="I53" s="146"/>
      <c r="J53" s="147">
        <f t="shared" si="6"/>
        <v>18.042725173210162</v>
      </c>
      <c r="K53" s="148">
        <v>0.87</v>
      </c>
      <c r="L53" s="149">
        <f t="shared" si="7"/>
        <v>13.050382816844023</v>
      </c>
      <c r="M53" s="150">
        <v>0.8</v>
      </c>
      <c r="N53" s="149">
        <f t="shared" si="8"/>
        <v>10.440306253475219</v>
      </c>
      <c r="O53" s="153"/>
    </row>
    <row r="54" spans="1:15" x14ac:dyDescent="0.25">
      <c r="A54" s="142"/>
      <c r="B54" s="142"/>
      <c r="C54" s="142" t="s">
        <v>285</v>
      </c>
      <c r="D54" s="143">
        <v>2</v>
      </c>
      <c r="E54" s="143" t="s">
        <v>229</v>
      </c>
      <c r="F54" s="144">
        <v>480</v>
      </c>
      <c r="G54" s="145"/>
      <c r="H54" s="142">
        <v>15</v>
      </c>
      <c r="I54" s="146"/>
      <c r="J54" s="147">
        <f t="shared" si="6"/>
        <v>18.042725173210162</v>
      </c>
      <c r="K54" s="148">
        <v>0.87</v>
      </c>
      <c r="L54" s="149">
        <f t="shared" si="7"/>
        <v>13.050382816844023</v>
      </c>
      <c r="M54" s="150">
        <v>0.8</v>
      </c>
      <c r="N54" s="149">
        <f t="shared" si="8"/>
        <v>10.440306253475219</v>
      </c>
      <c r="O54" s="153"/>
    </row>
    <row r="55" spans="1:15" x14ac:dyDescent="0.25">
      <c r="A55" s="142"/>
      <c r="B55" s="142"/>
      <c r="C55" s="142" t="s">
        <v>286</v>
      </c>
      <c r="D55" s="143">
        <v>1</v>
      </c>
      <c r="E55" s="143" t="s">
        <v>229</v>
      </c>
      <c r="F55" s="144">
        <v>480</v>
      </c>
      <c r="G55" s="145"/>
      <c r="H55" s="142">
        <v>0.25</v>
      </c>
      <c r="I55" s="146"/>
      <c r="J55" s="147">
        <f t="shared" si="6"/>
        <v>0.30071208622016937</v>
      </c>
      <c r="K55" s="148">
        <v>0.87</v>
      </c>
      <c r="L55" s="149">
        <f t="shared" si="7"/>
        <v>0.21750638028073371</v>
      </c>
      <c r="M55" s="150">
        <v>0.8</v>
      </c>
      <c r="N55" s="149">
        <f t="shared" si="8"/>
        <v>0.17400510422458698</v>
      </c>
      <c r="O55" s="153"/>
    </row>
    <row r="56" spans="1:15" x14ac:dyDescent="0.25">
      <c r="A56" s="142"/>
      <c r="B56" s="142"/>
      <c r="C56" s="142" t="s">
        <v>287</v>
      </c>
      <c r="D56" s="143">
        <v>1</v>
      </c>
      <c r="E56" s="143" t="s">
        <v>229</v>
      </c>
      <c r="F56" s="144">
        <v>480</v>
      </c>
      <c r="G56" s="145"/>
      <c r="H56" s="142">
        <v>0.25</v>
      </c>
      <c r="I56" s="146"/>
      <c r="J56" s="147">
        <f t="shared" si="6"/>
        <v>0.30071208622016937</v>
      </c>
      <c r="K56" s="148">
        <v>0.87</v>
      </c>
      <c r="L56" s="149">
        <f t="shared" si="7"/>
        <v>0.21750638028073371</v>
      </c>
      <c r="M56" s="150">
        <v>0.8</v>
      </c>
      <c r="N56" s="149">
        <f t="shared" si="8"/>
        <v>0.17400510422458698</v>
      </c>
      <c r="O56" s="153"/>
    </row>
    <row r="57" spans="1:15" x14ac:dyDescent="0.25">
      <c r="A57" s="142"/>
      <c r="B57" s="142"/>
      <c r="C57" s="142" t="s">
        <v>288</v>
      </c>
      <c r="D57" s="143">
        <v>1</v>
      </c>
      <c r="E57" s="143" t="s">
        <v>229</v>
      </c>
      <c r="F57" s="144">
        <v>480</v>
      </c>
      <c r="G57" s="145"/>
      <c r="H57" s="142">
        <v>0.25</v>
      </c>
      <c r="I57" s="146"/>
      <c r="J57" s="147">
        <f t="shared" si="6"/>
        <v>0.30071208622016937</v>
      </c>
      <c r="K57" s="148">
        <v>0.87</v>
      </c>
      <c r="L57" s="149">
        <f t="shared" si="7"/>
        <v>0.21750638028073371</v>
      </c>
      <c r="M57" s="150">
        <v>0.8</v>
      </c>
      <c r="N57" s="149">
        <f t="shared" si="8"/>
        <v>0.17400510422458698</v>
      </c>
      <c r="O57" s="153"/>
    </row>
    <row r="58" spans="1:15" x14ac:dyDescent="0.25">
      <c r="A58" s="142"/>
      <c r="B58" s="142"/>
      <c r="C58" s="142" t="s">
        <v>289</v>
      </c>
      <c r="D58" s="143">
        <v>1</v>
      </c>
      <c r="E58" s="143" t="s">
        <v>229</v>
      </c>
      <c r="F58" s="144">
        <v>480</v>
      </c>
      <c r="G58" s="145"/>
      <c r="H58" s="142">
        <v>0.25</v>
      </c>
      <c r="I58" s="146"/>
      <c r="J58" s="147">
        <f t="shared" si="6"/>
        <v>0.30071208622016937</v>
      </c>
      <c r="K58" s="148">
        <v>0.87</v>
      </c>
      <c r="L58" s="149">
        <f t="shared" si="7"/>
        <v>0.21750638028073371</v>
      </c>
      <c r="M58" s="150">
        <v>0.8</v>
      </c>
      <c r="N58" s="149">
        <f t="shared" si="8"/>
        <v>0.17400510422458698</v>
      </c>
      <c r="O58" s="153"/>
    </row>
    <row r="59" spans="1:15" x14ac:dyDescent="0.25">
      <c r="A59" s="142"/>
      <c r="B59" s="142"/>
      <c r="C59" s="142" t="s">
        <v>254</v>
      </c>
      <c r="D59" s="143"/>
      <c r="E59" s="143" t="s">
        <v>255</v>
      </c>
      <c r="F59" s="144">
        <v>480</v>
      </c>
      <c r="G59" s="145">
        <v>1500</v>
      </c>
      <c r="H59" s="142"/>
      <c r="I59" s="146">
        <v>1500</v>
      </c>
      <c r="J59" s="147">
        <f t="shared" ref="J59:J60" si="9">+I59/F59/1.732</f>
        <v>1.8042725173210161</v>
      </c>
      <c r="K59" s="148">
        <v>1</v>
      </c>
      <c r="L59" s="149">
        <f t="shared" si="7"/>
        <v>1.5000440019360946</v>
      </c>
      <c r="M59" s="150">
        <v>0.9</v>
      </c>
      <c r="N59" s="149">
        <f t="shared" si="8"/>
        <v>1.3500396017424852</v>
      </c>
      <c r="O59" s="153"/>
    </row>
    <row r="60" spans="1:15" x14ac:dyDescent="0.25">
      <c r="A60" s="142"/>
      <c r="B60" s="142"/>
      <c r="C60" s="142" t="s">
        <v>256</v>
      </c>
      <c r="D60" s="143"/>
      <c r="E60" s="143"/>
      <c r="F60" s="144">
        <v>480</v>
      </c>
      <c r="G60" s="145">
        <v>1500</v>
      </c>
      <c r="H60" s="142"/>
      <c r="I60" s="146">
        <v>1500</v>
      </c>
      <c r="J60" s="147">
        <f t="shared" si="9"/>
        <v>1.8042725173210161</v>
      </c>
      <c r="K60" s="148">
        <v>1</v>
      </c>
      <c r="L60" s="149">
        <f t="shared" si="7"/>
        <v>1.5000440019360946</v>
      </c>
      <c r="M60" s="150">
        <v>0.9</v>
      </c>
      <c r="N60" s="149">
        <f t="shared" si="8"/>
        <v>1.3500396017424852</v>
      </c>
      <c r="O60" s="153"/>
    </row>
    <row r="61" spans="1:15" x14ac:dyDescent="0.25">
      <c r="A61" s="142"/>
      <c r="B61" s="142"/>
      <c r="C61" s="143" t="s">
        <v>48</v>
      </c>
      <c r="D61" s="143">
        <f>SUM(D26:D60)</f>
        <v>56</v>
      </c>
      <c r="E61" s="143"/>
      <c r="F61" s="144"/>
      <c r="G61" s="145"/>
      <c r="H61" s="142">
        <f>SUM(H26:H60)</f>
        <v>365</v>
      </c>
      <c r="I61" s="146"/>
      <c r="J61" s="147">
        <f>SUM(J26:J60)</f>
        <v>442.64819091608922</v>
      </c>
      <c r="K61" s="150"/>
      <c r="L61" s="150"/>
      <c r="M61" s="150"/>
      <c r="N61" s="151">
        <f>SUM(N26:N60)</f>
        <v>242.82712303341506</v>
      </c>
      <c r="O61" s="153"/>
    </row>
    <row r="62" spans="1:15" ht="15.75" thickBot="1" x14ac:dyDescent="0.3"/>
    <row r="63" spans="1:15" ht="15.75" thickBot="1" x14ac:dyDescent="0.3">
      <c r="K63" s="154" t="s">
        <v>48</v>
      </c>
      <c r="L63" s="155"/>
      <c r="M63" s="155"/>
      <c r="N63" s="156">
        <f>N23+N61</f>
        <v>312.32416164311428</v>
      </c>
    </row>
  </sheetData>
  <sheetProtection algorithmName="SHA-512" hashValue="s9VnVKoB3SMvYFzHwVVow2s5xjWM75rdWddNp1C/fnSugg5G40oyHDFCebRQMU2dDO/FL18M13zZW9u+8Mv2uA==" saltValue="cQg5i/VktwjoxlhUD27oCw==" spinCount="100000" sheet="1" objects="1" scenarios="1"/>
  <autoFilter ref="A4:J4" xr:uid="{00000000-0009-0000-0000-000000000000}"/>
  <mergeCells count="3">
    <mergeCell ref="K3:N3"/>
    <mergeCell ref="A1:O1"/>
    <mergeCell ref="A2:O2"/>
  </mergeCells>
  <pageMargins left="1" right="1" top="1" bottom="1" header="0.5" footer="0.5"/>
  <pageSetup scale="52" fitToHeight="0" orientation="landscape" r:id="rId1"/>
  <headerFoot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A9F17-628E-465A-B01D-63907834E269}">
  <sheetPr codeName="Sheet2"/>
  <dimension ref="A1:D8"/>
  <sheetViews>
    <sheetView zoomScaleNormal="100" zoomScaleSheetLayoutView="100" workbookViewId="0">
      <selection activeCell="A23" sqref="A23"/>
    </sheetView>
  </sheetViews>
  <sheetFormatPr defaultRowHeight="15" x14ac:dyDescent="0.25"/>
  <cols>
    <col min="1" max="1" width="43" customWidth="1"/>
  </cols>
  <sheetData>
    <row r="1" spans="1:4" ht="33" x14ac:dyDescent="0.25">
      <c r="A1" s="15" t="s">
        <v>34</v>
      </c>
    </row>
    <row r="2" spans="1:4" ht="30" customHeight="1" x14ac:dyDescent="0.25">
      <c r="A2" s="27" t="s">
        <v>35</v>
      </c>
    </row>
    <row r="3" spans="1:4" ht="30" customHeight="1" x14ac:dyDescent="0.25">
      <c r="A3" s="27" t="s">
        <v>36</v>
      </c>
    </row>
    <row r="4" spans="1:4" ht="30" customHeight="1" x14ac:dyDescent="0.25">
      <c r="A4" s="27" t="s">
        <v>37</v>
      </c>
    </row>
    <row r="5" spans="1:4" ht="30" customHeight="1" x14ac:dyDescent="0.25">
      <c r="A5" s="27" t="s">
        <v>38</v>
      </c>
      <c r="D5" s="14"/>
    </row>
    <row r="6" spans="1:4" ht="33" x14ac:dyDescent="0.25">
      <c r="A6" s="4" t="s">
        <v>192</v>
      </c>
    </row>
    <row r="7" spans="1:4" x14ac:dyDescent="0.25">
      <c r="A7" s="13"/>
    </row>
    <row r="8" spans="1:4" x14ac:dyDescent="0.25">
      <c r="A8" s="14"/>
    </row>
  </sheetData>
  <sheetProtection algorithmName="SHA-512" hashValue="X6QshZWoVB34lMws/D/+EY8cX6JsOm3PDBgMKwCSdijgkDbTB+AqR5ECWXVUbqcbKdXAA91ANNVNoIifbDw1Og==" saltValue="1dwFSjnQEfOp1fG9rAbSmA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A786C-8378-4068-BBE8-6F9FF9632032}">
  <sheetPr codeName="Sheet3"/>
  <dimension ref="A1:H11"/>
  <sheetViews>
    <sheetView zoomScaleNormal="100" zoomScaleSheetLayoutView="100" workbookViewId="0">
      <selection activeCell="A14" sqref="A14"/>
    </sheetView>
  </sheetViews>
  <sheetFormatPr defaultRowHeight="15" x14ac:dyDescent="0.25"/>
  <cols>
    <col min="1" max="1" width="43.85546875" customWidth="1"/>
    <col min="2" max="2" width="22.140625" bestFit="1" customWidth="1"/>
    <col min="3" max="3" width="22.140625" customWidth="1"/>
    <col min="4" max="6" width="18.5703125" style="30" customWidth="1"/>
  </cols>
  <sheetData>
    <row r="1" spans="1:8" ht="18" x14ac:dyDescent="0.35">
      <c r="A1" s="11" t="s">
        <v>39</v>
      </c>
      <c r="D1" s="31"/>
    </row>
    <row r="2" spans="1:8" ht="51.75" customHeight="1" x14ac:dyDescent="0.25">
      <c r="A2" s="26" t="s">
        <v>8</v>
      </c>
      <c r="B2" s="29" t="s">
        <v>199</v>
      </c>
      <c r="C2" s="29" t="s">
        <v>298</v>
      </c>
      <c r="D2" s="29" t="s">
        <v>40</v>
      </c>
      <c r="E2" s="29" t="s">
        <v>200</v>
      </c>
      <c r="F2" s="29" t="s">
        <v>201</v>
      </c>
    </row>
    <row r="3" spans="1:8" ht="30.75" customHeight="1" x14ac:dyDescent="0.25">
      <c r="A3" s="27" t="s">
        <v>302</v>
      </c>
      <c r="B3" s="27">
        <v>95</v>
      </c>
      <c r="C3" s="158">
        <f>D3/(SUM('TableA-SO2_PTE'!G6:G9))</f>
        <v>1.505000000000002E-2</v>
      </c>
      <c r="D3" s="36">
        <f>$D$7-(B3/100*$D$7)</f>
        <v>7.3007550000000094</v>
      </c>
      <c r="E3" s="36">
        <f>$E$7*(100-B3)/100</f>
        <v>31.977306899999995</v>
      </c>
      <c r="F3" s="36">
        <f>$E$7-E3</f>
        <v>607.5688310999999</v>
      </c>
    </row>
    <row r="4" spans="1:8" ht="30.75" customHeight="1" x14ac:dyDescent="0.25">
      <c r="A4" s="27" t="s">
        <v>303</v>
      </c>
      <c r="B4" s="36">
        <f t="shared" ref="B4:B5" si="0">100*(1-D4/$D$7)</f>
        <v>93.355481727574755</v>
      </c>
      <c r="C4" s="27">
        <v>0.02</v>
      </c>
      <c r="D4" s="36">
        <f>C4*(SUM('TableA-SO2_PTE'!$G$6:$G$9))</f>
        <v>9.702</v>
      </c>
      <c r="E4" s="36">
        <f t="shared" ref="E4:E6" si="1">$E$7*(100-B4)/100</f>
        <v>42.494759999999971</v>
      </c>
      <c r="F4" s="36">
        <f t="shared" ref="F4:F6" si="2">$E$7-E4</f>
        <v>597.051378</v>
      </c>
      <c r="H4" s="14"/>
    </row>
    <row r="5" spans="1:8" ht="30.75" customHeight="1" x14ac:dyDescent="0.25">
      <c r="A5" s="27" t="s">
        <v>36</v>
      </c>
      <c r="B5" s="36">
        <f t="shared" si="0"/>
        <v>86.710963455149511</v>
      </c>
      <c r="C5" s="27">
        <v>0.04</v>
      </c>
      <c r="D5" s="36">
        <f>C5*(SUM('TableA-SO2_PTE'!$G$6:$G$9))</f>
        <v>19.404</v>
      </c>
      <c r="E5" s="36">
        <f t="shared" si="1"/>
        <v>84.989519999999942</v>
      </c>
      <c r="F5" s="36">
        <f t="shared" si="2"/>
        <v>554.55661799999996</v>
      </c>
    </row>
    <row r="6" spans="1:8" ht="30.75" customHeight="1" x14ac:dyDescent="0.25">
      <c r="A6" s="27" t="s">
        <v>37</v>
      </c>
      <c r="B6" s="36">
        <f>100*(1-D6/$D$7)</f>
        <v>76.744186046511629</v>
      </c>
      <c r="C6" s="27">
        <v>7.0000000000000007E-2</v>
      </c>
      <c r="D6" s="36">
        <f>C6*(SUM('TableA-SO2_PTE'!$G$6:$G$9))</f>
        <v>33.957000000000001</v>
      </c>
      <c r="E6" s="36">
        <f t="shared" si="1"/>
        <v>148.73165999999998</v>
      </c>
      <c r="F6" s="36">
        <f t="shared" si="2"/>
        <v>490.81447799999995</v>
      </c>
    </row>
    <row r="7" spans="1:8" ht="48" x14ac:dyDescent="0.25">
      <c r="A7" s="4" t="s">
        <v>192</v>
      </c>
      <c r="B7" s="27">
        <v>0</v>
      </c>
      <c r="C7" s="27">
        <f>'TableA-SO2_PTE'!E6</f>
        <v>0.30099999999999999</v>
      </c>
      <c r="D7" s="36">
        <f>SUM('TableA-SO2_PTE'!K6:K9)</f>
        <v>146.01509999999999</v>
      </c>
      <c r="E7" s="36">
        <f>'TableA-SO2_PTE'!M11</f>
        <v>639.54613799999993</v>
      </c>
      <c r="F7" s="36">
        <v>0</v>
      </c>
    </row>
    <row r="9" spans="1:8" x14ac:dyDescent="0.25">
      <c r="A9" s="16" t="s">
        <v>299</v>
      </c>
      <c r="D9" s="12"/>
    </row>
    <row r="10" spans="1:8" ht="18.75" x14ac:dyDescent="0.35">
      <c r="A10" s="16" t="s">
        <v>300</v>
      </c>
    </row>
    <row r="11" spans="1:8" ht="18.75" x14ac:dyDescent="0.35">
      <c r="A11" s="16" t="s">
        <v>301</v>
      </c>
    </row>
  </sheetData>
  <sheetProtection algorithmName="SHA-512" hashValue="GWtV1mRoy8Nlb8/RSnnWjkcxfIo4S2/MlPDg1l4Sg6aUb8Cto820SftyJl3sLgu+QMerLotDWFJA+yT5gcM6xw==" saltValue="f1Zq3KpW3C7Mbh3nP/cazg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E278A-9519-4E00-86B4-D646CE1BED32}">
  <sheetPr codeName="Sheet4"/>
  <dimension ref="A1:F14"/>
  <sheetViews>
    <sheetView zoomScaleNormal="100" workbookViewId="0">
      <selection activeCell="C8" sqref="C8"/>
    </sheetView>
  </sheetViews>
  <sheetFormatPr defaultRowHeight="15" x14ac:dyDescent="0.25"/>
  <cols>
    <col min="1" max="1" width="28.140625" bestFit="1" customWidth="1"/>
    <col min="2" max="2" width="20" customWidth="1"/>
    <col min="3" max="3" width="18.42578125" customWidth="1"/>
    <col min="4" max="4" width="17.5703125" customWidth="1"/>
    <col min="5" max="5" width="21.28515625" customWidth="1"/>
  </cols>
  <sheetData>
    <row r="1" spans="1:6" ht="18" x14ac:dyDescent="0.35">
      <c r="A1" s="11" t="s">
        <v>41</v>
      </c>
      <c r="B1" s="11"/>
    </row>
    <row r="2" spans="1:6" ht="48" x14ac:dyDescent="0.25">
      <c r="A2" s="26" t="s">
        <v>8</v>
      </c>
      <c r="B2" s="29" t="s">
        <v>17</v>
      </c>
      <c r="C2" s="29" t="s">
        <v>18</v>
      </c>
      <c r="D2" s="29" t="s">
        <v>19</v>
      </c>
      <c r="E2" s="29" t="s">
        <v>42</v>
      </c>
    </row>
    <row r="3" spans="1:6" ht="24" customHeight="1" x14ac:dyDescent="0.25">
      <c r="A3" s="27" t="s">
        <v>38</v>
      </c>
      <c r="B3" s="33">
        <f>'TableB-BACT_Cost'!G41</f>
        <v>82545944.600800008</v>
      </c>
      <c r="C3" s="33">
        <f>'TableB-BACT_Cost'!G67</f>
        <v>13276116.715895129</v>
      </c>
      <c r="D3" s="36">
        <f>'3-Ranking'!F3</f>
        <v>607.5688310999999</v>
      </c>
      <c r="E3" s="33">
        <f t="shared" ref="E3" si="0">C3/D3</f>
        <v>21851.214276181345</v>
      </c>
      <c r="F3" s="14"/>
    </row>
    <row r="4" spans="1:6" ht="48" x14ac:dyDescent="0.25">
      <c r="A4" s="4" t="s">
        <v>192</v>
      </c>
      <c r="B4" s="32" t="s">
        <v>16</v>
      </c>
      <c r="C4" s="32" t="s">
        <v>16</v>
      </c>
      <c r="D4" s="28">
        <f>'3-Ranking'!F7</f>
        <v>0</v>
      </c>
      <c r="E4" s="32" t="s">
        <v>16</v>
      </c>
    </row>
    <row r="6" spans="1:6" x14ac:dyDescent="0.25">
      <c r="A6" s="16" t="s">
        <v>10</v>
      </c>
      <c r="B6" s="12"/>
    </row>
    <row r="7" spans="1:6" ht="17.25" x14ac:dyDescent="0.25">
      <c r="A7" s="16" t="s">
        <v>306</v>
      </c>
      <c r="B7" s="164"/>
      <c r="C7" s="164"/>
    </row>
    <row r="8" spans="1:6" ht="17.25" x14ac:dyDescent="0.25">
      <c r="A8" s="16" t="s">
        <v>307</v>
      </c>
      <c r="B8" s="164"/>
      <c r="C8" s="164"/>
    </row>
    <row r="9" spans="1:6" ht="17.25" x14ac:dyDescent="0.25">
      <c r="A9" s="16" t="s">
        <v>193</v>
      </c>
    </row>
    <row r="12" spans="1:6" x14ac:dyDescent="0.25">
      <c r="C12" s="161"/>
    </row>
    <row r="13" spans="1:6" x14ac:dyDescent="0.25">
      <c r="C13" s="162"/>
    </row>
    <row r="14" spans="1:6" x14ac:dyDescent="0.25">
      <c r="C14" s="163"/>
    </row>
  </sheetData>
  <sheetProtection algorithmName="SHA-512" hashValue="SrZ4jJBlGay+5JF5eipR/mtjsIWePR4tNzZQqHFENSDqK8wnL2A90nlMvKPgMqzNtWis0HZvpo+XxFN1iMBM8Q==" saltValue="by0WsDXO4VNfD4W75w0VSw==" spinCount="100000"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E3C9A-B20A-4D7F-AA09-3600AD9DFB00}">
  <sheetPr codeName="Sheet5">
    <tabColor rgb="FF92D050"/>
    <pageSetUpPr fitToPage="1"/>
  </sheetPr>
  <dimension ref="A1:O15"/>
  <sheetViews>
    <sheetView zoomScaleNormal="100" workbookViewId="0">
      <selection sqref="A1:N1"/>
    </sheetView>
  </sheetViews>
  <sheetFormatPr defaultColWidth="9.140625" defaultRowHeight="15" x14ac:dyDescent="0.25"/>
  <cols>
    <col min="1" max="1" width="9.140625" style="17"/>
    <col min="2" max="2" width="27.28515625" style="17" customWidth="1"/>
    <col min="3" max="3" width="9.140625" style="17"/>
    <col min="4" max="4" width="23.85546875" style="17" customWidth="1"/>
    <col min="5" max="5" width="9.28515625" style="17" customWidth="1"/>
    <col min="6" max="6" width="11.28515625" style="17" customWidth="1"/>
    <col min="7" max="7" width="9.42578125" style="17" customWidth="1"/>
    <col min="8" max="8" width="11.140625" style="17" customWidth="1"/>
    <col min="9" max="9" width="9.42578125" style="17" customWidth="1"/>
    <col min="10" max="10" width="7.85546875" style="17" customWidth="1"/>
    <col min="11" max="11" width="8.28515625" style="17" customWidth="1"/>
    <col min="12" max="12" width="9.140625" style="17"/>
    <col min="13" max="13" width="8.7109375" style="17" customWidth="1"/>
    <col min="14" max="16384" width="9.140625" style="17"/>
  </cols>
  <sheetData>
    <row r="1" spans="1:15" ht="18" x14ac:dyDescent="0.25">
      <c r="A1" s="165" t="s">
        <v>308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5" x14ac:dyDescent="0.25">
      <c r="A2" s="166" t="s">
        <v>20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5" ht="15.75" thickBot="1" x14ac:dyDescent="0.3"/>
    <row r="4" spans="1:15" s="3" customFormat="1" x14ac:dyDescent="0.25">
      <c r="A4" s="175" t="s">
        <v>0</v>
      </c>
      <c r="B4" s="176"/>
      <c r="C4" s="167" t="s">
        <v>3</v>
      </c>
      <c r="D4" s="177" t="s">
        <v>26</v>
      </c>
      <c r="E4" s="178"/>
      <c r="F4" s="176"/>
      <c r="G4" s="169" t="s">
        <v>6</v>
      </c>
      <c r="H4" s="170"/>
      <c r="I4" s="169" t="s">
        <v>7</v>
      </c>
      <c r="J4" s="170"/>
      <c r="K4" s="169" t="s">
        <v>27</v>
      </c>
      <c r="L4" s="170"/>
      <c r="M4" s="169" t="s">
        <v>28</v>
      </c>
      <c r="N4" s="173"/>
    </row>
    <row r="5" spans="1:15" s="1" customFormat="1" x14ac:dyDescent="0.25">
      <c r="A5" s="120" t="s">
        <v>1</v>
      </c>
      <c r="B5" s="2" t="s">
        <v>2</v>
      </c>
      <c r="C5" s="168"/>
      <c r="D5" s="2" t="s">
        <v>4</v>
      </c>
      <c r="E5" s="179" t="s">
        <v>5</v>
      </c>
      <c r="F5" s="180"/>
      <c r="G5" s="171"/>
      <c r="H5" s="172"/>
      <c r="I5" s="171"/>
      <c r="J5" s="172"/>
      <c r="K5" s="171"/>
      <c r="L5" s="172"/>
      <c r="M5" s="171"/>
      <c r="N5" s="174"/>
    </row>
    <row r="6" spans="1:15" s="10" customFormat="1" x14ac:dyDescent="0.25">
      <c r="A6" s="121">
        <v>4</v>
      </c>
      <c r="B6" s="4" t="s">
        <v>21</v>
      </c>
      <c r="C6" s="181" t="s">
        <v>22</v>
      </c>
      <c r="D6" s="181" t="s">
        <v>195</v>
      </c>
      <c r="E6" s="184">
        <v>0.30099999999999999</v>
      </c>
      <c r="F6" s="187" t="s">
        <v>30</v>
      </c>
      <c r="G6" s="6">
        <v>76.8</v>
      </c>
      <c r="H6" s="7" t="s">
        <v>29</v>
      </c>
      <c r="I6" s="8">
        <v>8760</v>
      </c>
      <c r="J6" s="7" t="s">
        <v>9</v>
      </c>
      <c r="K6" s="9">
        <f>$E$6*G6</f>
        <v>23.116799999999998</v>
      </c>
      <c r="L6" s="7" t="s">
        <v>31</v>
      </c>
      <c r="M6" s="34">
        <f>I6*K6/$C$14</f>
        <v>101.25158399999999</v>
      </c>
      <c r="N6" s="122" t="s">
        <v>13</v>
      </c>
    </row>
    <row r="7" spans="1:15" s="10" customFormat="1" x14ac:dyDescent="0.25">
      <c r="A7" s="121">
        <v>5</v>
      </c>
      <c r="B7" s="4" t="s">
        <v>23</v>
      </c>
      <c r="C7" s="182"/>
      <c r="D7" s="182"/>
      <c r="E7" s="185"/>
      <c r="F7" s="188"/>
      <c r="G7" s="6">
        <v>76.8</v>
      </c>
      <c r="H7" s="7" t="s">
        <v>29</v>
      </c>
      <c r="I7" s="8">
        <v>8760</v>
      </c>
      <c r="J7" s="7" t="s">
        <v>9</v>
      </c>
      <c r="K7" s="9">
        <f t="shared" ref="K7:K9" si="0">$E$6*G7</f>
        <v>23.116799999999998</v>
      </c>
      <c r="L7" s="7" t="s">
        <v>31</v>
      </c>
      <c r="M7" s="34">
        <f t="shared" ref="M7:M9" si="1">I7*K7/$C$14</f>
        <v>101.25158399999999</v>
      </c>
      <c r="N7" s="122" t="s">
        <v>13</v>
      </c>
    </row>
    <row r="8" spans="1:15" s="10" customFormat="1" x14ac:dyDescent="0.25">
      <c r="A8" s="121">
        <v>6</v>
      </c>
      <c r="B8" s="4" t="s">
        <v>24</v>
      </c>
      <c r="C8" s="182"/>
      <c r="D8" s="182"/>
      <c r="E8" s="185"/>
      <c r="F8" s="188"/>
      <c r="G8" s="6">
        <v>76.8</v>
      </c>
      <c r="H8" s="7" t="s">
        <v>29</v>
      </c>
      <c r="I8" s="8">
        <v>8760</v>
      </c>
      <c r="J8" s="7" t="s">
        <v>9</v>
      </c>
      <c r="K8" s="9">
        <f t="shared" si="0"/>
        <v>23.116799999999998</v>
      </c>
      <c r="L8" s="7" t="s">
        <v>31</v>
      </c>
      <c r="M8" s="34">
        <f t="shared" si="1"/>
        <v>101.25158399999999</v>
      </c>
      <c r="N8" s="122" t="s">
        <v>13</v>
      </c>
    </row>
    <row r="9" spans="1:15" s="10" customFormat="1" x14ac:dyDescent="0.25">
      <c r="A9" s="121">
        <v>7</v>
      </c>
      <c r="B9" s="4" t="s">
        <v>25</v>
      </c>
      <c r="C9" s="183"/>
      <c r="D9" s="183"/>
      <c r="E9" s="186"/>
      <c r="F9" s="189"/>
      <c r="G9" s="6">
        <v>254.7</v>
      </c>
      <c r="H9" s="7" t="s">
        <v>29</v>
      </c>
      <c r="I9" s="8">
        <v>8760</v>
      </c>
      <c r="J9" s="7" t="s">
        <v>9</v>
      </c>
      <c r="K9" s="9">
        <f t="shared" si="0"/>
        <v>76.664699999999996</v>
      </c>
      <c r="L9" s="7" t="s">
        <v>31</v>
      </c>
      <c r="M9" s="34">
        <f t="shared" si="1"/>
        <v>335.79138599999999</v>
      </c>
      <c r="N9" s="122" t="s">
        <v>13</v>
      </c>
    </row>
    <row r="10" spans="1:15" s="10" customFormat="1" ht="4.5" customHeight="1" x14ac:dyDescent="0.25">
      <c r="A10" s="193"/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5"/>
    </row>
    <row r="11" spans="1:15" s="10" customFormat="1" ht="15.75" thickBot="1" x14ac:dyDescent="0.3">
      <c r="A11" s="190" t="s">
        <v>32</v>
      </c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2"/>
      <c r="M11" s="123">
        <f>SUM(M6:M9)</f>
        <v>639.54613799999993</v>
      </c>
      <c r="N11" s="124" t="s">
        <v>13</v>
      </c>
    </row>
    <row r="12" spans="1:15" x14ac:dyDescent="0.25">
      <c r="A12" s="25" t="s">
        <v>10</v>
      </c>
      <c r="B12" s="18"/>
      <c r="C12" s="18"/>
      <c r="D12" s="18"/>
      <c r="E12" s="18"/>
      <c r="F12" s="18"/>
      <c r="G12" s="18"/>
      <c r="H12" s="18"/>
      <c r="I12" s="18"/>
      <c r="J12" s="19"/>
      <c r="K12" s="19"/>
      <c r="L12" s="19"/>
      <c r="M12" s="19"/>
      <c r="N12" s="20"/>
      <c r="O12" s="21"/>
    </row>
    <row r="13" spans="1:15" ht="17.25" x14ac:dyDescent="0.25">
      <c r="A13" s="18" t="s">
        <v>15</v>
      </c>
      <c r="B13" s="22"/>
      <c r="C13" s="18"/>
      <c r="D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5" x14ac:dyDescent="0.25">
      <c r="A14" s="18"/>
      <c r="B14" s="23" t="s">
        <v>11</v>
      </c>
      <c r="C14" s="22">
        <v>2000</v>
      </c>
      <c r="D14" s="18" t="s">
        <v>14</v>
      </c>
      <c r="G14" s="18"/>
      <c r="H14" s="18"/>
      <c r="I14" s="23" t="s">
        <v>12</v>
      </c>
      <c r="J14" s="24" t="s">
        <v>12</v>
      </c>
      <c r="K14" s="24"/>
      <c r="L14" s="24"/>
      <c r="M14" s="24"/>
      <c r="N14" s="18" t="s">
        <v>12</v>
      </c>
      <c r="O14" s="18"/>
    </row>
    <row r="15" spans="1:15" ht="18" x14ac:dyDescent="0.25">
      <c r="A15" s="18" t="s">
        <v>194</v>
      </c>
      <c r="B15" s="125"/>
      <c r="C15" s="126"/>
      <c r="D15" s="126"/>
      <c r="E15" s="127"/>
      <c r="F15" s="127"/>
      <c r="G15" s="128"/>
      <c r="H15" s="127"/>
      <c r="I15" s="127"/>
      <c r="J15" s="18"/>
      <c r="K15" s="18"/>
      <c r="L15" s="18"/>
      <c r="M15" s="18"/>
      <c r="N15" s="18"/>
      <c r="O15" s="18"/>
    </row>
  </sheetData>
  <sheetProtection algorithmName="SHA-512" hashValue="F/Dg33+uPVmINtYFYi5rsEmwvrcSja5BSO9WeRZIXYUPtamJqGQe66lnWL1CApMcgKQ1w4NTHHzZ62S58NleIg==" saltValue="Ztevj0sY6YS97iZx9UkyHA==" spinCount="100000" sheet="1" objects="1" scenarios="1"/>
  <mergeCells count="16">
    <mergeCell ref="D6:D9"/>
    <mergeCell ref="E6:E9"/>
    <mergeCell ref="F6:F9"/>
    <mergeCell ref="A11:L11"/>
    <mergeCell ref="A10:N10"/>
    <mergeCell ref="C6:C9"/>
    <mergeCell ref="A1:N1"/>
    <mergeCell ref="A2:N2"/>
    <mergeCell ref="C4:C5"/>
    <mergeCell ref="G4:H5"/>
    <mergeCell ref="I4:J5"/>
    <mergeCell ref="K4:L5"/>
    <mergeCell ref="M4:N5"/>
    <mergeCell ref="A4:B4"/>
    <mergeCell ref="D4:F4"/>
    <mergeCell ref="E5:F5"/>
  </mergeCells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66AB9-E5EE-427C-926E-0B93AF75A93A}">
  <sheetPr codeName="Sheet6">
    <tabColor rgb="FFFFFF00"/>
    <pageSetUpPr fitToPage="1"/>
  </sheetPr>
  <dimension ref="A1:J68"/>
  <sheetViews>
    <sheetView zoomScaleNormal="100" workbookViewId="0">
      <selection activeCell="L31" sqref="L31"/>
    </sheetView>
  </sheetViews>
  <sheetFormatPr defaultRowHeight="15" x14ac:dyDescent="0.25"/>
  <cols>
    <col min="1" max="1" width="3.140625" customWidth="1"/>
    <col min="2" max="2" width="20" customWidth="1"/>
    <col min="3" max="3" width="38.85546875" customWidth="1"/>
    <col min="4" max="4" width="11.5703125" style="30" customWidth="1"/>
    <col min="5" max="5" width="8.85546875" style="30" customWidth="1"/>
    <col min="6" max="6" width="18.42578125" style="30" customWidth="1"/>
    <col min="7" max="7" width="15.7109375" style="30" customWidth="1"/>
    <col min="8" max="8" width="62.28515625" style="37" customWidth="1"/>
    <col min="10" max="10" width="13.28515625" bestFit="1" customWidth="1"/>
  </cols>
  <sheetData>
    <row r="1" spans="1:9" x14ac:dyDescent="0.25">
      <c r="A1" s="197" t="s">
        <v>312</v>
      </c>
      <c r="B1" s="197"/>
      <c r="C1" s="197"/>
      <c r="D1" s="197"/>
      <c r="E1" s="197"/>
      <c r="F1" s="197"/>
      <c r="G1" s="197"/>
      <c r="H1" s="197"/>
    </row>
    <row r="2" spans="1:9" ht="18" x14ac:dyDescent="0.35">
      <c r="A2" s="196" t="s">
        <v>108</v>
      </c>
      <c r="B2" s="196"/>
      <c r="C2" s="196"/>
      <c r="D2" s="196"/>
      <c r="E2" s="196"/>
      <c r="F2" s="196"/>
      <c r="G2" s="196"/>
      <c r="H2" s="196"/>
      <c r="I2" s="14"/>
    </row>
    <row r="3" spans="1:9" x14ac:dyDescent="0.25">
      <c r="I3" s="14"/>
    </row>
    <row r="4" spans="1:9" s="17" customFormat="1" ht="18.75" x14ac:dyDescent="0.25">
      <c r="A4" s="38" t="s">
        <v>43</v>
      </c>
      <c r="D4" s="39"/>
      <c r="E4" s="39"/>
      <c r="F4" s="39"/>
      <c r="G4" s="39"/>
      <c r="H4" s="10"/>
    </row>
    <row r="5" spans="1:9" s="41" customFormat="1" ht="15.75" x14ac:dyDescent="0.25">
      <c r="A5" s="40" t="s">
        <v>44</v>
      </c>
      <c r="D5" s="35" t="s">
        <v>45</v>
      </c>
      <c r="E5" s="35" t="s">
        <v>46</v>
      </c>
      <c r="F5" s="35" t="s">
        <v>47</v>
      </c>
      <c r="G5" s="35" t="s">
        <v>48</v>
      </c>
      <c r="H5" s="42" t="s">
        <v>49</v>
      </c>
    </row>
    <row r="6" spans="1:9" s="43" customFormat="1" x14ac:dyDescent="0.25">
      <c r="B6" s="44" t="s">
        <v>50</v>
      </c>
      <c r="C6" s="44"/>
      <c r="D6" s="45"/>
      <c r="E6" s="45"/>
      <c r="F6" s="45"/>
      <c r="G6" s="45"/>
      <c r="H6" s="46"/>
    </row>
    <row r="7" spans="1:9" s="17" customFormat="1" x14ac:dyDescent="0.25">
      <c r="B7" s="47"/>
      <c r="C7" s="47" t="s">
        <v>51</v>
      </c>
      <c r="D7" s="27">
        <v>1</v>
      </c>
      <c r="E7" s="27" t="s">
        <v>52</v>
      </c>
      <c r="F7" s="33">
        <v>5990000</v>
      </c>
      <c r="G7" s="33">
        <f>D7*F7</f>
        <v>5990000</v>
      </c>
      <c r="H7" s="5" t="s">
        <v>53</v>
      </c>
    </row>
    <row r="8" spans="1:9" s="17" customFormat="1" x14ac:dyDescent="0.25">
      <c r="B8" s="47"/>
      <c r="C8" s="47" t="s">
        <v>202</v>
      </c>
      <c r="D8" s="27">
        <v>1</v>
      </c>
      <c r="E8" s="27" t="s">
        <v>52</v>
      </c>
      <c r="F8" s="33">
        <v>250000</v>
      </c>
      <c r="G8" s="33">
        <f t="shared" ref="G8:G10" si="0">D8*F8</f>
        <v>250000</v>
      </c>
      <c r="H8" s="5" t="s">
        <v>53</v>
      </c>
    </row>
    <row r="9" spans="1:9" s="17" customFormat="1" x14ac:dyDescent="0.25">
      <c r="B9" s="47"/>
      <c r="C9" s="47" t="s">
        <v>292</v>
      </c>
      <c r="D9" s="27">
        <v>1</v>
      </c>
      <c r="E9" s="27" t="s">
        <v>52</v>
      </c>
      <c r="F9" s="33">
        <v>2900000</v>
      </c>
      <c r="G9" s="33">
        <f t="shared" si="0"/>
        <v>2900000</v>
      </c>
      <c r="H9" s="70" t="s">
        <v>294</v>
      </c>
    </row>
    <row r="10" spans="1:9" s="17" customFormat="1" x14ac:dyDescent="0.25">
      <c r="B10" s="47"/>
      <c r="C10" s="47" t="s">
        <v>203</v>
      </c>
      <c r="D10" s="27">
        <v>1</v>
      </c>
      <c r="E10" s="27" t="s">
        <v>52</v>
      </c>
      <c r="F10" s="33">
        <v>348000</v>
      </c>
      <c r="G10" s="33">
        <f t="shared" si="0"/>
        <v>348000</v>
      </c>
      <c r="H10" s="70" t="s">
        <v>294</v>
      </c>
    </row>
    <row r="11" spans="1:9" s="17" customFormat="1" x14ac:dyDescent="0.25">
      <c r="B11" s="47"/>
      <c r="C11" s="47" t="s">
        <v>210</v>
      </c>
      <c r="D11" s="27">
        <v>1</v>
      </c>
      <c r="E11" s="27" t="s">
        <v>52</v>
      </c>
      <c r="F11" s="33">
        <v>125257</v>
      </c>
      <c r="G11" s="33">
        <f t="shared" ref="G11" si="1">D11*F11</f>
        <v>125257</v>
      </c>
      <c r="H11" s="70" t="s">
        <v>211</v>
      </c>
      <c r="I11" s="52"/>
    </row>
    <row r="12" spans="1:9" s="43" customFormat="1" x14ac:dyDescent="0.25">
      <c r="B12" s="198" t="s">
        <v>54</v>
      </c>
      <c r="C12" s="199"/>
      <c r="D12" s="199"/>
      <c r="E12" s="200"/>
      <c r="F12" s="49" t="s">
        <v>55</v>
      </c>
      <c r="G12" s="50">
        <f>SUM(G7:G11)</f>
        <v>9613257</v>
      </c>
      <c r="H12" s="51"/>
    </row>
    <row r="13" spans="1:9" s="17" customFormat="1" x14ac:dyDescent="0.25">
      <c r="D13" s="39"/>
      <c r="E13" s="39"/>
      <c r="F13" s="39"/>
      <c r="G13" s="39"/>
      <c r="H13" s="10"/>
    </row>
    <row r="14" spans="1:9" s="43" customFormat="1" x14ac:dyDescent="0.25">
      <c r="B14" s="44" t="s">
        <v>56</v>
      </c>
      <c r="C14" s="44"/>
      <c r="D14" s="45"/>
      <c r="E14" s="45"/>
      <c r="F14" s="45"/>
      <c r="G14" s="45"/>
      <c r="H14" s="46"/>
    </row>
    <row r="15" spans="1:9" s="17" customFormat="1" x14ac:dyDescent="0.25">
      <c r="B15" s="47"/>
      <c r="C15" s="47" t="s">
        <v>204</v>
      </c>
      <c r="D15" s="27">
        <v>1</v>
      </c>
      <c r="E15" s="27" t="s">
        <v>52</v>
      </c>
      <c r="F15" s="33">
        <v>488847.07</v>
      </c>
      <c r="G15" s="33">
        <f t="shared" ref="G15:G21" si="2">D15*F15</f>
        <v>488847.07</v>
      </c>
      <c r="H15" s="70" t="s">
        <v>294</v>
      </c>
      <c r="I15" s="52"/>
    </row>
    <row r="16" spans="1:9" s="17" customFormat="1" x14ac:dyDescent="0.25">
      <c r="B16" s="47"/>
      <c r="C16" s="47" t="s">
        <v>293</v>
      </c>
      <c r="D16" s="27">
        <v>1</v>
      </c>
      <c r="E16" s="27" t="s">
        <v>57</v>
      </c>
      <c r="F16" s="33">
        <v>322667.40999999997</v>
      </c>
      <c r="G16" s="33">
        <f t="shared" ref="G16" si="3">D16*F16</f>
        <v>322667.40999999997</v>
      </c>
      <c r="H16" s="70" t="s">
        <v>294</v>
      </c>
      <c r="I16" s="52"/>
    </row>
    <row r="17" spans="1:9" s="17" customFormat="1" x14ac:dyDescent="0.25">
      <c r="B17" s="47"/>
      <c r="C17" s="47" t="s">
        <v>205</v>
      </c>
      <c r="D17" s="27">
        <v>1</v>
      </c>
      <c r="E17" s="27" t="s">
        <v>57</v>
      </c>
      <c r="F17" s="33">
        <v>31601762.699999999</v>
      </c>
      <c r="G17" s="33">
        <f t="shared" si="2"/>
        <v>31601762.699999999</v>
      </c>
      <c r="H17" s="70" t="s">
        <v>294</v>
      </c>
      <c r="I17" s="52"/>
    </row>
    <row r="18" spans="1:9" s="17" customFormat="1" x14ac:dyDescent="0.25">
      <c r="B18" s="47"/>
      <c r="C18" s="47" t="s">
        <v>206</v>
      </c>
      <c r="D18" s="27">
        <v>1</v>
      </c>
      <c r="E18" s="27" t="s">
        <v>57</v>
      </c>
      <c r="F18" s="33">
        <v>610883.77</v>
      </c>
      <c r="G18" s="33">
        <f t="shared" si="2"/>
        <v>610883.77</v>
      </c>
      <c r="H18" s="70" t="s">
        <v>294</v>
      </c>
      <c r="I18" s="52"/>
    </row>
    <row r="19" spans="1:9" s="17" customFormat="1" x14ac:dyDescent="0.25">
      <c r="B19" s="47"/>
      <c r="C19" s="47" t="s">
        <v>207</v>
      </c>
      <c r="D19" s="27">
        <v>1</v>
      </c>
      <c r="E19" s="27" t="s">
        <v>57</v>
      </c>
      <c r="F19" s="33">
        <v>1355710</v>
      </c>
      <c r="G19" s="33">
        <f t="shared" si="2"/>
        <v>1355710</v>
      </c>
      <c r="H19" s="70" t="s">
        <v>294</v>
      </c>
      <c r="I19" s="52"/>
    </row>
    <row r="20" spans="1:9" s="17" customFormat="1" x14ac:dyDescent="0.25">
      <c r="B20" s="47"/>
      <c r="C20" s="47" t="s">
        <v>208</v>
      </c>
      <c r="D20" s="27">
        <v>1</v>
      </c>
      <c r="E20" s="27" t="s">
        <v>52</v>
      </c>
      <c r="F20" s="33">
        <v>103407.81</v>
      </c>
      <c r="G20" s="33">
        <f t="shared" si="2"/>
        <v>103407.81</v>
      </c>
      <c r="H20" s="70" t="s">
        <v>294</v>
      </c>
      <c r="I20" s="52"/>
    </row>
    <row r="21" spans="1:9" s="17" customFormat="1" x14ac:dyDescent="0.25">
      <c r="B21" s="47"/>
      <c r="C21" s="48" t="s">
        <v>209</v>
      </c>
      <c r="D21" s="27">
        <v>1</v>
      </c>
      <c r="E21" s="27" t="s">
        <v>57</v>
      </c>
      <c r="F21" s="33">
        <v>834300</v>
      </c>
      <c r="G21" s="33">
        <f t="shared" si="2"/>
        <v>834300</v>
      </c>
      <c r="H21" s="70" t="s">
        <v>294</v>
      </c>
      <c r="I21" s="52"/>
    </row>
    <row r="22" spans="1:9" s="17" customFormat="1" x14ac:dyDescent="0.25">
      <c r="B22" s="159"/>
      <c r="C22" s="160" t="s">
        <v>305</v>
      </c>
      <c r="D22" s="27">
        <v>1</v>
      </c>
      <c r="E22" s="27" t="s">
        <v>57</v>
      </c>
      <c r="F22" s="33">
        <v>1000000</v>
      </c>
      <c r="G22" s="33">
        <f t="shared" ref="G22" si="4">D22*F22</f>
        <v>1000000</v>
      </c>
      <c r="H22" s="70" t="s">
        <v>294</v>
      </c>
      <c r="I22" s="52"/>
    </row>
    <row r="23" spans="1:9" s="43" customFormat="1" x14ac:dyDescent="0.25">
      <c r="B23" s="198" t="s">
        <v>58</v>
      </c>
      <c r="C23" s="199"/>
      <c r="D23" s="199"/>
      <c r="E23" s="200"/>
      <c r="F23" s="49" t="s">
        <v>59</v>
      </c>
      <c r="G23" s="50">
        <f>SUM(G15:G22)</f>
        <v>36317578.760000005</v>
      </c>
      <c r="H23" s="51"/>
    </row>
    <row r="24" spans="1:9" s="17" customFormat="1" x14ac:dyDescent="0.25">
      <c r="D24" s="39"/>
      <c r="E24" s="39"/>
      <c r="F24" s="39"/>
      <c r="G24" s="39"/>
      <c r="H24" s="10"/>
    </row>
    <row r="25" spans="1:9" s="41" customFormat="1" x14ac:dyDescent="0.25">
      <c r="B25" s="201" t="s">
        <v>60</v>
      </c>
      <c r="C25" s="202"/>
      <c r="D25" s="202"/>
      <c r="E25" s="203"/>
      <c r="F25" s="53" t="s">
        <v>61</v>
      </c>
      <c r="G25" s="54">
        <f>G12+G23</f>
        <v>45930835.760000005</v>
      </c>
      <c r="H25" s="55"/>
    </row>
    <row r="26" spans="1:9" s="17" customFormat="1" x14ac:dyDescent="0.25">
      <c r="D26" s="39"/>
      <c r="E26" s="39"/>
      <c r="F26" s="39"/>
      <c r="G26" s="39"/>
      <c r="H26" s="10"/>
    </row>
    <row r="27" spans="1:9" s="17" customFormat="1" ht="15.75" x14ac:dyDescent="0.25">
      <c r="A27" s="40" t="s">
        <v>62</v>
      </c>
      <c r="B27" s="41"/>
      <c r="C27" s="41"/>
      <c r="D27" s="39"/>
      <c r="E27" s="39"/>
      <c r="F27" s="39"/>
      <c r="G27" s="39"/>
      <c r="H27" s="10"/>
    </row>
    <row r="28" spans="1:9" s="17" customFormat="1" x14ac:dyDescent="0.25">
      <c r="A28" s="43"/>
      <c r="B28" s="44" t="s">
        <v>63</v>
      </c>
      <c r="C28" s="44"/>
      <c r="D28" s="27"/>
      <c r="E28" s="27"/>
      <c r="F28" s="33"/>
      <c r="G28" s="33"/>
      <c r="H28" s="5"/>
    </row>
    <row r="29" spans="1:9" s="17" customFormat="1" x14ac:dyDescent="0.25">
      <c r="A29" s="43"/>
      <c r="B29" s="44"/>
      <c r="C29" s="47" t="s">
        <v>64</v>
      </c>
      <c r="D29" s="27">
        <v>1</v>
      </c>
      <c r="E29" s="27" t="s">
        <v>52</v>
      </c>
      <c r="F29" s="33">
        <v>7483700</v>
      </c>
      <c r="G29" s="33">
        <f>D29*F29</f>
        <v>7483700</v>
      </c>
      <c r="H29" s="70" t="s">
        <v>294</v>
      </c>
      <c r="I29" s="52"/>
    </row>
    <row r="30" spans="1:9" s="17" customFormat="1" ht="45" x14ac:dyDescent="0.25">
      <c r="A30" s="43"/>
      <c r="B30" s="44"/>
      <c r="C30" s="47" t="s">
        <v>65</v>
      </c>
      <c r="D30" s="27">
        <v>5</v>
      </c>
      <c r="E30" s="27" t="s">
        <v>291</v>
      </c>
      <c r="F30" s="56"/>
      <c r="G30" s="33">
        <f>D30/100*G25</f>
        <v>2296541.7880000002</v>
      </c>
      <c r="H30" s="70" t="s">
        <v>295</v>
      </c>
      <c r="I30" s="52"/>
    </row>
    <row r="31" spans="1:9" s="17" customFormat="1" ht="30" x14ac:dyDescent="0.25">
      <c r="A31" s="43"/>
      <c r="B31" s="44"/>
      <c r="C31" s="47" t="s">
        <v>66</v>
      </c>
      <c r="D31" s="27">
        <v>10</v>
      </c>
      <c r="E31" s="27" t="s">
        <v>196</v>
      </c>
      <c r="F31" s="56"/>
      <c r="G31" s="33">
        <f>4531688+(D31/100*G11)</f>
        <v>4544213.7</v>
      </c>
      <c r="H31" s="70" t="s">
        <v>296</v>
      </c>
      <c r="I31" s="52"/>
    </row>
    <row r="32" spans="1:9" s="17" customFormat="1" ht="30" x14ac:dyDescent="0.25">
      <c r="A32" s="43"/>
      <c r="B32" s="44"/>
      <c r="C32" s="47" t="s">
        <v>67</v>
      </c>
      <c r="D32" s="27">
        <v>15</v>
      </c>
      <c r="E32" s="27" t="s">
        <v>291</v>
      </c>
      <c r="F32" s="56"/>
      <c r="G32" s="33">
        <f>D32/100*G25</f>
        <v>6889625.364000001</v>
      </c>
      <c r="H32" s="70" t="s">
        <v>297</v>
      </c>
      <c r="I32" s="52"/>
    </row>
    <row r="33" spans="1:10" s="17" customFormat="1" ht="45" x14ac:dyDescent="0.25">
      <c r="A33" s="43"/>
      <c r="B33" s="44"/>
      <c r="C33" s="47" t="s">
        <v>68</v>
      </c>
      <c r="D33" s="27">
        <v>5</v>
      </c>
      <c r="E33" s="27" t="s">
        <v>196</v>
      </c>
      <c r="F33" s="56"/>
      <c r="G33" s="157">
        <f>D33/100*(G25-G21)</f>
        <v>2254826.7880000002</v>
      </c>
      <c r="H33" s="70" t="s">
        <v>295</v>
      </c>
      <c r="I33" s="52"/>
    </row>
    <row r="34" spans="1:10" s="17" customFormat="1" ht="30" x14ac:dyDescent="0.25">
      <c r="B34" s="57" t="s">
        <v>161</v>
      </c>
      <c r="C34" s="58"/>
      <c r="D34" s="27">
        <v>10</v>
      </c>
      <c r="E34" s="27" t="s">
        <v>196</v>
      </c>
      <c r="F34" s="56"/>
      <c r="G34" s="33">
        <f>D34/100*(G25+G30+G31+G32+G33)</f>
        <v>6191604.3400000017</v>
      </c>
      <c r="H34" s="5" t="s">
        <v>69</v>
      </c>
    </row>
    <row r="35" spans="1:10" s="17" customFormat="1" ht="45" x14ac:dyDescent="0.25">
      <c r="B35" s="57" t="s">
        <v>162</v>
      </c>
      <c r="C35" s="58"/>
      <c r="D35" s="27">
        <v>10</v>
      </c>
      <c r="E35" s="27" t="s">
        <v>196</v>
      </c>
      <c r="F35" s="56"/>
      <c r="G35" s="33">
        <f>D35/100*(G25+G30+G31+G32+G33)</f>
        <v>6191604.3400000017</v>
      </c>
      <c r="H35" s="70" t="s">
        <v>295</v>
      </c>
      <c r="I35" s="52"/>
    </row>
    <row r="36" spans="1:10" s="17" customFormat="1" ht="45" x14ac:dyDescent="0.25">
      <c r="B36" s="57" t="s">
        <v>163</v>
      </c>
      <c r="C36" s="58"/>
      <c r="D36" s="27">
        <v>1</v>
      </c>
      <c r="E36" s="59" t="s">
        <v>196</v>
      </c>
      <c r="F36" s="56"/>
      <c r="G36" s="33">
        <f>D36/100*(G25+G30+G31+G32+G33+G34+G35)</f>
        <v>742992.52080000017</v>
      </c>
      <c r="H36" s="70" t="s">
        <v>295</v>
      </c>
      <c r="I36" s="52"/>
    </row>
    <row r="37" spans="1:10" s="17" customFormat="1" ht="30" x14ac:dyDescent="0.25">
      <c r="B37" s="44" t="s">
        <v>164</v>
      </c>
      <c r="C37" s="47"/>
      <c r="D37" s="27">
        <v>1</v>
      </c>
      <c r="E37" s="27" t="s">
        <v>52</v>
      </c>
      <c r="F37" s="33">
        <v>20000</v>
      </c>
      <c r="G37" s="33">
        <f>D37*F37</f>
        <v>20000</v>
      </c>
      <c r="H37" s="70" t="s">
        <v>290</v>
      </c>
      <c r="I37" s="52"/>
    </row>
    <row r="38" spans="1:10" s="17" customFormat="1" x14ac:dyDescent="0.25">
      <c r="D38" s="39"/>
      <c r="E38" s="39"/>
      <c r="F38" s="39"/>
      <c r="G38" s="39"/>
      <c r="H38" s="10"/>
    </row>
    <row r="39" spans="1:10" s="17" customFormat="1" x14ac:dyDescent="0.25">
      <c r="B39" s="201" t="s">
        <v>70</v>
      </c>
      <c r="C39" s="202"/>
      <c r="D39" s="202"/>
      <c r="E39" s="203"/>
      <c r="F39" s="53" t="s">
        <v>71</v>
      </c>
      <c r="G39" s="54">
        <f>SUM(G29:G37)</f>
        <v>36615108.84080001</v>
      </c>
      <c r="H39" s="55"/>
    </row>
    <row r="40" spans="1:10" s="17" customFormat="1" x14ac:dyDescent="0.25">
      <c r="D40" s="39"/>
      <c r="E40" s="39"/>
      <c r="F40" s="39"/>
      <c r="G40" s="39"/>
      <c r="H40" s="10"/>
    </row>
    <row r="41" spans="1:10" s="63" customFormat="1" ht="15.75" x14ac:dyDescent="0.25">
      <c r="A41" s="204" t="s">
        <v>72</v>
      </c>
      <c r="B41" s="205"/>
      <c r="C41" s="205"/>
      <c r="D41" s="205"/>
      <c r="E41" s="206"/>
      <c r="F41" s="60" t="s">
        <v>73</v>
      </c>
      <c r="G41" s="61">
        <f>G25+G39</f>
        <v>82545944.600800008</v>
      </c>
      <c r="H41" s="62"/>
      <c r="J41" s="64"/>
    </row>
    <row r="42" spans="1:10" s="17" customFormat="1" x14ac:dyDescent="0.25">
      <c r="D42" s="39"/>
      <c r="E42" s="39"/>
      <c r="F42" s="39"/>
      <c r="G42" s="39"/>
      <c r="H42" s="10"/>
    </row>
    <row r="43" spans="1:10" s="65" customFormat="1" ht="5.25" customHeight="1" x14ac:dyDescent="0.25">
      <c r="D43" s="66"/>
      <c r="E43" s="66"/>
      <c r="F43" s="66"/>
      <c r="G43" s="66"/>
      <c r="H43" s="67"/>
    </row>
    <row r="44" spans="1:10" s="17" customFormat="1" ht="18.75" x14ac:dyDescent="0.25">
      <c r="A44" s="38" t="s">
        <v>74</v>
      </c>
      <c r="D44" s="39"/>
      <c r="E44" s="39"/>
      <c r="F44" s="39"/>
      <c r="G44" s="39"/>
      <c r="H44" s="10"/>
    </row>
    <row r="45" spans="1:10" s="17" customFormat="1" ht="15.75" x14ac:dyDescent="0.25">
      <c r="A45" s="40" t="s">
        <v>44</v>
      </c>
      <c r="B45" s="41"/>
      <c r="D45" s="35" t="s">
        <v>45</v>
      </c>
      <c r="E45" s="35" t="s">
        <v>46</v>
      </c>
      <c r="F45" s="35" t="s">
        <v>47</v>
      </c>
      <c r="G45" s="35" t="s">
        <v>48</v>
      </c>
      <c r="H45" s="42" t="s">
        <v>49</v>
      </c>
    </row>
    <row r="46" spans="1:10" s="17" customFormat="1" ht="45" x14ac:dyDescent="0.25">
      <c r="B46" s="57" t="s">
        <v>75</v>
      </c>
      <c r="C46" s="58"/>
      <c r="D46" s="27">
        <f>0.5*365*2</f>
        <v>365</v>
      </c>
      <c r="E46" s="27" t="s">
        <v>76</v>
      </c>
      <c r="F46" s="68">
        <v>66.400000000000006</v>
      </c>
      <c r="G46" s="33">
        <f>D46*F46</f>
        <v>24236.000000000004</v>
      </c>
      <c r="H46" s="70" t="s">
        <v>309</v>
      </c>
    </row>
    <row r="47" spans="1:10" s="17" customFormat="1" x14ac:dyDescent="0.25">
      <c r="B47" s="57" t="s">
        <v>77</v>
      </c>
      <c r="C47" s="58"/>
      <c r="D47" s="27">
        <v>15</v>
      </c>
      <c r="E47" s="27" t="s">
        <v>196</v>
      </c>
      <c r="F47" s="56"/>
      <c r="G47" s="33">
        <f>D47/100*G46</f>
        <v>3635.4000000000005</v>
      </c>
      <c r="H47" s="70" t="s">
        <v>78</v>
      </c>
    </row>
    <row r="48" spans="1:10" s="17" customFormat="1" ht="45" x14ac:dyDescent="0.25">
      <c r="B48" s="57" t="s">
        <v>79</v>
      </c>
      <c r="C48" s="58"/>
      <c r="D48" s="27">
        <f>0.5*365*2</f>
        <v>365</v>
      </c>
      <c r="E48" s="27" t="s">
        <v>76</v>
      </c>
      <c r="F48" s="68">
        <v>66.400000000000006</v>
      </c>
      <c r="G48" s="33">
        <f>D48*F48</f>
        <v>24236.000000000004</v>
      </c>
      <c r="H48" s="70" t="s">
        <v>309</v>
      </c>
    </row>
    <row r="49" spans="1:9" s="17" customFormat="1" x14ac:dyDescent="0.25">
      <c r="B49" s="57" t="s">
        <v>80</v>
      </c>
      <c r="C49" s="58"/>
      <c r="D49" s="27">
        <v>100</v>
      </c>
      <c r="E49" s="27" t="s">
        <v>196</v>
      </c>
      <c r="F49" s="56"/>
      <c r="G49" s="33">
        <f>D49/100*G48</f>
        <v>24236.000000000004</v>
      </c>
      <c r="H49" s="70" t="s">
        <v>81</v>
      </c>
    </row>
    <row r="50" spans="1:9" s="17" customFormat="1" ht="45" x14ac:dyDescent="0.25">
      <c r="B50" s="57" t="s">
        <v>82</v>
      </c>
      <c r="C50" s="58"/>
      <c r="D50" s="69">
        <f>0.3625*8760</f>
        <v>3175.5</v>
      </c>
      <c r="E50" s="27" t="s">
        <v>83</v>
      </c>
      <c r="F50" s="33">
        <v>563</v>
      </c>
      <c r="G50" s="33">
        <f>D50*F50</f>
        <v>1787806.5</v>
      </c>
      <c r="H50" s="70" t="s">
        <v>84</v>
      </c>
    </row>
    <row r="51" spans="1:9" s="17" customFormat="1" ht="45" x14ac:dyDescent="0.25">
      <c r="B51" s="207" t="s">
        <v>85</v>
      </c>
      <c r="C51" s="58" t="s">
        <v>86</v>
      </c>
      <c r="D51" s="107">
        <f>'TableF-DSI_Electrical_Equip'!N63*8760</f>
        <v>2735959.6559936809</v>
      </c>
      <c r="E51" s="27" t="s">
        <v>87</v>
      </c>
      <c r="F51" s="130">
        <v>9.2999999999999999E-2</v>
      </c>
      <c r="G51" s="33">
        <f>D51*F51</f>
        <v>254444.24800741233</v>
      </c>
      <c r="H51" s="70" t="s">
        <v>310</v>
      </c>
      <c r="I51" s="52"/>
    </row>
    <row r="52" spans="1:9" s="17" customFormat="1" ht="45" x14ac:dyDescent="0.25">
      <c r="B52" s="208"/>
      <c r="C52" s="58" t="s">
        <v>198</v>
      </c>
      <c r="D52" s="107">
        <f>'TableD-Ash_Disposal'!C24</f>
        <v>2930.2524804374998</v>
      </c>
      <c r="E52" s="27" t="s">
        <v>83</v>
      </c>
      <c r="F52" s="33">
        <v>44</v>
      </c>
      <c r="G52" s="33">
        <f>D52*F52</f>
        <v>128931.10913924999</v>
      </c>
      <c r="H52" s="70" t="s">
        <v>311</v>
      </c>
    </row>
    <row r="53" spans="1:9" s="17" customFormat="1" x14ac:dyDescent="0.25">
      <c r="B53" s="198" t="s">
        <v>88</v>
      </c>
      <c r="C53" s="199"/>
      <c r="D53" s="199"/>
      <c r="E53" s="200"/>
      <c r="F53" s="49" t="s">
        <v>89</v>
      </c>
      <c r="G53" s="50">
        <f>SUM(G46:G52)</f>
        <v>2247525.2571466626</v>
      </c>
      <c r="H53" s="51"/>
    </row>
    <row r="54" spans="1:9" s="17" customFormat="1" x14ac:dyDescent="0.25">
      <c r="D54" s="39"/>
      <c r="E54" s="39"/>
      <c r="F54" s="39"/>
      <c r="G54" s="39"/>
      <c r="H54" s="10"/>
    </row>
    <row r="55" spans="1:9" s="17" customFormat="1" ht="15.75" x14ac:dyDescent="0.25">
      <c r="A55" s="40" t="s">
        <v>62</v>
      </c>
      <c r="B55" s="41"/>
      <c r="C55" s="41"/>
      <c r="D55" s="39"/>
      <c r="E55" s="39"/>
      <c r="F55" s="39"/>
      <c r="G55" s="39"/>
      <c r="H55" s="10"/>
    </row>
    <row r="56" spans="1:9" s="17" customFormat="1" ht="30" x14ac:dyDescent="0.25">
      <c r="A56" s="43"/>
      <c r="B56" s="57" t="s">
        <v>90</v>
      </c>
      <c r="C56" s="71"/>
      <c r="D56" s="27">
        <v>60</v>
      </c>
      <c r="E56" s="59" t="s">
        <v>196</v>
      </c>
      <c r="F56" s="72"/>
      <c r="G56" s="33">
        <f>D56/100*SUM(G46:G49)</f>
        <v>45806.04</v>
      </c>
      <c r="H56" s="5" t="s">
        <v>91</v>
      </c>
    </row>
    <row r="57" spans="1:9" s="17" customFormat="1" x14ac:dyDescent="0.25">
      <c r="B57" s="57" t="s">
        <v>92</v>
      </c>
      <c r="C57" s="58"/>
      <c r="D57" s="27">
        <v>2</v>
      </c>
      <c r="E57" s="59" t="s">
        <v>197</v>
      </c>
      <c r="F57" s="72"/>
      <c r="G57" s="33">
        <f>D57/100*G41</f>
        <v>1650918.8920160001</v>
      </c>
      <c r="H57" s="5" t="s">
        <v>93</v>
      </c>
    </row>
    <row r="58" spans="1:9" s="17" customFormat="1" x14ac:dyDescent="0.25">
      <c r="B58" s="57" t="s">
        <v>94</v>
      </c>
      <c r="C58" s="58"/>
      <c r="D58" s="27">
        <v>1</v>
      </c>
      <c r="E58" s="59" t="s">
        <v>197</v>
      </c>
      <c r="F58" s="72"/>
      <c r="G58" s="33">
        <f>D58/100*G41</f>
        <v>825459.44600800006</v>
      </c>
      <c r="H58" s="5" t="s">
        <v>95</v>
      </c>
    </row>
    <row r="59" spans="1:9" s="17" customFormat="1" x14ac:dyDescent="0.25">
      <c r="B59" s="57" t="s">
        <v>96</v>
      </c>
      <c r="C59" s="58"/>
      <c r="D59" s="27">
        <v>1</v>
      </c>
      <c r="E59" s="59" t="s">
        <v>197</v>
      </c>
      <c r="F59" s="72"/>
      <c r="G59" s="33">
        <f>D59/100*G41</f>
        <v>825459.44600800006</v>
      </c>
      <c r="H59" s="5" t="s">
        <v>95</v>
      </c>
    </row>
    <row r="60" spans="1:9" s="17" customFormat="1" x14ac:dyDescent="0.25">
      <c r="B60" s="57" t="s">
        <v>97</v>
      </c>
      <c r="C60" s="58"/>
      <c r="D60" s="73"/>
      <c r="E60" s="74"/>
      <c r="F60" s="72"/>
      <c r="G60" s="33">
        <f>D61*G41</f>
        <v>7680947.6347164679</v>
      </c>
      <c r="H60" s="5" t="s">
        <v>98</v>
      </c>
    </row>
    <row r="61" spans="1:9" s="17" customFormat="1" ht="17.25" x14ac:dyDescent="0.25">
      <c r="B61" s="75"/>
      <c r="C61" s="76" t="s">
        <v>99</v>
      </c>
      <c r="D61" s="77">
        <f>D62/100*(1+(D62/100))^D63/((1+(D62/100))^D63-1)</f>
        <v>9.3050575311267647E-2</v>
      </c>
      <c r="E61" s="78"/>
      <c r="F61" s="79"/>
      <c r="G61" s="80"/>
      <c r="H61" s="81" t="s">
        <v>100</v>
      </c>
    </row>
    <row r="62" spans="1:9" s="17" customFormat="1" ht="30" x14ac:dyDescent="0.25">
      <c r="B62" s="82"/>
      <c r="C62" s="76" t="s">
        <v>101</v>
      </c>
      <c r="D62" s="129">
        <v>8.5</v>
      </c>
      <c r="E62" s="83" t="s">
        <v>196</v>
      </c>
      <c r="F62" s="80"/>
      <c r="G62" s="80"/>
      <c r="H62" s="81" t="s">
        <v>304</v>
      </c>
    </row>
    <row r="63" spans="1:9" s="17" customFormat="1" x14ac:dyDescent="0.25">
      <c r="B63" s="84"/>
      <c r="C63" s="76" t="s">
        <v>102</v>
      </c>
      <c r="D63" s="83">
        <v>30</v>
      </c>
      <c r="E63" s="83" t="s">
        <v>103</v>
      </c>
      <c r="F63" s="80"/>
      <c r="G63" s="80"/>
      <c r="H63" s="81"/>
    </row>
    <row r="64" spans="1:9" s="17" customFormat="1" x14ac:dyDescent="0.25">
      <c r="D64" s="39"/>
      <c r="E64" s="39"/>
      <c r="F64" s="39"/>
      <c r="G64" s="39"/>
      <c r="H64" s="10"/>
    </row>
    <row r="65" spans="1:8" s="17" customFormat="1" x14ac:dyDescent="0.25">
      <c r="B65" s="201" t="s">
        <v>104</v>
      </c>
      <c r="C65" s="202"/>
      <c r="D65" s="202"/>
      <c r="E65" s="203"/>
      <c r="F65" s="53" t="s">
        <v>105</v>
      </c>
      <c r="G65" s="54">
        <f>SUM(G56:G60)</f>
        <v>11028591.458748467</v>
      </c>
      <c r="H65" s="55"/>
    </row>
    <row r="66" spans="1:8" s="17" customFormat="1" x14ac:dyDescent="0.25">
      <c r="D66" s="39"/>
      <c r="E66" s="39"/>
      <c r="F66" s="39"/>
      <c r="G66" s="39"/>
      <c r="H66" s="10"/>
    </row>
    <row r="67" spans="1:8" s="17" customFormat="1" ht="15.75" x14ac:dyDescent="0.25">
      <c r="A67" s="204" t="s">
        <v>106</v>
      </c>
      <c r="B67" s="205"/>
      <c r="C67" s="205"/>
      <c r="D67" s="205"/>
      <c r="E67" s="206"/>
      <c r="F67" s="60" t="s">
        <v>107</v>
      </c>
      <c r="G67" s="61">
        <f>G53+G65</f>
        <v>13276116.715895129</v>
      </c>
      <c r="H67" s="62"/>
    </row>
    <row r="68" spans="1:8" s="17" customFormat="1" x14ac:dyDescent="0.25">
      <c r="D68" s="39"/>
      <c r="E68" s="39"/>
      <c r="F68" s="39"/>
      <c r="G68" s="39"/>
      <c r="H68" s="10"/>
    </row>
  </sheetData>
  <sheetProtection algorithmName="SHA-512" hashValue="N7woNZN5UpQiRoUlD1ZjeFVfHHz/wiTC79/ptumMu86yS+Ryb9OpGZyomgYylmJdm4BsDj8ocCileZ7611u3wA==" saltValue="mDqJwcJF9kesFu2BsucvZg==" spinCount="100000" sheet="1" objects="1" scenarios="1"/>
  <mergeCells count="11">
    <mergeCell ref="A2:H2"/>
    <mergeCell ref="A1:H1"/>
    <mergeCell ref="B53:E53"/>
    <mergeCell ref="B65:E65"/>
    <mergeCell ref="A67:E67"/>
    <mergeCell ref="B12:E12"/>
    <mergeCell ref="B23:E23"/>
    <mergeCell ref="B25:E25"/>
    <mergeCell ref="B39:E39"/>
    <mergeCell ref="A41:E41"/>
    <mergeCell ref="B51:B52"/>
  </mergeCells>
  <pageMargins left="0.7" right="0.7" top="0.75" bottom="0.75" header="0.3" footer="0.3"/>
  <pageSetup scale="5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3AC3C-6526-4CA8-9229-65848C6DF2A8}">
  <sheetPr codeName="Sheet7"/>
  <dimension ref="A1:J34"/>
  <sheetViews>
    <sheetView workbookViewId="0">
      <selection sqref="A1:F1"/>
    </sheetView>
  </sheetViews>
  <sheetFormatPr defaultRowHeight="15" x14ac:dyDescent="0.25"/>
  <cols>
    <col min="4" max="4" width="30.5703125" bestFit="1" customWidth="1"/>
    <col min="5" max="6" width="12.7109375" customWidth="1"/>
  </cols>
  <sheetData>
    <row r="1" spans="1:10" x14ac:dyDescent="0.25">
      <c r="A1" s="197" t="s">
        <v>313</v>
      </c>
      <c r="B1" s="197"/>
      <c r="C1" s="197"/>
      <c r="D1" s="197"/>
      <c r="E1" s="197"/>
      <c r="F1" s="197"/>
    </row>
    <row r="2" spans="1:10" x14ac:dyDescent="0.25">
      <c r="A2" s="196" t="s">
        <v>166</v>
      </c>
      <c r="B2" s="196"/>
      <c r="C2" s="196"/>
      <c r="D2" s="196"/>
      <c r="E2" s="196"/>
      <c r="F2" s="196"/>
    </row>
    <row r="4" spans="1:10" x14ac:dyDescent="0.25">
      <c r="E4" s="109"/>
    </row>
    <row r="5" spans="1:10" x14ac:dyDescent="0.25">
      <c r="E5" s="110" t="s">
        <v>167</v>
      </c>
      <c r="F5" s="110" t="s">
        <v>168</v>
      </c>
    </row>
    <row r="6" spans="1:10" x14ac:dyDescent="0.25">
      <c r="D6" s="111" t="s">
        <v>169</v>
      </c>
      <c r="E6" s="112">
        <v>43.07</v>
      </c>
      <c r="F6">
        <v>17.100000000000001</v>
      </c>
    </row>
    <row r="7" spans="1:10" x14ac:dyDescent="0.25">
      <c r="D7" s="111" t="s">
        <v>170</v>
      </c>
      <c r="E7" s="112">
        <f>(+E6*1.03)-E6</f>
        <v>1.2920999999999978</v>
      </c>
      <c r="F7">
        <v>17.2</v>
      </c>
    </row>
    <row r="8" spans="1:10" x14ac:dyDescent="0.25">
      <c r="D8" s="111" t="s">
        <v>171</v>
      </c>
      <c r="E8" s="112">
        <v>0.5</v>
      </c>
      <c r="F8">
        <v>15.3</v>
      </c>
    </row>
    <row r="9" spans="1:10" x14ac:dyDescent="0.25">
      <c r="D9" s="111" t="s">
        <v>172</v>
      </c>
      <c r="E9" s="112">
        <f>((1803+1773)/2*12)/2184</f>
        <v>9.8241758241758248</v>
      </c>
      <c r="F9">
        <v>15.1</v>
      </c>
    </row>
    <row r="10" spans="1:10" x14ac:dyDescent="0.25">
      <c r="D10" s="111" t="s">
        <v>173</v>
      </c>
      <c r="E10" s="113">
        <v>10</v>
      </c>
      <c r="F10">
        <v>15.2</v>
      </c>
    </row>
    <row r="11" spans="1:10" x14ac:dyDescent="0.25">
      <c r="D11" s="111"/>
      <c r="E11" s="112"/>
    </row>
    <row r="12" spans="1:10" x14ac:dyDescent="0.25">
      <c r="D12" s="111" t="s">
        <v>174</v>
      </c>
      <c r="E12" s="112">
        <f>SUM(E6:E10)-E7</f>
        <v>63.394175824175825</v>
      </c>
      <c r="J12" s="114"/>
    </row>
    <row r="13" spans="1:10" x14ac:dyDescent="0.25">
      <c r="D13" s="111" t="s">
        <v>175</v>
      </c>
      <c r="E13" s="112">
        <f>(E6*1.5)+SUM(E8:E10)</f>
        <v>84.929175824175829</v>
      </c>
      <c r="J13" s="114"/>
    </row>
    <row r="14" spans="1:10" x14ac:dyDescent="0.25">
      <c r="D14" s="111" t="s">
        <v>176</v>
      </c>
      <c r="E14" s="112">
        <f>SUM(E6:E10)</f>
        <v>64.686275824175823</v>
      </c>
      <c r="J14" s="114"/>
    </row>
    <row r="15" spans="1:10" x14ac:dyDescent="0.25">
      <c r="D15" s="111" t="s">
        <v>177</v>
      </c>
      <c r="E15" s="115">
        <f>((E6+E7)*1.5)+SUM(E8:E10)</f>
        <v>86.867325824175822</v>
      </c>
      <c r="F15" s="115"/>
      <c r="J15" s="114"/>
    </row>
    <row r="16" spans="1:10" x14ac:dyDescent="0.25">
      <c r="D16" s="111"/>
      <c r="E16" s="112"/>
      <c r="J16" s="114"/>
    </row>
    <row r="17" spans="4:10" x14ac:dyDescent="0.25">
      <c r="D17" s="111" t="s">
        <v>178</v>
      </c>
      <c r="E17" s="114">
        <f>32.25*26</f>
        <v>838.5</v>
      </c>
      <c r="F17">
        <v>5.2</v>
      </c>
      <c r="J17" s="114"/>
    </row>
    <row r="18" spans="4:10" x14ac:dyDescent="0.25">
      <c r="D18" s="111" t="s">
        <v>179</v>
      </c>
      <c r="E18" s="114">
        <f>8.75*26/2</f>
        <v>113.75</v>
      </c>
      <c r="F18">
        <v>5.2</v>
      </c>
    </row>
    <row r="19" spans="4:10" x14ac:dyDescent="0.25">
      <c r="D19" s="111" t="s">
        <v>180</v>
      </c>
      <c r="E19" s="114">
        <f>43*26</f>
        <v>1118</v>
      </c>
      <c r="F19">
        <v>5.2</v>
      </c>
    </row>
    <row r="20" spans="4:10" x14ac:dyDescent="0.25">
      <c r="D20" s="111" t="s">
        <v>181</v>
      </c>
      <c r="E20" s="114">
        <v>113.75</v>
      </c>
      <c r="F20">
        <v>5.2</v>
      </c>
    </row>
    <row r="21" spans="4:10" x14ac:dyDescent="0.25">
      <c r="D21" s="111"/>
      <c r="E21" s="112"/>
    </row>
    <row r="22" spans="4:10" x14ac:dyDescent="0.25">
      <c r="D22" s="111" t="s">
        <v>182</v>
      </c>
      <c r="E22" s="112">
        <f>E17*E12</f>
        <v>53156.016428571427</v>
      </c>
    </row>
    <row r="23" spans="4:10" x14ac:dyDescent="0.25">
      <c r="D23" s="111" t="s">
        <v>183</v>
      </c>
      <c r="E23" s="112">
        <f>+E18*E13</f>
        <v>9660.6937500000004</v>
      </c>
    </row>
    <row r="24" spans="4:10" x14ac:dyDescent="0.25">
      <c r="D24" s="111" t="s">
        <v>184</v>
      </c>
      <c r="E24" s="112">
        <f>+E14*E19</f>
        <v>72319.256371428564</v>
      </c>
    </row>
    <row r="25" spans="4:10" x14ac:dyDescent="0.25">
      <c r="D25" s="111" t="s">
        <v>185</v>
      </c>
      <c r="E25" s="112">
        <f>+E20*E15</f>
        <v>9881.1583124999997</v>
      </c>
    </row>
    <row r="26" spans="4:10" x14ac:dyDescent="0.25">
      <c r="D26" s="111" t="s">
        <v>186</v>
      </c>
      <c r="E26" s="116">
        <f>SUM(E22:E25)</f>
        <v>145017.12486249997</v>
      </c>
    </row>
    <row r="27" spans="4:10" x14ac:dyDescent="0.25">
      <c r="D27" s="111" t="s">
        <v>187</v>
      </c>
      <c r="E27" s="117">
        <v>2</v>
      </c>
    </row>
    <row r="28" spans="4:10" ht="15.75" thickBot="1" x14ac:dyDescent="0.3">
      <c r="D28" s="111" t="s">
        <v>188</v>
      </c>
      <c r="E28" s="118">
        <f>+E26*2</f>
        <v>290034.24972499994</v>
      </c>
    </row>
    <row r="29" spans="4:10" ht="15.75" thickTop="1" x14ac:dyDescent="0.25"/>
    <row r="31" spans="4:10" x14ac:dyDescent="0.25">
      <c r="D31" s="111" t="s">
        <v>189</v>
      </c>
      <c r="E31" s="119">
        <f>+SUM(E17:E20)</f>
        <v>2184</v>
      </c>
    </row>
    <row r="32" spans="4:10" x14ac:dyDescent="0.25">
      <c r="D32" s="111" t="s">
        <v>190</v>
      </c>
      <c r="E32" s="112">
        <f>+E26/E31</f>
        <v>66.399782446199623</v>
      </c>
    </row>
    <row r="34" spans="3:3" x14ac:dyDescent="0.25">
      <c r="C34" t="s">
        <v>191</v>
      </c>
    </row>
  </sheetData>
  <sheetProtection algorithmName="SHA-512" hashValue="GS+1K2arBmClmU/e42FGYuSdVTEH2lqqIaUprISid+R3+5tvssDKMRek7nZ2OZb3lUe47YaG6IMXV3K3UDj4KA==" saltValue="xCsjQDRfvr/D86OfQaeLQA==" spinCount="100000" sheet="1" objects="1" scenarios="1"/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C9055-5766-4406-866F-34F0FD8054C1}">
  <sheetPr codeName="Sheet8">
    <tabColor rgb="FF00B0F0"/>
  </sheetPr>
  <dimension ref="A1:H30"/>
  <sheetViews>
    <sheetView workbookViewId="0">
      <selection activeCell="E18" sqref="E18"/>
    </sheetView>
  </sheetViews>
  <sheetFormatPr defaultRowHeight="15" x14ac:dyDescent="0.25"/>
  <cols>
    <col min="2" max="2" width="21.140625" bestFit="1" customWidth="1"/>
    <col min="3" max="3" width="18" bestFit="1" customWidth="1"/>
    <col min="4" max="4" width="20.5703125" bestFit="1" customWidth="1"/>
    <col min="5" max="5" width="11.5703125" bestFit="1" customWidth="1"/>
    <col min="6" max="6" width="11.7109375" bestFit="1" customWidth="1"/>
    <col min="7" max="7" width="10.5703125" bestFit="1" customWidth="1"/>
    <col min="8" max="8" width="18.85546875" bestFit="1" customWidth="1"/>
    <col min="9" max="12" width="18.7109375" customWidth="1"/>
    <col min="13" max="13" width="11.7109375" bestFit="1" customWidth="1"/>
    <col min="14" max="14" width="13.28515625" bestFit="1" customWidth="1"/>
    <col min="15" max="15" width="10.85546875" bestFit="1" customWidth="1"/>
    <col min="16" max="16" width="18.5703125" bestFit="1" customWidth="1"/>
    <col min="17" max="17" width="14.85546875" bestFit="1" customWidth="1"/>
  </cols>
  <sheetData>
    <row r="1" spans="1:4" x14ac:dyDescent="0.25">
      <c r="A1" s="197" t="s">
        <v>314</v>
      </c>
      <c r="B1" s="197"/>
      <c r="C1" s="197"/>
      <c r="D1" s="197"/>
    </row>
    <row r="2" spans="1:4" ht="18" x14ac:dyDescent="0.35">
      <c r="A2" s="196" t="s">
        <v>108</v>
      </c>
      <c r="B2" s="196"/>
      <c r="C2" s="196"/>
      <c r="D2" s="196"/>
    </row>
    <row r="4" spans="1:4" x14ac:dyDescent="0.25">
      <c r="C4" s="31" t="s">
        <v>109</v>
      </c>
      <c r="D4" s="31" t="s">
        <v>46</v>
      </c>
    </row>
    <row r="5" spans="1:4" ht="18" x14ac:dyDescent="0.35">
      <c r="A5" s="213" t="s">
        <v>146</v>
      </c>
      <c r="B5" s="214"/>
      <c r="C5" s="214"/>
      <c r="D5" s="215"/>
    </row>
    <row r="6" spans="1:4" x14ac:dyDescent="0.25">
      <c r="A6" s="216" t="s">
        <v>110</v>
      </c>
      <c r="B6" s="217"/>
      <c r="C6" s="85">
        <f>(76*3 +254)*10^6*8760</f>
        <v>4222320000000</v>
      </c>
      <c r="D6" s="86" t="s">
        <v>145</v>
      </c>
    </row>
    <row r="7" spans="1:4" ht="17.25" x14ac:dyDescent="0.25">
      <c r="A7" s="216" t="s">
        <v>111</v>
      </c>
      <c r="B7" s="217"/>
      <c r="C7" s="87">
        <f>'TableE-2022_Coal_Samples '!D198</f>
        <v>7536.46875</v>
      </c>
      <c r="D7" s="86" t="s">
        <v>158</v>
      </c>
    </row>
    <row r="8" spans="1:4" x14ac:dyDescent="0.25">
      <c r="A8" s="216" t="s">
        <v>112</v>
      </c>
      <c r="B8" s="217"/>
      <c r="C8" s="87">
        <f>C6/C7</f>
        <v>560251775.74046195</v>
      </c>
      <c r="D8" s="86" t="s">
        <v>144</v>
      </c>
    </row>
    <row r="9" spans="1:4" x14ac:dyDescent="0.25">
      <c r="A9" s="216" t="s">
        <v>112</v>
      </c>
      <c r="B9" s="217"/>
      <c r="C9" s="87">
        <f>C8/2000</f>
        <v>280125.88787023094</v>
      </c>
      <c r="D9" s="86" t="s">
        <v>13</v>
      </c>
    </row>
    <row r="10" spans="1:4" ht="17.25" x14ac:dyDescent="0.25">
      <c r="A10" s="216" t="s">
        <v>140</v>
      </c>
      <c r="B10" s="217"/>
      <c r="C10" s="88">
        <f>'TableE-2022_Coal_Samples '!F198/100</f>
        <v>6.5332291666666653E-2</v>
      </c>
      <c r="D10" s="86" t="s">
        <v>159</v>
      </c>
    </row>
    <row r="11" spans="1:4" x14ac:dyDescent="0.25">
      <c r="A11" s="211" t="s">
        <v>147</v>
      </c>
      <c r="B11" s="212"/>
      <c r="C11" s="101">
        <f>C9*C10</f>
        <v>18301.266209721885</v>
      </c>
      <c r="D11" s="100" t="s">
        <v>13</v>
      </c>
    </row>
    <row r="12" spans="1:4" x14ac:dyDescent="0.25">
      <c r="A12" s="89"/>
      <c r="B12" s="89"/>
      <c r="C12" s="90"/>
    </row>
    <row r="13" spans="1:4" x14ac:dyDescent="0.25">
      <c r="A13" s="11"/>
      <c r="B13" s="11"/>
      <c r="C13" s="31" t="s">
        <v>109</v>
      </c>
      <c r="D13" s="31" t="s">
        <v>46</v>
      </c>
    </row>
    <row r="14" spans="1:4" x14ac:dyDescent="0.25">
      <c r="A14" s="213" t="s">
        <v>141</v>
      </c>
      <c r="B14" s="214"/>
      <c r="C14" s="214"/>
      <c r="D14" s="215"/>
    </row>
    <row r="15" spans="1:4" ht="18" x14ac:dyDescent="0.35">
      <c r="A15" s="216" t="s">
        <v>143</v>
      </c>
      <c r="B15" s="217"/>
      <c r="C15" s="98">
        <v>0.30099999999999999</v>
      </c>
      <c r="D15" s="86" t="s">
        <v>30</v>
      </c>
    </row>
    <row r="16" spans="1:4" ht="18" x14ac:dyDescent="0.35">
      <c r="A16" s="216" t="s">
        <v>148</v>
      </c>
      <c r="B16" s="217"/>
      <c r="C16" s="88">
        <f>C6/10^6*C15</f>
        <v>1270918.32</v>
      </c>
      <c r="D16" s="86" t="s">
        <v>144</v>
      </c>
    </row>
    <row r="17" spans="1:8" ht="18" x14ac:dyDescent="0.35">
      <c r="A17" s="216" t="s">
        <v>148</v>
      </c>
      <c r="B17" s="217"/>
      <c r="C17" s="87">
        <f>C16/2000</f>
        <v>635.45916</v>
      </c>
      <c r="D17" s="86" t="s">
        <v>13</v>
      </c>
    </row>
    <row r="18" spans="1:8" ht="18" x14ac:dyDescent="0.35">
      <c r="A18" s="216" t="s">
        <v>149</v>
      </c>
      <c r="B18" s="217"/>
      <c r="C18" s="87">
        <f>C17*0.95</f>
        <v>603.68620199999998</v>
      </c>
      <c r="D18" s="86" t="s">
        <v>13</v>
      </c>
    </row>
    <row r="19" spans="1:8" ht="18" x14ac:dyDescent="0.35">
      <c r="A19" s="216" t="s">
        <v>142</v>
      </c>
      <c r="B19" s="217"/>
      <c r="C19" s="88">
        <f>0.3625*8760</f>
        <v>3175.5</v>
      </c>
      <c r="D19" s="86" t="s">
        <v>13</v>
      </c>
    </row>
    <row r="20" spans="1:8" ht="18" x14ac:dyDescent="0.35">
      <c r="A20" s="216" t="s">
        <v>113</v>
      </c>
      <c r="B20" s="217"/>
      <c r="C20" s="88">
        <f>(2*84)/(142)</f>
        <v>1.1830985915492958</v>
      </c>
      <c r="D20" s="86" t="s">
        <v>114</v>
      </c>
      <c r="H20" s="11"/>
    </row>
    <row r="21" spans="1:8" ht="18" x14ac:dyDescent="0.35">
      <c r="A21" s="216" t="s">
        <v>115</v>
      </c>
      <c r="B21" s="217"/>
      <c r="C21" s="88">
        <f>142/64</f>
        <v>2.21875</v>
      </c>
      <c r="D21" s="86" t="s">
        <v>114</v>
      </c>
    </row>
    <row r="22" spans="1:8" ht="18" x14ac:dyDescent="0.35">
      <c r="A22" s="216" t="s">
        <v>116</v>
      </c>
      <c r="B22" s="217"/>
      <c r="C22" s="88">
        <f>C18*C21</f>
        <v>1339.4287606875</v>
      </c>
      <c r="D22" s="86" t="s">
        <v>117</v>
      </c>
    </row>
    <row r="23" spans="1:8" ht="18" x14ac:dyDescent="0.35">
      <c r="A23" s="216" t="s">
        <v>118</v>
      </c>
      <c r="B23" s="217"/>
      <c r="C23" s="88">
        <f>C19-(C22*C20)</f>
        <v>1590.82371975</v>
      </c>
      <c r="D23" s="86" t="s">
        <v>119</v>
      </c>
    </row>
    <row r="24" spans="1:8" x14ac:dyDescent="0.25">
      <c r="A24" s="211" t="s">
        <v>147</v>
      </c>
      <c r="B24" s="212"/>
      <c r="C24" s="101">
        <f>C22+C23</f>
        <v>2930.2524804374998</v>
      </c>
      <c r="D24" s="100" t="s">
        <v>13</v>
      </c>
    </row>
    <row r="25" spans="1:8" x14ac:dyDescent="0.25">
      <c r="A25" s="102"/>
      <c r="B25" s="102"/>
      <c r="C25" s="103"/>
      <c r="D25" s="104"/>
    </row>
    <row r="26" spans="1:8" x14ac:dyDescent="0.25">
      <c r="A26" s="209" t="s">
        <v>150</v>
      </c>
      <c r="B26" s="210"/>
      <c r="C26" s="105">
        <f>C11+C22+C23</f>
        <v>21231.518690159384</v>
      </c>
      <c r="D26" s="99" t="s">
        <v>13</v>
      </c>
    </row>
    <row r="28" spans="1:8" x14ac:dyDescent="0.25">
      <c r="A28" t="s">
        <v>10</v>
      </c>
    </row>
    <row r="29" spans="1:8" ht="17.25" x14ac:dyDescent="0.25">
      <c r="A29" s="164" t="s">
        <v>317</v>
      </c>
      <c r="B29" s="164"/>
      <c r="C29" s="164"/>
      <c r="D29" s="164"/>
    </row>
    <row r="30" spans="1:8" ht="17.25" x14ac:dyDescent="0.25">
      <c r="A30" s="164" t="s">
        <v>318</v>
      </c>
      <c r="B30" s="164"/>
      <c r="C30" s="164"/>
      <c r="D30" s="164"/>
    </row>
  </sheetData>
  <sheetProtection algorithmName="SHA-512" hashValue="u3JfPCf6m8Zt+N6CuB230L7nJVpdh6aZ0Zq/DEvL2tkBJ0BVikaVKE8bqLRxu4mWbEKLCk9Xvj1D48zmzXSoqQ==" saltValue="rFU9GPffC1bxsuTRZK0HjQ==" spinCount="100000" sheet="1" objects="1" scenarios="1"/>
  <mergeCells count="21">
    <mergeCell ref="A2:D2"/>
    <mergeCell ref="A1:D1"/>
    <mergeCell ref="A23:B23"/>
    <mergeCell ref="A15:B15"/>
    <mergeCell ref="A16:B16"/>
    <mergeCell ref="A17:B17"/>
    <mergeCell ref="A18:B18"/>
    <mergeCell ref="A5:D5"/>
    <mergeCell ref="A6:B6"/>
    <mergeCell ref="A7:B7"/>
    <mergeCell ref="A8:B8"/>
    <mergeCell ref="A9:B9"/>
    <mergeCell ref="A10:B10"/>
    <mergeCell ref="A26:B26"/>
    <mergeCell ref="A24:B24"/>
    <mergeCell ref="A11:B11"/>
    <mergeCell ref="A14:D14"/>
    <mergeCell ref="A19:B19"/>
    <mergeCell ref="A20:B20"/>
    <mergeCell ref="A21:B21"/>
    <mergeCell ref="A22:B2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0952-A5EE-4BDF-936F-CC22F9526DFB}">
  <sheetPr codeName="Sheet9">
    <tabColor rgb="FF00B0F0"/>
    <pageSetUpPr fitToPage="1"/>
  </sheetPr>
  <dimension ref="A1:M199"/>
  <sheetViews>
    <sheetView zoomScaleNormal="100" workbookViewId="0">
      <selection sqref="A1:M1"/>
    </sheetView>
  </sheetViews>
  <sheetFormatPr defaultRowHeight="12.75" outlineLevelRow="1" x14ac:dyDescent="0.2"/>
  <cols>
    <col min="1" max="1" width="24" style="92" customWidth="1"/>
    <col min="2" max="2" width="11.140625" style="92" bestFit="1" customWidth="1"/>
    <col min="3" max="3" width="4.85546875" style="92" bestFit="1" customWidth="1"/>
    <col min="4" max="4" width="11" style="92" bestFit="1" customWidth="1"/>
    <col min="5" max="9" width="12" style="92" bestFit="1" customWidth="1"/>
    <col min="10" max="10" width="8" style="92" bestFit="1" customWidth="1"/>
    <col min="11" max="11" width="6.28515625" style="92" bestFit="1" customWidth="1"/>
    <col min="12" max="12" width="5.85546875" style="92" customWidth="1"/>
    <col min="13" max="13" width="7.5703125" style="92" customWidth="1"/>
    <col min="14" max="256" width="9.140625" style="92"/>
    <col min="257" max="257" width="24" style="92" customWidth="1"/>
    <col min="258" max="258" width="9.42578125" style="92" customWidth="1"/>
    <col min="259" max="260" width="5.28515625" style="92" customWidth="1"/>
    <col min="261" max="261" width="6.42578125" style="92" customWidth="1"/>
    <col min="262" max="262" width="4.7109375" style="92" customWidth="1"/>
    <col min="263" max="263" width="5.85546875" style="92" customWidth="1"/>
    <col min="264" max="265" width="5.28515625" style="92" customWidth="1"/>
    <col min="266" max="266" width="7" style="92" customWidth="1"/>
    <col min="267" max="268" width="5.85546875" style="92" customWidth="1"/>
    <col min="269" max="269" width="7.5703125" style="92" customWidth="1"/>
    <col min="270" max="512" width="9.140625" style="92"/>
    <col min="513" max="513" width="24" style="92" customWidth="1"/>
    <col min="514" max="514" width="9.42578125" style="92" customWidth="1"/>
    <col min="515" max="516" width="5.28515625" style="92" customWidth="1"/>
    <col min="517" max="517" width="6.42578125" style="92" customWidth="1"/>
    <col min="518" max="518" width="4.7109375" style="92" customWidth="1"/>
    <col min="519" max="519" width="5.85546875" style="92" customWidth="1"/>
    <col min="520" max="521" width="5.28515625" style="92" customWidth="1"/>
    <col min="522" max="522" width="7" style="92" customWidth="1"/>
    <col min="523" max="524" width="5.85546875" style="92" customWidth="1"/>
    <col min="525" max="525" width="7.5703125" style="92" customWidth="1"/>
    <col min="526" max="768" width="9.140625" style="92"/>
    <col min="769" max="769" width="24" style="92" customWidth="1"/>
    <col min="770" max="770" width="9.42578125" style="92" customWidth="1"/>
    <col min="771" max="772" width="5.28515625" style="92" customWidth="1"/>
    <col min="773" max="773" width="6.42578125" style="92" customWidth="1"/>
    <col min="774" max="774" width="4.7109375" style="92" customWidth="1"/>
    <col min="775" max="775" width="5.85546875" style="92" customWidth="1"/>
    <col min="776" max="777" width="5.28515625" style="92" customWidth="1"/>
    <col min="778" max="778" width="7" style="92" customWidth="1"/>
    <col min="779" max="780" width="5.85546875" style="92" customWidth="1"/>
    <col min="781" max="781" width="7.5703125" style="92" customWidth="1"/>
    <col min="782" max="1024" width="9.140625" style="92"/>
    <col min="1025" max="1025" width="24" style="92" customWidth="1"/>
    <col min="1026" max="1026" width="9.42578125" style="92" customWidth="1"/>
    <col min="1027" max="1028" width="5.28515625" style="92" customWidth="1"/>
    <col min="1029" max="1029" width="6.42578125" style="92" customWidth="1"/>
    <col min="1030" max="1030" width="4.7109375" style="92" customWidth="1"/>
    <col min="1031" max="1031" width="5.85546875" style="92" customWidth="1"/>
    <col min="1032" max="1033" width="5.28515625" style="92" customWidth="1"/>
    <col min="1034" max="1034" width="7" style="92" customWidth="1"/>
    <col min="1035" max="1036" width="5.85546875" style="92" customWidth="1"/>
    <col min="1037" max="1037" width="7.5703125" style="92" customWidth="1"/>
    <col min="1038" max="1280" width="9.140625" style="92"/>
    <col min="1281" max="1281" width="24" style="92" customWidth="1"/>
    <col min="1282" max="1282" width="9.42578125" style="92" customWidth="1"/>
    <col min="1283" max="1284" width="5.28515625" style="92" customWidth="1"/>
    <col min="1285" max="1285" width="6.42578125" style="92" customWidth="1"/>
    <col min="1286" max="1286" width="4.7109375" style="92" customWidth="1"/>
    <col min="1287" max="1287" width="5.85546875" style="92" customWidth="1"/>
    <col min="1288" max="1289" width="5.28515625" style="92" customWidth="1"/>
    <col min="1290" max="1290" width="7" style="92" customWidth="1"/>
    <col min="1291" max="1292" width="5.85546875" style="92" customWidth="1"/>
    <col min="1293" max="1293" width="7.5703125" style="92" customWidth="1"/>
    <col min="1294" max="1536" width="9.140625" style="92"/>
    <col min="1537" max="1537" width="24" style="92" customWidth="1"/>
    <col min="1538" max="1538" width="9.42578125" style="92" customWidth="1"/>
    <col min="1539" max="1540" width="5.28515625" style="92" customWidth="1"/>
    <col min="1541" max="1541" width="6.42578125" style="92" customWidth="1"/>
    <col min="1542" max="1542" width="4.7109375" style="92" customWidth="1"/>
    <col min="1543" max="1543" width="5.85546875" style="92" customWidth="1"/>
    <col min="1544" max="1545" width="5.28515625" style="92" customWidth="1"/>
    <col min="1546" max="1546" width="7" style="92" customWidth="1"/>
    <col min="1547" max="1548" width="5.85546875" style="92" customWidth="1"/>
    <col min="1549" max="1549" width="7.5703125" style="92" customWidth="1"/>
    <col min="1550" max="1792" width="9.140625" style="92"/>
    <col min="1793" max="1793" width="24" style="92" customWidth="1"/>
    <col min="1794" max="1794" width="9.42578125" style="92" customWidth="1"/>
    <col min="1795" max="1796" width="5.28515625" style="92" customWidth="1"/>
    <col min="1797" max="1797" width="6.42578125" style="92" customWidth="1"/>
    <col min="1798" max="1798" width="4.7109375" style="92" customWidth="1"/>
    <col min="1799" max="1799" width="5.85546875" style="92" customWidth="1"/>
    <col min="1800" max="1801" width="5.28515625" style="92" customWidth="1"/>
    <col min="1802" max="1802" width="7" style="92" customWidth="1"/>
    <col min="1803" max="1804" width="5.85546875" style="92" customWidth="1"/>
    <col min="1805" max="1805" width="7.5703125" style="92" customWidth="1"/>
    <col min="1806" max="2048" width="9.140625" style="92"/>
    <col min="2049" max="2049" width="24" style="92" customWidth="1"/>
    <col min="2050" max="2050" width="9.42578125" style="92" customWidth="1"/>
    <col min="2051" max="2052" width="5.28515625" style="92" customWidth="1"/>
    <col min="2053" max="2053" width="6.42578125" style="92" customWidth="1"/>
    <col min="2054" max="2054" width="4.7109375" style="92" customWidth="1"/>
    <col min="2055" max="2055" width="5.85546875" style="92" customWidth="1"/>
    <col min="2056" max="2057" width="5.28515625" style="92" customWidth="1"/>
    <col min="2058" max="2058" width="7" style="92" customWidth="1"/>
    <col min="2059" max="2060" width="5.85546875" style="92" customWidth="1"/>
    <col min="2061" max="2061" width="7.5703125" style="92" customWidth="1"/>
    <col min="2062" max="2304" width="9.140625" style="92"/>
    <col min="2305" max="2305" width="24" style="92" customWidth="1"/>
    <col min="2306" max="2306" width="9.42578125" style="92" customWidth="1"/>
    <col min="2307" max="2308" width="5.28515625" style="92" customWidth="1"/>
    <col min="2309" max="2309" width="6.42578125" style="92" customWidth="1"/>
    <col min="2310" max="2310" width="4.7109375" style="92" customWidth="1"/>
    <col min="2311" max="2311" width="5.85546875" style="92" customWidth="1"/>
    <col min="2312" max="2313" width="5.28515625" style="92" customWidth="1"/>
    <col min="2314" max="2314" width="7" style="92" customWidth="1"/>
    <col min="2315" max="2316" width="5.85546875" style="92" customWidth="1"/>
    <col min="2317" max="2317" width="7.5703125" style="92" customWidth="1"/>
    <col min="2318" max="2560" width="9.140625" style="92"/>
    <col min="2561" max="2561" width="24" style="92" customWidth="1"/>
    <col min="2562" max="2562" width="9.42578125" style="92" customWidth="1"/>
    <col min="2563" max="2564" width="5.28515625" style="92" customWidth="1"/>
    <col min="2565" max="2565" width="6.42578125" style="92" customWidth="1"/>
    <col min="2566" max="2566" width="4.7109375" style="92" customWidth="1"/>
    <col min="2567" max="2567" width="5.85546875" style="92" customWidth="1"/>
    <col min="2568" max="2569" width="5.28515625" style="92" customWidth="1"/>
    <col min="2570" max="2570" width="7" style="92" customWidth="1"/>
    <col min="2571" max="2572" width="5.85546875" style="92" customWidth="1"/>
    <col min="2573" max="2573" width="7.5703125" style="92" customWidth="1"/>
    <col min="2574" max="2816" width="9.140625" style="92"/>
    <col min="2817" max="2817" width="24" style="92" customWidth="1"/>
    <col min="2818" max="2818" width="9.42578125" style="92" customWidth="1"/>
    <col min="2819" max="2820" width="5.28515625" style="92" customWidth="1"/>
    <col min="2821" max="2821" width="6.42578125" style="92" customWidth="1"/>
    <col min="2822" max="2822" width="4.7109375" style="92" customWidth="1"/>
    <col min="2823" max="2823" width="5.85546875" style="92" customWidth="1"/>
    <col min="2824" max="2825" width="5.28515625" style="92" customWidth="1"/>
    <col min="2826" max="2826" width="7" style="92" customWidth="1"/>
    <col min="2827" max="2828" width="5.85546875" style="92" customWidth="1"/>
    <col min="2829" max="2829" width="7.5703125" style="92" customWidth="1"/>
    <col min="2830" max="3072" width="9.140625" style="92"/>
    <col min="3073" max="3073" width="24" style="92" customWidth="1"/>
    <col min="3074" max="3074" width="9.42578125" style="92" customWidth="1"/>
    <col min="3075" max="3076" width="5.28515625" style="92" customWidth="1"/>
    <col min="3077" max="3077" width="6.42578125" style="92" customWidth="1"/>
    <col min="3078" max="3078" width="4.7109375" style="92" customWidth="1"/>
    <col min="3079" max="3079" width="5.85546875" style="92" customWidth="1"/>
    <col min="3080" max="3081" width="5.28515625" style="92" customWidth="1"/>
    <col min="3082" max="3082" width="7" style="92" customWidth="1"/>
    <col min="3083" max="3084" width="5.85546875" style="92" customWidth="1"/>
    <col min="3085" max="3085" width="7.5703125" style="92" customWidth="1"/>
    <col min="3086" max="3328" width="9.140625" style="92"/>
    <col min="3329" max="3329" width="24" style="92" customWidth="1"/>
    <col min="3330" max="3330" width="9.42578125" style="92" customWidth="1"/>
    <col min="3331" max="3332" width="5.28515625" style="92" customWidth="1"/>
    <col min="3333" max="3333" width="6.42578125" style="92" customWidth="1"/>
    <col min="3334" max="3334" width="4.7109375" style="92" customWidth="1"/>
    <col min="3335" max="3335" width="5.85546875" style="92" customWidth="1"/>
    <col min="3336" max="3337" width="5.28515625" style="92" customWidth="1"/>
    <col min="3338" max="3338" width="7" style="92" customWidth="1"/>
    <col min="3339" max="3340" width="5.85546875" style="92" customWidth="1"/>
    <col min="3341" max="3341" width="7.5703125" style="92" customWidth="1"/>
    <col min="3342" max="3584" width="9.140625" style="92"/>
    <col min="3585" max="3585" width="24" style="92" customWidth="1"/>
    <col min="3586" max="3586" width="9.42578125" style="92" customWidth="1"/>
    <col min="3587" max="3588" width="5.28515625" style="92" customWidth="1"/>
    <col min="3589" max="3589" width="6.42578125" style="92" customWidth="1"/>
    <col min="3590" max="3590" width="4.7109375" style="92" customWidth="1"/>
    <col min="3591" max="3591" width="5.85546875" style="92" customWidth="1"/>
    <col min="3592" max="3593" width="5.28515625" style="92" customWidth="1"/>
    <col min="3594" max="3594" width="7" style="92" customWidth="1"/>
    <col min="3595" max="3596" width="5.85546875" style="92" customWidth="1"/>
    <col min="3597" max="3597" width="7.5703125" style="92" customWidth="1"/>
    <col min="3598" max="3840" width="9.140625" style="92"/>
    <col min="3841" max="3841" width="24" style="92" customWidth="1"/>
    <col min="3842" max="3842" width="9.42578125" style="92" customWidth="1"/>
    <col min="3843" max="3844" width="5.28515625" style="92" customWidth="1"/>
    <col min="3845" max="3845" width="6.42578125" style="92" customWidth="1"/>
    <col min="3846" max="3846" width="4.7109375" style="92" customWidth="1"/>
    <col min="3847" max="3847" width="5.85546875" style="92" customWidth="1"/>
    <col min="3848" max="3849" width="5.28515625" style="92" customWidth="1"/>
    <col min="3850" max="3850" width="7" style="92" customWidth="1"/>
    <col min="3851" max="3852" width="5.85546875" style="92" customWidth="1"/>
    <col min="3853" max="3853" width="7.5703125" style="92" customWidth="1"/>
    <col min="3854" max="4096" width="9.140625" style="92"/>
    <col min="4097" max="4097" width="24" style="92" customWidth="1"/>
    <col min="4098" max="4098" width="9.42578125" style="92" customWidth="1"/>
    <col min="4099" max="4100" width="5.28515625" style="92" customWidth="1"/>
    <col min="4101" max="4101" width="6.42578125" style="92" customWidth="1"/>
    <col min="4102" max="4102" width="4.7109375" style="92" customWidth="1"/>
    <col min="4103" max="4103" width="5.85546875" style="92" customWidth="1"/>
    <col min="4104" max="4105" width="5.28515625" style="92" customWidth="1"/>
    <col min="4106" max="4106" width="7" style="92" customWidth="1"/>
    <col min="4107" max="4108" width="5.85546875" style="92" customWidth="1"/>
    <col min="4109" max="4109" width="7.5703125" style="92" customWidth="1"/>
    <col min="4110" max="4352" width="9.140625" style="92"/>
    <col min="4353" max="4353" width="24" style="92" customWidth="1"/>
    <col min="4354" max="4354" width="9.42578125" style="92" customWidth="1"/>
    <col min="4355" max="4356" width="5.28515625" style="92" customWidth="1"/>
    <col min="4357" max="4357" width="6.42578125" style="92" customWidth="1"/>
    <col min="4358" max="4358" width="4.7109375" style="92" customWidth="1"/>
    <col min="4359" max="4359" width="5.85546875" style="92" customWidth="1"/>
    <col min="4360" max="4361" width="5.28515625" style="92" customWidth="1"/>
    <col min="4362" max="4362" width="7" style="92" customWidth="1"/>
    <col min="4363" max="4364" width="5.85546875" style="92" customWidth="1"/>
    <col min="4365" max="4365" width="7.5703125" style="92" customWidth="1"/>
    <col min="4366" max="4608" width="9.140625" style="92"/>
    <col min="4609" max="4609" width="24" style="92" customWidth="1"/>
    <col min="4610" max="4610" width="9.42578125" style="92" customWidth="1"/>
    <col min="4611" max="4612" width="5.28515625" style="92" customWidth="1"/>
    <col min="4613" max="4613" width="6.42578125" style="92" customWidth="1"/>
    <col min="4614" max="4614" width="4.7109375" style="92" customWidth="1"/>
    <col min="4615" max="4615" width="5.85546875" style="92" customWidth="1"/>
    <col min="4616" max="4617" width="5.28515625" style="92" customWidth="1"/>
    <col min="4618" max="4618" width="7" style="92" customWidth="1"/>
    <col min="4619" max="4620" width="5.85546875" style="92" customWidth="1"/>
    <col min="4621" max="4621" width="7.5703125" style="92" customWidth="1"/>
    <col min="4622" max="4864" width="9.140625" style="92"/>
    <col min="4865" max="4865" width="24" style="92" customWidth="1"/>
    <col min="4866" max="4866" width="9.42578125" style="92" customWidth="1"/>
    <col min="4867" max="4868" width="5.28515625" style="92" customWidth="1"/>
    <col min="4869" max="4869" width="6.42578125" style="92" customWidth="1"/>
    <col min="4870" max="4870" width="4.7109375" style="92" customWidth="1"/>
    <col min="4871" max="4871" width="5.85546875" style="92" customWidth="1"/>
    <col min="4872" max="4873" width="5.28515625" style="92" customWidth="1"/>
    <col min="4874" max="4874" width="7" style="92" customWidth="1"/>
    <col min="4875" max="4876" width="5.85546875" style="92" customWidth="1"/>
    <col min="4877" max="4877" width="7.5703125" style="92" customWidth="1"/>
    <col min="4878" max="5120" width="9.140625" style="92"/>
    <col min="5121" max="5121" width="24" style="92" customWidth="1"/>
    <col min="5122" max="5122" width="9.42578125" style="92" customWidth="1"/>
    <col min="5123" max="5124" width="5.28515625" style="92" customWidth="1"/>
    <col min="5125" max="5125" width="6.42578125" style="92" customWidth="1"/>
    <col min="5126" max="5126" width="4.7109375" style="92" customWidth="1"/>
    <col min="5127" max="5127" width="5.85546875" style="92" customWidth="1"/>
    <col min="5128" max="5129" width="5.28515625" style="92" customWidth="1"/>
    <col min="5130" max="5130" width="7" style="92" customWidth="1"/>
    <col min="5131" max="5132" width="5.85546875" style="92" customWidth="1"/>
    <col min="5133" max="5133" width="7.5703125" style="92" customWidth="1"/>
    <col min="5134" max="5376" width="9.140625" style="92"/>
    <col min="5377" max="5377" width="24" style="92" customWidth="1"/>
    <col min="5378" max="5378" width="9.42578125" style="92" customWidth="1"/>
    <col min="5379" max="5380" width="5.28515625" style="92" customWidth="1"/>
    <col min="5381" max="5381" width="6.42578125" style="92" customWidth="1"/>
    <col min="5382" max="5382" width="4.7109375" style="92" customWidth="1"/>
    <col min="5383" max="5383" width="5.85546875" style="92" customWidth="1"/>
    <col min="5384" max="5385" width="5.28515625" style="92" customWidth="1"/>
    <col min="5386" max="5386" width="7" style="92" customWidth="1"/>
    <col min="5387" max="5388" width="5.85546875" style="92" customWidth="1"/>
    <col min="5389" max="5389" width="7.5703125" style="92" customWidth="1"/>
    <col min="5390" max="5632" width="9.140625" style="92"/>
    <col min="5633" max="5633" width="24" style="92" customWidth="1"/>
    <col min="5634" max="5634" width="9.42578125" style="92" customWidth="1"/>
    <col min="5635" max="5636" width="5.28515625" style="92" customWidth="1"/>
    <col min="5637" max="5637" width="6.42578125" style="92" customWidth="1"/>
    <col min="5638" max="5638" width="4.7109375" style="92" customWidth="1"/>
    <col min="5639" max="5639" width="5.85546875" style="92" customWidth="1"/>
    <col min="5640" max="5641" width="5.28515625" style="92" customWidth="1"/>
    <col min="5642" max="5642" width="7" style="92" customWidth="1"/>
    <col min="5643" max="5644" width="5.85546875" style="92" customWidth="1"/>
    <col min="5645" max="5645" width="7.5703125" style="92" customWidth="1"/>
    <col min="5646" max="5888" width="9.140625" style="92"/>
    <col min="5889" max="5889" width="24" style="92" customWidth="1"/>
    <col min="5890" max="5890" width="9.42578125" style="92" customWidth="1"/>
    <col min="5891" max="5892" width="5.28515625" style="92" customWidth="1"/>
    <col min="5893" max="5893" width="6.42578125" style="92" customWidth="1"/>
    <col min="5894" max="5894" width="4.7109375" style="92" customWidth="1"/>
    <col min="5895" max="5895" width="5.85546875" style="92" customWidth="1"/>
    <col min="5896" max="5897" width="5.28515625" style="92" customWidth="1"/>
    <col min="5898" max="5898" width="7" style="92" customWidth="1"/>
    <col min="5899" max="5900" width="5.85546875" style="92" customWidth="1"/>
    <col min="5901" max="5901" width="7.5703125" style="92" customWidth="1"/>
    <col min="5902" max="6144" width="9.140625" style="92"/>
    <col min="6145" max="6145" width="24" style="92" customWidth="1"/>
    <col min="6146" max="6146" width="9.42578125" style="92" customWidth="1"/>
    <col min="6147" max="6148" width="5.28515625" style="92" customWidth="1"/>
    <col min="6149" max="6149" width="6.42578125" style="92" customWidth="1"/>
    <col min="6150" max="6150" width="4.7109375" style="92" customWidth="1"/>
    <col min="6151" max="6151" width="5.85546875" style="92" customWidth="1"/>
    <col min="6152" max="6153" width="5.28515625" style="92" customWidth="1"/>
    <col min="6154" max="6154" width="7" style="92" customWidth="1"/>
    <col min="6155" max="6156" width="5.85546875" style="92" customWidth="1"/>
    <col min="6157" max="6157" width="7.5703125" style="92" customWidth="1"/>
    <col min="6158" max="6400" width="9.140625" style="92"/>
    <col min="6401" max="6401" width="24" style="92" customWidth="1"/>
    <col min="6402" max="6402" width="9.42578125" style="92" customWidth="1"/>
    <col min="6403" max="6404" width="5.28515625" style="92" customWidth="1"/>
    <col min="6405" max="6405" width="6.42578125" style="92" customWidth="1"/>
    <col min="6406" max="6406" width="4.7109375" style="92" customWidth="1"/>
    <col min="6407" max="6407" width="5.85546875" style="92" customWidth="1"/>
    <col min="6408" max="6409" width="5.28515625" style="92" customWidth="1"/>
    <col min="6410" max="6410" width="7" style="92" customWidth="1"/>
    <col min="6411" max="6412" width="5.85546875" style="92" customWidth="1"/>
    <col min="6413" max="6413" width="7.5703125" style="92" customWidth="1"/>
    <col min="6414" max="6656" width="9.140625" style="92"/>
    <col min="6657" max="6657" width="24" style="92" customWidth="1"/>
    <col min="6658" max="6658" width="9.42578125" style="92" customWidth="1"/>
    <col min="6659" max="6660" width="5.28515625" style="92" customWidth="1"/>
    <col min="6661" max="6661" width="6.42578125" style="92" customWidth="1"/>
    <col min="6662" max="6662" width="4.7109375" style="92" customWidth="1"/>
    <col min="6663" max="6663" width="5.85546875" style="92" customWidth="1"/>
    <col min="6664" max="6665" width="5.28515625" style="92" customWidth="1"/>
    <col min="6666" max="6666" width="7" style="92" customWidth="1"/>
    <col min="6667" max="6668" width="5.85546875" style="92" customWidth="1"/>
    <col min="6669" max="6669" width="7.5703125" style="92" customWidth="1"/>
    <col min="6670" max="6912" width="9.140625" style="92"/>
    <col min="6913" max="6913" width="24" style="92" customWidth="1"/>
    <col min="6914" max="6914" width="9.42578125" style="92" customWidth="1"/>
    <col min="6915" max="6916" width="5.28515625" style="92" customWidth="1"/>
    <col min="6917" max="6917" width="6.42578125" style="92" customWidth="1"/>
    <col min="6918" max="6918" width="4.7109375" style="92" customWidth="1"/>
    <col min="6919" max="6919" width="5.85546875" style="92" customWidth="1"/>
    <col min="6920" max="6921" width="5.28515625" style="92" customWidth="1"/>
    <col min="6922" max="6922" width="7" style="92" customWidth="1"/>
    <col min="6923" max="6924" width="5.85546875" style="92" customWidth="1"/>
    <col min="6925" max="6925" width="7.5703125" style="92" customWidth="1"/>
    <col min="6926" max="7168" width="9.140625" style="92"/>
    <col min="7169" max="7169" width="24" style="92" customWidth="1"/>
    <col min="7170" max="7170" width="9.42578125" style="92" customWidth="1"/>
    <col min="7171" max="7172" width="5.28515625" style="92" customWidth="1"/>
    <col min="7173" max="7173" width="6.42578125" style="92" customWidth="1"/>
    <col min="7174" max="7174" width="4.7109375" style="92" customWidth="1"/>
    <col min="7175" max="7175" width="5.85546875" style="92" customWidth="1"/>
    <col min="7176" max="7177" width="5.28515625" style="92" customWidth="1"/>
    <col min="7178" max="7178" width="7" style="92" customWidth="1"/>
    <col min="7179" max="7180" width="5.85546875" style="92" customWidth="1"/>
    <col min="7181" max="7181" width="7.5703125" style="92" customWidth="1"/>
    <col min="7182" max="7424" width="9.140625" style="92"/>
    <col min="7425" max="7425" width="24" style="92" customWidth="1"/>
    <col min="7426" max="7426" width="9.42578125" style="92" customWidth="1"/>
    <col min="7427" max="7428" width="5.28515625" style="92" customWidth="1"/>
    <col min="7429" max="7429" width="6.42578125" style="92" customWidth="1"/>
    <col min="7430" max="7430" width="4.7109375" style="92" customWidth="1"/>
    <col min="7431" max="7431" width="5.85546875" style="92" customWidth="1"/>
    <col min="7432" max="7433" width="5.28515625" style="92" customWidth="1"/>
    <col min="7434" max="7434" width="7" style="92" customWidth="1"/>
    <col min="7435" max="7436" width="5.85546875" style="92" customWidth="1"/>
    <col min="7437" max="7437" width="7.5703125" style="92" customWidth="1"/>
    <col min="7438" max="7680" width="9.140625" style="92"/>
    <col min="7681" max="7681" width="24" style="92" customWidth="1"/>
    <col min="7682" max="7682" width="9.42578125" style="92" customWidth="1"/>
    <col min="7683" max="7684" width="5.28515625" style="92" customWidth="1"/>
    <col min="7685" max="7685" width="6.42578125" style="92" customWidth="1"/>
    <col min="7686" max="7686" width="4.7109375" style="92" customWidth="1"/>
    <col min="7687" max="7687" width="5.85546875" style="92" customWidth="1"/>
    <col min="7688" max="7689" width="5.28515625" style="92" customWidth="1"/>
    <col min="7690" max="7690" width="7" style="92" customWidth="1"/>
    <col min="7691" max="7692" width="5.85546875" style="92" customWidth="1"/>
    <col min="7693" max="7693" width="7.5703125" style="92" customWidth="1"/>
    <col min="7694" max="7936" width="9.140625" style="92"/>
    <col min="7937" max="7937" width="24" style="92" customWidth="1"/>
    <col min="7938" max="7938" width="9.42578125" style="92" customWidth="1"/>
    <col min="7939" max="7940" width="5.28515625" style="92" customWidth="1"/>
    <col min="7941" max="7941" width="6.42578125" style="92" customWidth="1"/>
    <col min="7942" max="7942" width="4.7109375" style="92" customWidth="1"/>
    <col min="7943" max="7943" width="5.85546875" style="92" customWidth="1"/>
    <col min="7944" max="7945" width="5.28515625" style="92" customWidth="1"/>
    <col min="7946" max="7946" width="7" style="92" customWidth="1"/>
    <col min="7947" max="7948" width="5.85546875" style="92" customWidth="1"/>
    <col min="7949" max="7949" width="7.5703125" style="92" customWidth="1"/>
    <col min="7950" max="8192" width="9.140625" style="92"/>
    <col min="8193" max="8193" width="24" style="92" customWidth="1"/>
    <col min="8194" max="8194" width="9.42578125" style="92" customWidth="1"/>
    <col min="8195" max="8196" width="5.28515625" style="92" customWidth="1"/>
    <col min="8197" max="8197" width="6.42578125" style="92" customWidth="1"/>
    <col min="8198" max="8198" width="4.7109375" style="92" customWidth="1"/>
    <col min="8199" max="8199" width="5.85546875" style="92" customWidth="1"/>
    <col min="8200" max="8201" width="5.28515625" style="92" customWidth="1"/>
    <col min="8202" max="8202" width="7" style="92" customWidth="1"/>
    <col min="8203" max="8204" width="5.85546875" style="92" customWidth="1"/>
    <col min="8205" max="8205" width="7.5703125" style="92" customWidth="1"/>
    <col min="8206" max="8448" width="9.140625" style="92"/>
    <col min="8449" max="8449" width="24" style="92" customWidth="1"/>
    <col min="8450" max="8450" width="9.42578125" style="92" customWidth="1"/>
    <col min="8451" max="8452" width="5.28515625" style="92" customWidth="1"/>
    <col min="8453" max="8453" width="6.42578125" style="92" customWidth="1"/>
    <col min="8454" max="8454" width="4.7109375" style="92" customWidth="1"/>
    <col min="8455" max="8455" width="5.85546875" style="92" customWidth="1"/>
    <col min="8456" max="8457" width="5.28515625" style="92" customWidth="1"/>
    <col min="8458" max="8458" width="7" style="92" customWidth="1"/>
    <col min="8459" max="8460" width="5.85546875" style="92" customWidth="1"/>
    <col min="8461" max="8461" width="7.5703125" style="92" customWidth="1"/>
    <col min="8462" max="8704" width="9.140625" style="92"/>
    <col min="8705" max="8705" width="24" style="92" customWidth="1"/>
    <col min="8706" max="8706" width="9.42578125" style="92" customWidth="1"/>
    <col min="8707" max="8708" width="5.28515625" style="92" customWidth="1"/>
    <col min="8709" max="8709" width="6.42578125" style="92" customWidth="1"/>
    <col min="8710" max="8710" width="4.7109375" style="92" customWidth="1"/>
    <col min="8711" max="8711" width="5.85546875" style="92" customWidth="1"/>
    <col min="8712" max="8713" width="5.28515625" style="92" customWidth="1"/>
    <col min="8714" max="8714" width="7" style="92" customWidth="1"/>
    <col min="8715" max="8716" width="5.85546875" style="92" customWidth="1"/>
    <col min="8717" max="8717" width="7.5703125" style="92" customWidth="1"/>
    <col min="8718" max="8960" width="9.140625" style="92"/>
    <col min="8961" max="8961" width="24" style="92" customWidth="1"/>
    <col min="8962" max="8962" width="9.42578125" style="92" customWidth="1"/>
    <col min="8963" max="8964" width="5.28515625" style="92" customWidth="1"/>
    <col min="8965" max="8965" width="6.42578125" style="92" customWidth="1"/>
    <col min="8966" max="8966" width="4.7109375" style="92" customWidth="1"/>
    <col min="8967" max="8967" width="5.85546875" style="92" customWidth="1"/>
    <col min="8968" max="8969" width="5.28515625" style="92" customWidth="1"/>
    <col min="8970" max="8970" width="7" style="92" customWidth="1"/>
    <col min="8971" max="8972" width="5.85546875" style="92" customWidth="1"/>
    <col min="8973" max="8973" width="7.5703125" style="92" customWidth="1"/>
    <col min="8974" max="9216" width="9.140625" style="92"/>
    <col min="9217" max="9217" width="24" style="92" customWidth="1"/>
    <col min="9218" max="9218" width="9.42578125" style="92" customWidth="1"/>
    <col min="9219" max="9220" width="5.28515625" style="92" customWidth="1"/>
    <col min="9221" max="9221" width="6.42578125" style="92" customWidth="1"/>
    <col min="9222" max="9222" width="4.7109375" style="92" customWidth="1"/>
    <col min="9223" max="9223" width="5.85546875" style="92" customWidth="1"/>
    <col min="9224" max="9225" width="5.28515625" style="92" customWidth="1"/>
    <col min="9226" max="9226" width="7" style="92" customWidth="1"/>
    <col min="9227" max="9228" width="5.85546875" style="92" customWidth="1"/>
    <col min="9229" max="9229" width="7.5703125" style="92" customWidth="1"/>
    <col min="9230" max="9472" width="9.140625" style="92"/>
    <col min="9473" max="9473" width="24" style="92" customWidth="1"/>
    <col min="9474" max="9474" width="9.42578125" style="92" customWidth="1"/>
    <col min="9475" max="9476" width="5.28515625" style="92" customWidth="1"/>
    <col min="9477" max="9477" width="6.42578125" style="92" customWidth="1"/>
    <col min="9478" max="9478" width="4.7109375" style="92" customWidth="1"/>
    <col min="9479" max="9479" width="5.85546875" style="92" customWidth="1"/>
    <col min="9480" max="9481" width="5.28515625" style="92" customWidth="1"/>
    <col min="9482" max="9482" width="7" style="92" customWidth="1"/>
    <col min="9483" max="9484" width="5.85546875" style="92" customWidth="1"/>
    <col min="9485" max="9485" width="7.5703125" style="92" customWidth="1"/>
    <col min="9486" max="9728" width="9.140625" style="92"/>
    <col min="9729" max="9729" width="24" style="92" customWidth="1"/>
    <col min="9730" max="9730" width="9.42578125" style="92" customWidth="1"/>
    <col min="9731" max="9732" width="5.28515625" style="92" customWidth="1"/>
    <col min="9733" max="9733" width="6.42578125" style="92" customWidth="1"/>
    <col min="9734" max="9734" width="4.7109375" style="92" customWidth="1"/>
    <col min="9735" max="9735" width="5.85546875" style="92" customWidth="1"/>
    <col min="9736" max="9737" width="5.28515625" style="92" customWidth="1"/>
    <col min="9738" max="9738" width="7" style="92" customWidth="1"/>
    <col min="9739" max="9740" width="5.85546875" style="92" customWidth="1"/>
    <col min="9741" max="9741" width="7.5703125" style="92" customWidth="1"/>
    <col min="9742" max="9984" width="9.140625" style="92"/>
    <col min="9985" max="9985" width="24" style="92" customWidth="1"/>
    <col min="9986" max="9986" width="9.42578125" style="92" customWidth="1"/>
    <col min="9987" max="9988" width="5.28515625" style="92" customWidth="1"/>
    <col min="9989" max="9989" width="6.42578125" style="92" customWidth="1"/>
    <col min="9990" max="9990" width="4.7109375" style="92" customWidth="1"/>
    <col min="9991" max="9991" width="5.85546875" style="92" customWidth="1"/>
    <col min="9992" max="9993" width="5.28515625" style="92" customWidth="1"/>
    <col min="9994" max="9994" width="7" style="92" customWidth="1"/>
    <col min="9995" max="9996" width="5.85546875" style="92" customWidth="1"/>
    <col min="9997" max="9997" width="7.5703125" style="92" customWidth="1"/>
    <col min="9998" max="10240" width="9.140625" style="92"/>
    <col min="10241" max="10241" width="24" style="92" customWidth="1"/>
    <col min="10242" max="10242" width="9.42578125" style="92" customWidth="1"/>
    <col min="10243" max="10244" width="5.28515625" style="92" customWidth="1"/>
    <col min="10245" max="10245" width="6.42578125" style="92" customWidth="1"/>
    <col min="10246" max="10246" width="4.7109375" style="92" customWidth="1"/>
    <col min="10247" max="10247" width="5.85546875" style="92" customWidth="1"/>
    <col min="10248" max="10249" width="5.28515625" style="92" customWidth="1"/>
    <col min="10250" max="10250" width="7" style="92" customWidth="1"/>
    <col min="10251" max="10252" width="5.85546875" style="92" customWidth="1"/>
    <col min="10253" max="10253" width="7.5703125" style="92" customWidth="1"/>
    <col min="10254" max="10496" width="9.140625" style="92"/>
    <col min="10497" max="10497" width="24" style="92" customWidth="1"/>
    <col min="10498" max="10498" width="9.42578125" style="92" customWidth="1"/>
    <col min="10499" max="10500" width="5.28515625" style="92" customWidth="1"/>
    <col min="10501" max="10501" width="6.42578125" style="92" customWidth="1"/>
    <col min="10502" max="10502" width="4.7109375" style="92" customWidth="1"/>
    <col min="10503" max="10503" width="5.85546875" style="92" customWidth="1"/>
    <col min="10504" max="10505" width="5.28515625" style="92" customWidth="1"/>
    <col min="10506" max="10506" width="7" style="92" customWidth="1"/>
    <col min="10507" max="10508" width="5.85546875" style="92" customWidth="1"/>
    <col min="10509" max="10509" width="7.5703125" style="92" customWidth="1"/>
    <col min="10510" max="10752" width="9.140625" style="92"/>
    <col min="10753" max="10753" width="24" style="92" customWidth="1"/>
    <col min="10754" max="10754" width="9.42578125" style="92" customWidth="1"/>
    <col min="10755" max="10756" width="5.28515625" style="92" customWidth="1"/>
    <col min="10757" max="10757" width="6.42578125" style="92" customWidth="1"/>
    <col min="10758" max="10758" width="4.7109375" style="92" customWidth="1"/>
    <col min="10759" max="10759" width="5.85546875" style="92" customWidth="1"/>
    <col min="10760" max="10761" width="5.28515625" style="92" customWidth="1"/>
    <col min="10762" max="10762" width="7" style="92" customWidth="1"/>
    <col min="10763" max="10764" width="5.85546875" style="92" customWidth="1"/>
    <col min="10765" max="10765" width="7.5703125" style="92" customWidth="1"/>
    <col min="10766" max="11008" width="9.140625" style="92"/>
    <col min="11009" max="11009" width="24" style="92" customWidth="1"/>
    <col min="11010" max="11010" width="9.42578125" style="92" customWidth="1"/>
    <col min="11011" max="11012" width="5.28515625" style="92" customWidth="1"/>
    <col min="11013" max="11013" width="6.42578125" style="92" customWidth="1"/>
    <col min="11014" max="11014" width="4.7109375" style="92" customWidth="1"/>
    <col min="11015" max="11015" width="5.85546875" style="92" customWidth="1"/>
    <col min="11016" max="11017" width="5.28515625" style="92" customWidth="1"/>
    <col min="11018" max="11018" width="7" style="92" customWidth="1"/>
    <col min="11019" max="11020" width="5.85546875" style="92" customWidth="1"/>
    <col min="11021" max="11021" width="7.5703125" style="92" customWidth="1"/>
    <col min="11022" max="11264" width="9.140625" style="92"/>
    <col min="11265" max="11265" width="24" style="92" customWidth="1"/>
    <col min="11266" max="11266" width="9.42578125" style="92" customWidth="1"/>
    <col min="11267" max="11268" width="5.28515625" style="92" customWidth="1"/>
    <col min="11269" max="11269" width="6.42578125" style="92" customWidth="1"/>
    <col min="11270" max="11270" width="4.7109375" style="92" customWidth="1"/>
    <col min="11271" max="11271" width="5.85546875" style="92" customWidth="1"/>
    <col min="11272" max="11273" width="5.28515625" style="92" customWidth="1"/>
    <col min="11274" max="11274" width="7" style="92" customWidth="1"/>
    <col min="11275" max="11276" width="5.85546875" style="92" customWidth="1"/>
    <col min="11277" max="11277" width="7.5703125" style="92" customWidth="1"/>
    <col min="11278" max="11520" width="9.140625" style="92"/>
    <col min="11521" max="11521" width="24" style="92" customWidth="1"/>
    <col min="11522" max="11522" width="9.42578125" style="92" customWidth="1"/>
    <col min="11523" max="11524" width="5.28515625" style="92" customWidth="1"/>
    <col min="11525" max="11525" width="6.42578125" style="92" customWidth="1"/>
    <col min="11526" max="11526" width="4.7109375" style="92" customWidth="1"/>
    <col min="11527" max="11527" width="5.85546875" style="92" customWidth="1"/>
    <col min="11528" max="11529" width="5.28515625" style="92" customWidth="1"/>
    <col min="11530" max="11530" width="7" style="92" customWidth="1"/>
    <col min="11531" max="11532" width="5.85546875" style="92" customWidth="1"/>
    <col min="11533" max="11533" width="7.5703125" style="92" customWidth="1"/>
    <col min="11534" max="11776" width="9.140625" style="92"/>
    <col min="11777" max="11777" width="24" style="92" customWidth="1"/>
    <col min="11778" max="11778" width="9.42578125" style="92" customWidth="1"/>
    <col min="11779" max="11780" width="5.28515625" style="92" customWidth="1"/>
    <col min="11781" max="11781" width="6.42578125" style="92" customWidth="1"/>
    <col min="11782" max="11782" width="4.7109375" style="92" customWidth="1"/>
    <col min="11783" max="11783" width="5.85546875" style="92" customWidth="1"/>
    <col min="11784" max="11785" width="5.28515625" style="92" customWidth="1"/>
    <col min="11786" max="11786" width="7" style="92" customWidth="1"/>
    <col min="11787" max="11788" width="5.85546875" style="92" customWidth="1"/>
    <col min="11789" max="11789" width="7.5703125" style="92" customWidth="1"/>
    <col min="11790" max="12032" width="9.140625" style="92"/>
    <col min="12033" max="12033" width="24" style="92" customWidth="1"/>
    <col min="12034" max="12034" width="9.42578125" style="92" customWidth="1"/>
    <col min="12035" max="12036" width="5.28515625" style="92" customWidth="1"/>
    <col min="12037" max="12037" width="6.42578125" style="92" customWidth="1"/>
    <col min="12038" max="12038" width="4.7109375" style="92" customWidth="1"/>
    <col min="12039" max="12039" width="5.85546875" style="92" customWidth="1"/>
    <col min="12040" max="12041" width="5.28515625" style="92" customWidth="1"/>
    <col min="12042" max="12042" width="7" style="92" customWidth="1"/>
    <col min="12043" max="12044" width="5.85546875" style="92" customWidth="1"/>
    <col min="12045" max="12045" width="7.5703125" style="92" customWidth="1"/>
    <col min="12046" max="12288" width="9.140625" style="92"/>
    <col min="12289" max="12289" width="24" style="92" customWidth="1"/>
    <col min="12290" max="12290" width="9.42578125" style="92" customWidth="1"/>
    <col min="12291" max="12292" width="5.28515625" style="92" customWidth="1"/>
    <col min="12293" max="12293" width="6.42578125" style="92" customWidth="1"/>
    <col min="12294" max="12294" width="4.7109375" style="92" customWidth="1"/>
    <col min="12295" max="12295" width="5.85546875" style="92" customWidth="1"/>
    <col min="12296" max="12297" width="5.28515625" style="92" customWidth="1"/>
    <col min="12298" max="12298" width="7" style="92" customWidth="1"/>
    <col min="12299" max="12300" width="5.85546875" style="92" customWidth="1"/>
    <col min="12301" max="12301" width="7.5703125" style="92" customWidth="1"/>
    <col min="12302" max="12544" width="9.140625" style="92"/>
    <col min="12545" max="12545" width="24" style="92" customWidth="1"/>
    <col min="12546" max="12546" width="9.42578125" style="92" customWidth="1"/>
    <col min="12547" max="12548" width="5.28515625" style="92" customWidth="1"/>
    <col min="12549" max="12549" width="6.42578125" style="92" customWidth="1"/>
    <col min="12550" max="12550" width="4.7109375" style="92" customWidth="1"/>
    <col min="12551" max="12551" width="5.85546875" style="92" customWidth="1"/>
    <col min="12552" max="12553" width="5.28515625" style="92" customWidth="1"/>
    <col min="12554" max="12554" width="7" style="92" customWidth="1"/>
    <col min="12555" max="12556" width="5.85546875" style="92" customWidth="1"/>
    <col min="12557" max="12557" width="7.5703125" style="92" customWidth="1"/>
    <col min="12558" max="12800" width="9.140625" style="92"/>
    <col min="12801" max="12801" width="24" style="92" customWidth="1"/>
    <col min="12802" max="12802" width="9.42578125" style="92" customWidth="1"/>
    <col min="12803" max="12804" width="5.28515625" style="92" customWidth="1"/>
    <col min="12805" max="12805" width="6.42578125" style="92" customWidth="1"/>
    <col min="12806" max="12806" width="4.7109375" style="92" customWidth="1"/>
    <col min="12807" max="12807" width="5.85546875" style="92" customWidth="1"/>
    <col min="12808" max="12809" width="5.28515625" style="92" customWidth="1"/>
    <col min="12810" max="12810" width="7" style="92" customWidth="1"/>
    <col min="12811" max="12812" width="5.85546875" style="92" customWidth="1"/>
    <col min="12813" max="12813" width="7.5703125" style="92" customWidth="1"/>
    <col min="12814" max="13056" width="9.140625" style="92"/>
    <col min="13057" max="13057" width="24" style="92" customWidth="1"/>
    <col min="13058" max="13058" width="9.42578125" style="92" customWidth="1"/>
    <col min="13059" max="13060" width="5.28515625" style="92" customWidth="1"/>
    <col min="13061" max="13061" width="6.42578125" style="92" customWidth="1"/>
    <col min="13062" max="13062" width="4.7109375" style="92" customWidth="1"/>
    <col min="13063" max="13063" width="5.85546875" style="92" customWidth="1"/>
    <col min="13064" max="13065" width="5.28515625" style="92" customWidth="1"/>
    <col min="13066" max="13066" width="7" style="92" customWidth="1"/>
    <col min="13067" max="13068" width="5.85546875" style="92" customWidth="1"/>
    <col min="13069" max="13069" width="7.5703125" style="92" customWidth="1"/>
    <col min="13070" max="13312" width="9.140625" style="92"/>
    <col min="13313" max="13313" width="24" style="92" customWidth="1"/>
    <col min="13314" max="13314" width="9.42578125" style="92" customWidth="1"/>
    <col min="13315" max="13316" width="5.28515625" style="92" customWidth="1"/>
    <col min="13317" max="13317" width="6.42578125" style="92" customWidth="1"/>
    <col min="13318" max="13318" width="4.7109375" style="92" customWidth="1"/>
    <col min="13319" max="13319" width="5.85546875" style="92" customWidth="1"/>
    <col min="13320" max="13321" width="5.28515625" style="92" customWidth="1"/>
    <col min="13322" max="13322" width="7" style="92" customWidth="1"/>
    <col min="13323" max="13324" width="5.85546875" style="92" customWidth="1"/>
    <col min="13325" max="13325" width="7.5703125" style="92" customWidth="1"/>
    <col min="13326" max="13568" width="9.140625" style="92"/>
    <col min="13569" max="13569" width="24" style="92" customWidth="1"/>
    <col min="13570" max="13570" width="9.42578125" style="92" customWidth="1"/>
    <col min="13571" max="13572" width="5.28515625" style="92" customWidth="1"/>
    <col min="13573" max="13573" width="6.42578125" style="92" customWidth="1"/>
    <col min="13574" max="13574" width="4.7109375" style="92" customWidth="1"/>
    <col min="13575" max="13575" width="5.85546875" style="92" customWidth="1"/>
    <col min="13576" max="13577" width="5.28515625" style="92" customWidth="1"/>
    <col min="13578" max="13578" width="7" style="92" customWidth="1"/>
    <col min="13579" max="13580" width="5.85546875" style="92" customWidth="1"/>
    <col min="13581" max="13581" width="7.5703125" style="92" customWidth="1"/>
    <col min="13582" max="13824" width="9.140625" style="92"/>
    <col min="13825" max="13825" width="24" style="92" customWidth="1"/>
    <col min="13826" max="13826" width="9.42578125" style="92" customWidth="1"/>
    <col min="13827" max="13828" width="5.28515625" style="92" customWidth="1"/>
    <col min="13829" max="13829" width="6.42578125" style="92" customWidth="1"/>
    <col min="13830" max="13830" width="4.7109375" style="92" customWidth="1"/>
    <col min="13831" max="13831" width="5.85546875" style="92" customWidth="1"/>
    <col min="13832" max="13833" width="5.28515625" style="92" customWidth="1"/>
    <col min="13834" max="13834" width="7" style="92" customWidth="1"/>
    <col min="13835" max="13836" width="5.85546875" style="92" customWidth="1"/>
    <col min="13837" max="13837" width="7.5703125" style="92" customWidth="1"/>
    <col min="13838" max="14080" width="9.140625" style="92"/>
    <col min="14081" max="14081" width="24" style="92" customWidth="1"/>
    <col min="14082" max="14082" width="9.42578125" style="92" customWidth="1"/>
    <col min="14083" max="14084" width="5.28515625" style="92" customWidth="1"/>
    <col min="14085" max="14085" width="6.42578125" style="92" customWidth="1"/>
    <col min="14086" max="14086" width="4.7109375" style="92" customWidth="1"/>
    <col min="14087" max="14087" width="5.85546875" style="92" customWidth="1"/>
    <col min="14088" max="14089" width="5.28515625" style="92" customWidth="1"/>
    <col min="14090" max="14090" width="7" style="92" customWidth="1"/>
    <col min="14091" max="14092" width="5.85546875" style="92" customWidth="1"/>
    <col min="14093" max="14093" width="7.5703125" style="92" customWidth="1"/>
    <col min="14094" max="14336" width="9.140625" style="92"/>
    <col min="14337" max="14337" width="24" style="92" customWidth="1"/>
    <col min="14338" max="14338" width="9.42578125" style="92" customWidth="1"/>
    <col min="14339" max="14340" width="5.28515625" style="92" customWidth="1"/>
    <col min="14341" max="14341" width="6.42578125" style="92" customWidth="1"/>
    <col min="14342" max="14342" width="4.7109375" style="92" customWidth="1"/>
    <col min="14343" max="14343" width="5.85546875" style="92" customWidth="1"/>
    <col min="14344" max="14345" width="5.28515625" style="92" customWidth="1"/>
    <col min="14346" max="14346" width="7" style="92" customWidth="1"/>
    <col min="14347" max="14348" width="5.85546875" style="92" customWidth="1"/>
    <col min="14349" max="14349" width="7.5703125" style="92" customWidth="1"/>
    <col min="14350" max="14592" width="9.140625" style="92"/>
    <col min="14593" max="14593" width="24" style="92" customWidth="1"/>
    <col min="14594" max="14594" width="9.42578125" style="92" customWidth="1"/>
    <col min="14595" max="14596" width="5.28515625" style="92" customWidth="1"/>
    <col min="14597" max="14597" width="6.42578125" style="92" customWidth="1"/>
    <col min="14598" max="14598" width="4.7109375" style="92" customWidth="1"/>
    <col min="14599" max="14599" width="5.85546875" style="92" customWidth="1"/>
    <col min="14600" max="14601" width="5.28515625" style="92" customWidth="1"/>
    <col min="14602" max="14602" width="7" style="92" customWidth="1"/>
    <col min="14603" max="14604" width="5.85546875" style="92" customWidth="1"/>
    <col min="14605" max="14605" width="7.5703125" style="92" customWidth="1"/>
    <col min="14606" max="14848" width="9.140625" style="92"/>
    <col min="14849" max="14849" width="24" style="92" customWidth="1"/>
    <col min="14850" max="14850" width="9.42578125" style="92" customWidth="1"/>
    <col min="14851" max="14852" width="5.28515625" style="92" customWidth="1"/>
    <col min="14853" max="14853" width="6.42578125" style="92" customWidth="1"/>
    <col min="14854" max="14854" width="4.7109375" style="92" customWidth="1"/>
    <col min="14855" max="14855" width="5.85546875" style="92" customWidth="1"/>
    <col min="14856" max="14857" width="5.28515625" style="92" customWidth="1"/>
    <col min="14858" max="14858" width="7" style="92" customWidth="1"/>
    <col min="14859" max="14860" width="5.85546875" style="92" customWidth="1"/>
    <col min="14861" max="14861" width="7.5703125" style="92" customWidth="1"/>
    <col min="14862" max="15104" width="9.140625" style="92"/>
    <col min="15105" max="15105" width="24" style="92" customWidth="1"/>
    <col min="15106" max="15106" width="9.42578125" style="92" customWidth="1"/>
    <col min="15107" max="15108" width="5.28515625" style="92" customWidth="1"/>
    <col min="15109" max="15109" width="6.42578125" style="92" customWidth="1"/>
    <col min="15110" max="15110" width="4.7109375" style="92" customWidth="1"/>
    <col min="15111" max="15111" width="5.85546875" style="92" customWidth="1"/>
    <col min="15112" max="15113" width="5.28515625" style="92" customWidth="1"/>
    <col min="15114" max="15114" width="7" style="92" customWidth="1"/>
    <col min="15115" max="15116" width="5.85546875" style="92" customWidth="1"/>
    <col min="15117" max="15117" width="7.5703125" style="92" customWidth="1"/>
    <col min="15118" max="15360" width="9.140625" style="92"/>
    <col min="15361" max="15361" width="24" style="92" customWidth="1"/>
    <col min="15362" max="15362" width="9.42578125" style="92" customWidth="1"/>
    <col min="15363" max="15364" width="5.28515625" style="92" customWidth="1"/>
    <col min="15365" max="15365" width="6.42578125" style="92" customWidth="1"/>
    <col min="15366" max="15366" width="4.7109375" style="92" customWidth="1"/>
    <col min="15367" max="15367" width="5.85546875" style="92" customWidth="1"/>
    <col min="15368" max="15369" width="5.28515625" style="92" customWidth="1"/>
    <col min="15370" max="15370" width="7" style="92" customWidth="1"/>
    <col min="15371" max="15372" width="5.85546875" style="92" customWidth="1"/>
    <col min="15373" max="15373" width="7.5703125" style="92" customWidth="1"/>
    <col min="15374" max="15616" width="9.140625" style="92"/>
    <col min="15617" max="15617" width="24" style="92" customWidth="1"/>
    <col min="15618" max="15618" width="9.42578125" style="92" customWidth="1"/>
    <col min="15619" max="15620" width="5.28515625" style="92" customWidth="1"/>
    <col min="15621" max="15621" width="6.42578125" style="92" customWidth="1"/>
    <col min="15622" max="15622" width="4.7109375" style="92" customWidth="1"/>
    <col min="15623" max="15623" width="5.85546875" style="92" customWidth="1"/>
    <col min="15624" max="15625" width="5.28515625" style="92" customWidth="1"/>
    <col min="15626" max="15626" width="7" style="92" customWidth="1"/>
    <col min="15627" max="15628" width="5.85546875" style="92" customWidth="1"/>
    <col min="15629" max="15629" width="7.5703125" style="92" customWidth="1"/>
    <col min="15630" max="15872" width="9.140625" style="92"/>
    <col min="15873" max="15873" width="24" style="92" customWidth="1"/>
    <col min="15874" max="15874" width="9.42578125" style="92" customWidth="1"/>
    <col min="15875" max="15876" width="5.28515625" style="92" customWidth="1"/>
    <col min="15877" max="15877" width="6.42578125" style="92" customWidth="1"/>
    <col min="15878" max="15878" width="4.7109375" style="92" customWidth="1"/>
    <col min="15879" max="15879" width="5.85546875" style="92" customWidth="1"/>
    <col min="15880" max="15881" width="5.28515625" style="92" customWidth="1"/>
    <col min="15882" max="15882" width="7" style="92" customWidth="1"/>
    <col min="15883" max="15884" width="5.85546875" style="92" customWidth="1"/>
    <col min="15885" max="15885" width="7.5703125" style="92" customWidth="1"/>
    <col min="15886" max="16128" width="9.140625" style="92"/>
    <col min="16129" max="16129" width="24" style="92" customWidth="1"/>
    <col min="16130" max="16130" width="9.42578125" style="92" customWidth="1"/>
    <col min="16131" max="16132" width="5.28515625" style="92" customWidth="1"/>
    <col min="16133" max="16133" width="6.42578125" style="92" customWidth="1"/>
    <col min="16134" max="16134" width="4.7109375" style="92" customWidth="1"/>
    <col min="16135" max="16135" width="5.85546875" style="92" customWidth="1"/>
    <col min="16136" max="16137" width="5.28515625" style="92" customWidth="1"/>
    <col min="16138" max="16138" width="7" style="92" customWidth="1"/>
    <col min="16139" max="16140" width="5.85546875" style="92" customWidth="1"/>
    <col min="16141" max="16141" width="7.5703125" style="92" customWidth="1"/>
    <col min="16142" max="16384" width="9.140625" style="92"/>
  </cols>
  <sheetData>
    <row r="1" spans="1:13" ht="15" x14ac:dyDescent="0.25">
      <c r="A1" s="197" t="s">
        <v>315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3" ht="18" x14ac:dyDescent="0.35">
      <c r="A2" s="196" t="s">
        <v>108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3" ht="15" x14ac:dyDescent="0.25">
      <c r="A3" s="31"/>
      <c r="B3" s="31"/>
      <c r="C3" s="31"/>
      <c r="D3" s="31"/>
    </row>
    <row r="4" spans="1:13" ht="12.75" customHeight="1" x14ac:dyDescent="0.2">
      <c r="A4" s="91"/>
      <c r="B4" s="91" t="s">
        <v>154</v>
      </c>
      <c r="C4" s="91" t="s">
        <v>120</v>
      </c>
      <c r="D4" s="91" t="s">
        <v>151</v>
      </c>
      <c r="E4" s="91" t="s">
        <v>152</v>
      </c>
      <c r="F4" s="91" t="s">
        <v>153</v>
      </c>
      <c r="G4" s="91" t="s">
        <v>155</v>
      </c>
      <c r="H4" s="91" t="s">
        <v>156</v>
      </c>
      <c r="I4" s="91" t="s">
        <v>157</v>
      </c>
      <c r="J4" s="91" t="s">
        <v>121</v>
      </c>
      <c r="K4" s="91" t="s">
        <v>122</v>
      </c>
      <c r="L4" s="91" t="s">
        <v>123</v>
      </c>
      <c r="M4" s="91" t="s">
        <v>124</v>
      </c>
    </row>
    <row r="5" spans="1:13" x14ac:dyDescent="0.2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</row>
    <row r="6" spans="1:13" ht="21.95" customHeight="1" outlineLevel="1" x14ac:dyDescent="0.2">
      <c r="A6" s="93" t="s">
        <v>125</v>
      </c>
      <c r="B6" s="94">
        <v>44562</v>
      </c>
      <c r="C6" s="95">
        <v>13</v>
      </c>
      <c r="D6" s="95">
        <v>7628</v>
      </c>
      <c r="E6" s="96">
        <v>32.82</v>
      </c>
      <c r="F6" s="96">
        <v>4.76</v>
      </c>
      <c r="G6" s="96">
        <v>35.299999999999997</v>
      </c>
      <c r="H6" s="96">
        <v>27.12</v>
      </c>
      <c r="I6" s="96">
        <v>0.12</v>
      </c>
      <c r="J6" s="95" t="s">
        <v>126</v>
      </c>
      <c r="K6" s="91"/>
      <c r="L6" s="95" t="s">
        <v>127</v>
      </c>
      <c r="M6" s="95">
        <v>1132.0999999999999</v>
      </c>
    </row>
    <row r="7" spans="1:13" ht="15" customHeight="1" outlineLevel="1" x14ac:dyDescent="0.2">
      <c r="A7" s="93" t="s">
        <v>125</v>
      </c>
      <c r="B7" s="94">
        <v>44564</v>
      </c>
      <c r="C7" s="95">
        <v>10</v>
      </c>
      <c r="D7" s="95">
        <v>7598</v>
      </c>
      <c r="E7" s="96">
        <v>32.33</v>
      </c>
      <c r="F7" s="96">
        <v>5.6</v>
      </c>
      <c r="G7" s="96">
        <v>34.64</v>
      </c>
      <c r="H7" s="96">
        <v>27.43</v>
      </c>
      <c r="I7" s="96">
        <v>0.13</v>
      </c>
      <c r="J7" s="95" t="s">
        <v>126</v>
      </c>
      <c r="K7" s="91"/>
      <c r="L7" s="95" t="s">
        <v>127</v>
      </c>
      <c r="M7" s="95">
        <v>903.3</v>
      </c>
    </row>
    <row r="8" spans="1:13" ht="15" customHeight="1" outlineLevel="1" x14ac:dyDescent="0.2">
      <c r="A8" s="93" t="s">
        <v>125</v>
      </c>
      <c r="B8" s="94">
        <v>44565</v>
      </c>
      <c r="C8" s="95">
        <v>9</v>
      </c>
      <c r="D8" s="95">
        <v>7545</v>
      </c>
      <c r="E8" s="96">
        <v>32.520000000000003</v>
      </c>
      <c r="F8" s="96">
        <v>5.62</v>
      </c>
      <c r="G8" s="96">
        <v>34.79</v>
      </c>
      <c r="H8" s="96">
        <v>27.08</v>
      </c>
      <c r="I8" s="96">
        <v>0.14000000000000001</v>
      </c>
      <c r="J8" s="95" t="s">
        <v>126</v>
      </c>
      <c r="K8" s="91"/>
      <c r="L8" s="95" t="s">
        <v>127</v>
      </c>
      <c r="M8" s="95">
        <v>777.1</v>
      </c>
    </row>
    <row r="9" spans="1:13" ht="15" customHeight="1" outlineLevel="1" x14ac:dyDescent="0.2">
      <c r="A9" s="93" t="s">
        <v>125</v>
      </c>
      <c r="B9" s="94">
        <v>44566</v>
      </c>
      <c r="C9" s="95">
        <v>6</v>
      </c>
      <c r="D9" s="95">
        <v>7814</v>
      </c>
      <c r="E9" s="96">
        <v>30.17</v>
      </c>
      <c r="F9" s="96">
        <v>5.42</v>
      </c>
      <c r="G9" s="96">
        <v>35.479999999999997</v>
      </c>
      <c r="H9" s="96">
        <v>28.93</v>
      </c>
      <c r="I9" s="96">
        <v>0.12</v>
      </c>
      <c r="J9" s="95" t="s">
        <v>126</v>
      </c>
      <c r="K9" s="91"/>
      <c r="L9" s="95" t="s">
        <v>127</v>
      </c>
      <c r="M9" s="95">
        <v>497.7</v>
      </c>
    </row>
    <row r="10" spans="1:13" ht="15" customHeight="1" outlineLevel="1" x14ac:dyDescent="0.2">
      <c r="A10" s="93" t="s">
        <v>125</v>
      </c>
      <c r="B10" s="94">
        <v>44567</v>
      </c>
      <c r="C10" s="95">
        <v>10</v>
      </c>
      <c r="D10" s="95">
        <v>7542</v>
      </c>
      <c r="E10" s="96">
        <v>32.71</v>
      </c>
      <c r="F10" s="96">
        <v>5.29</v>
      </c>
      <c r="G10" s="96">
        <v>34.590000000000003</v>
      </c>
      <c r="H10" s="96">
        <v>27.41</v>
      </c>
      <c r="I10" s="96">
        <v>0.13</v>
      </c>
      <c r="J10" s="95" t="s">
        <v>126</v>
      </c>
      <c r="K10" s="91"/>
      <c r="L10" s="95" t="s">
        <v>127</v>
      </c>
      <c r="M10" s="95">
        <v>842.6</v>
      </c>
    </row>
    <row r="11" spans="1:13" ht="15" customHeight="1" outlineLevel="1" x14ac:dyDescent="0.2">
      <c r="A11" s="93" t="s">
        <v>125</v>
      </c>
      <c r="B11" s="94">
        <v>44568</v>
      </c>
      <c r="C11" s="95">
        <v>7</v>
      </c>
      <c r="D11" s="95">
        <v>7672</v>
      </c>
      <c r="E11" s="96">
        <v>31.53</v>
      </c>
      <c r="F11" s="96">
        <v>5.43</v>
      </c>
      <c r="G11" s="96">
        <v>35.6</v>
      </c>
      <c r="H11" s="96">
        <v>27.44</v>
      </c>
      <c r="I11" s="96">
        <v>0.15</v>
      </c>
      <c r="J11" s="95" t="s">
        <v>126</v>
      </c>
      <c r="K11" s="91"/>
      <c r="L11" s="95" t="s">
        <v>127</v>
      </c>
      <c r="M11" s="95">
        <v>604.35</v>
      </c>
    </row>
    <row r="12" spans="1:13" ht="15" customHeight="1" outlineLevel="1" x14ac:dyDescent="0.2">
      <c r="A12" s="93" t="s">
        <v>125</v>
      </c>
      <c r="B12" s="94">
        <v>44571</v>
      </c>
      <c r="C12" s="95">
        <v>3</v>
      </c>
      <c r="D12" s="95">
        <v>7590</v>
      </c>
      <c r="E12" s="96">
        <v>32.299999999999997</v>
      </c>
      <c r="F12" s="96">
        <v>5.34</v>
      </c>
      <c r="G12" s="96">
        <v>34.74</v>
      </c>
      <c r="H12" s="96">
        <v>27.63</v>
      </c>
      <c r="I12" s="96">
        <v>0.13</v>
      </c>
      <c r="J12" s="95" t="s">
        <v>126</v>
      </c>
      <c r="K12" s="91"/>
      <c r="L12" s="95" t="s">
        <v>127</v>
      </c>
      <c r="M12" s="95">
        <v>253.7</v>
      </c>
    </row>
    <row r="13" spans="1:13" ht="15" customHeight="1" outlineLevel="1" x14ac:dyDescent="0.2">
      <c r="A13" s="93" t="s">
        <v>125</v>
      </c>
      <c r="B13" s="94">
        <v>44572</v>
      </c>
      <c r="C13" s="95">
        <v>6</v>
      </c>
      <c r="D13" s="95">
        <v>7590</v>
      </c>
      <c r="E13" s="96">
        <v>32.18</v>
      </c>
      <c r="F13" s="96">
        <v>5.37</v>
      </c>
      <c r="G13" s="96">
        <v>34.72</v>
      </c>
      <c r="H13" s="96">
        <v>27.73</v>
      </c>
      <c r="I13" s="96">
        <v>0.14000000000000001</v>
      </c>
      <c r="J13" s="95" t="s">
        <v>126</v>
      </c>
      <c r="K13" s="91"/>
      <c r="L13" s="95" t="s">
        <v>127</v>
      </c>
      <c r="M13" s="95">
        <v>560.20000000000005</v>
      </c>
    </row>
    <row r="14" spans="1:13" ht="15" customHeight="1" outlineLevel="1" x14ac:dyDescent="0.2">
      <c r="A14" s="93" t="s">
        <v>125</v>
      </c>
      <c r="B14" s="94">
        <v>44574</v>
      </c>
      <c r="C14" s="95">
        <v>3</v>
      </c>
      <c r="D14" s="95">
        <v>7611</v>
      </c>
      <c r="E14" s="96">
        <v>32.06</v>
      </c>
      <c r="F14" s="96">
        <v>5.36</v>
      </c>
      <c r="G14" s="96">
        <v>35.020000000000003</v>
      </c>
      <c r="H14" s="96">
        <v>27.57</v>
      </c>
      <c r="I14" s="96">
        <v>0.12</v>
      </c>
      <c r="J14" s="95" t="s">
        <v>126</v>
      </c>
      <c r="K14" s="91"/>
      <c r="L14" s="95" t="s">
        <v>127</v>
      </c>
      <c r="M14" s="95">
        <v>270.05</v>
      </c>
    </row>
    <row r="15" spans="1:13" ht="15" customHeight="1" outlineLevel="1" x14ac:dyDescent="0.2">
      <c r="A15" s="93" t="s">
        <v>125</v>
      </c>
      <c r="B15" s="94">
        <v>44575</v>
      </c>
      <c r="C15" s="95">
        <v>4</v>
      </c>
      <c r="D15" s="95">
        <v>7612</v>
      </c>
      <c r="E15" s="96">
        <v>32.590000000000003</v>
      </c>
      <c r="F15" s="96">
        <v>4.66</v>
      </c>
      <c r="G15" s="96">
        <v>34.5</v>
      </c>
      <c r="H15" s="96">
        <v>28.26</v>
      </c>
      <c r="I15" s="96">
        <v>0.1</v>
      </c>
      <c r="J15" s="95" t="s">
        <v>126</v>
      </c>
      <c r="K15" s="91"/>
      <c r="L15" s="95" t="s">
        <v>127</v>
      </c>
      <c r="M15" s="95">
        <v>346.1</v>
      </c>
    </row>
    <row r="16" spans="1:13" ht="15" customHeight="1" outlineLevel="1" x14ac:dyDescent="0.2">
      <c r="A16" s="93" t="s">
        <v>125</v>
      </c>
      <c r="B16" s="94">
        <v>44578</v>
      </c>
      <c r="C16" s="95">
        <v>11</v>
      </c>
      <c r="D16" s="95">
        <v>7610</v>
      </c>
      <c r="E16" s="96">
        <v>32.86</v>
      </c>
      <c r="F16" s="96">
        <v>4.47</v>
      </c>
      <c r="G16" s="96">
        <v>34.51</v>
      </c>
      <c r="H16" s="96">
        <v>28.16</v>
      </c>
      <c r="I16" s="96">
        <v>0.09</v>
      </c>
      <c r="J16" s="95" t="s">
        <v>126</v>
      </c>
      <c r="K16" s="91"/>
      <c r="L16" s="95" t="s">
        <v>127</v>
      </c>
      <c r="M16" s="95">
        <v>966.05</v>
      </c>
    </row>
    <row r="17" spans="1:13" ht="15" customHeight="1" outlineLevel="1" x14ac:dyDescent="0.2">
      <c r="A17" s="93" t="s">
        <v>125</v>
      </c>
      <c r="B17" s="94">
        <v>44579</v>
      </c>
      <c r="C17" s="95">
        <v>8</v>
      </c>
      <c r="D17" s="95">
        <v>7617</v>
      </c>
      <c r="E17" s="96">
        <v>32.96</v>
      </c>
      <c r="F17" s="96">
        <v>4.1399999999999997</v>
      </c>
      <c r="G17" s="96">
        <v>34.85</v>
      </c>
      <c r="H17" s="96">
        <v>28.06</v>
      </c>
      <c r="I17" s="96">
        <v>0.08</v>
      </c>
      <c r="J17" s="95" t="s">
        <v>126</v>
      </c>
      <c r="K17" s="91"/>
      <c r="L17" s="95" t="s">
        <v>127</v>
      </c>
      <c r="M17" s="95">
        <v>710.45</v>
      </c>
    </row>
    <row r="18" spans="1:13" ht="15" customHeight="1" outlineLevel="1" x14ac:dyDescent="0.2">
      <c r="A18" s="93" t="s">
        <v>125</v>
      </c>
      <c r="B18" s="94">
        <v>44580</v>
      </c>
      <c r="C18" s="95">
        <v>8</v>
      </c>
      <c r="D18" s="95">
        <v>7817</v>
      </c>
      <c r="E18" s="96">
        <v>31.76</v>
      </c>
      <c r="F18" s="96">
        <v>3.63</v>
      </c>
      <c r="G18" s="96">
        <v>35.630000000000003</v>
      </c>
      <c r="H18" s="96">
        <v>28.99</v>
      </c>
      <c r="I18" s="96">
        <v>0.08</v>
      </c>
      <c r="J18" s="95" t="s">
        <v>126</v>
      </c>
      <c r="K18" s="91"/>
      <c r="L18" s="95" t="s">
        <v>127</v>
      </c>
      <c r="M18" s="95">
        <v>670.4</v>
      </c>
    </row>
    <row r="19" spans="1:13" ht="15" customHeight="1" outlineLevel="1" x14ac:dyDescent="0.2">
      <c r="A19" s="93" t="s">
        <v>125</v>
      </c>
      <c r="B19" s="94">
        <v>44581</v>
      </c>
      <c r="C19" s="95">
        <v>9</v>
      </c>
      <c r="D19" s="95">
        <v>7815</v>
      </c>
      <c r="E19" s="96">
        <v>31.82</v>
      </c>
      <c r="F19" s="96">
        <v>4.0999999999999996</v>
      </c>
      <c r="G19" s="96">
        <v>35.909999999999997</v>
      </c>
      <c r="H19" s="96">
        <v>28.18</v>
      </c>
      <c r="I19" s="96">
        <v>0.09</v>
      </c>
      <c r="J19" s="95" t="s">
        <v>126</v>
      </c>
      <c r="K19" s="91"/>
      <c r="L19" s="95" t="s">
        <v>127</v>
      </c>
      <c r="M19" s="95">
        <v>788.45</v>
      </c>
    </row>
    <row r="20" spans="1:13" ht="15" customHeight="1" outlineLevel="1" x14ac:dyDescent="0.2">
      <c r="A20" s="93" t="s">
        <v>125</v>
      </c>
      <c r="B20" s="94">
        <v>44582</v>
      </c>
      <c r="C20" s="95">
        <v>5</v>
      </c>
      <c r="D20" s="95">
        <v>7617</v>
      </c>
      <c r="E20" s="96">
        <v>32.729999999999997</v>
      </c>
      <c r="F20" s="96">
        <v>4.43</v>
      </c>
      <c r="G20" s="96">
        <v>34.54</v>
      </c>
      <c r="H20" s="96">
        <v>28.31</v>
      </c>
      <c r="I20" s="96">
        <v>0.09</v>
      </c>
      <c r="J20" s="95" t="s">
        <v>126</v>
      </c>
      <c r="K20" s="91"/>
      <c r="L20" s="95" t="s">
        <v>127</v>
      </c>
      <c r="M20" s="95">
        <v>455.4</v>
      </c>
    </row>
    <row r="21" spans="1:13" ht="15" customHeight="1" outlineLevel="1" x14ac:dyDescent="0.2">
      <c r="A21" s="93" t="s">
        <v>125</v>
      </c>
      <c r="B21" s="94">
        <v>44585</v>
      </c>
      <c r="C21" s="95">
        <v>9</v>
      </c>
      <c r="D21" s="95">
        <v>7697</v>
      </c>
      <c r="E21" s="96">
        <v>31.34</v>
      </c>
      <c r="F21" s="96">
        <v>5.51</v>
      </c>
      <c r="G21" s="96">
        <v>35.229999999999997</v>
      </c>
      <c r="H21" s="96">
        <v>27.93</v>
      </c>
      <c r="I21" s="96">
        <v>0.13</v>
      </c>
      <c r="J21" s="95" t="s">
        <v>126</v>
      </c>
      <c r="K21" s="91"/>
      <c r="L21" s="95" t="s">
        <v>127</v>
      </c>
      <c r="M21" s="95">
        <v>776.8</v>
      </c>
    </row>
    <row r="22" spans="1:13" ht="15" customHeight="1" outlineLevel="1" x14ac:dyDescent="0.2">
      <c r="A22" s="93" t="s">
        <v>125</v>
      </c>
      <c r="B22" s="94">
        <v>44586</v>
      </c>
      <c r="C22" s="95">
        <v>10</v>
      </c>
      <c r="D22" s="95">
        <v>7749</v>
      </c>
      <c r="E22" s="96">
        <v>31.18</v>
      </c>
      <c r="F22" s="96">
        <v>5.08</v>
      </c>
      <c r="G22" s="96">
        <v>35.54</v>
      </c>
      <c r="H22" s="96">
        <v>28.21</v>
      </c>
      <c r="I22" s="96">
        <v>0.12</v>
      </c>
      <c r="J22" s="95" t="s">
        <v>126</v>
      </c>
      <c r="K22" s="91"/>
      <c r="L22" s="95" t="s">
        <v>127</v>
      </c>
      <c r="M22" s="95">
        <v>879.75</v>
      </c>
    </row>
    <row r="23" spans="1:13" ht="15" customHeight="1" outlineLevel="1" x14ac:dyDescent="0.2">
      <c r="A23" s="93" t="s">
        <v>125</v>
      </c>
      <c r="B23" s="94">
        <v>44587</v>
      </c>
      <c r="C23" s="95">
        <v>10</v>
      </c>
      <c r="D23" s="95">
        <v>7693</v>
      </c>
      <c r="E23" s="96">
        <v>31.76</v>
      </c>
      <c r="F23" s="96">
        <v>5.0199999999999996</v>
      </c>
      <c r="G23" s="96">
        <v>34.619999999999997</v>
      </c>
      <c r="H23" s="96">
        <v>28.61</v>
      </c>
      <c r="I23" s="96">
        <v>0.13</v>
      </c>
      <c r="J23" s="95" t="s">
        <v>126</v>
      </c>
      <c r="K23" s="91"/>
      <c r="L23" s="95" t="s">
        <v>127</v>
      </c>
      <c r="M23" s="95">
        <v>882.65</v>
      </c>
    </row>
    <row r="24" spans="1:13" ht="15" customHeight="1" outlineLevel="1" x14ac:dyDescent="0.2">
      <c r="A24" s="93" t="s">
        <v>125</v>
      </c>
      <c r="B24" s="94">
        <v>44588</v>
      </c>
      <c r="C24" s="95">
        <v>9</v>
      </c>
      <c r="D24" s="95">
        <v>7594</v>
      </c>
      <c r="E24" s="96">
        <v>32.1</v>
      </c>
      <c r="F24" s="96">
        <v>5.77</v>
      </c>
      <c r="G24" s="96">
        <v>34.69</v>
      </c>
      <c r="H24" s="96">
        <v>27.45</v>
      </c>
      <c r="I24" s="96">
        <v>0.14000000000000001</v>
      </c>
      <c r="J24" s="95" t="s">
        <v>126</v>
      </c>
      <c r="K24" s="91"/>
      <c r="L24" s="95" t="s">
        <v>127</v>
      </c>
      <c r="M24" s="95">
        <v>812.25</v>
      </c>
    </row>
    <row r="25" spans="1:13" ht="15" customHeight="1" outlineLevel="1" x14ac:dyDescent="0.2">
      <c r="A25" s="93" t="s">
        <v>125</v>
      </c>
      <c r="B25" s="94">
        <v>44589</v>
      </c>
      <c r="C25" s="95">
        <v>5</v>
      </c>
      <c r="D25" s="95">
        <v>7555</v>
      </c>
      <c r="E25" s="96">
        <v>32.33</v>
      </c>
      <c r="F25" s="96">
        <v>5.95</v>
      </c>
      <c r="G25" s="96">
        <v>34.64</v>
      </c>
      <c r="H25" s="96">
        <v>27.09</v>
      </c>
      <c r="I25" s="96">
        <v>0.14000000000000001</v>
      </c>
      <c r="J25" s="95" t="s">
        <v>126</v>
      </c>
      <c r="K25" s="91"/>
      <c r="L25" s="95" t="s">
        <v>127</v>
      </c>
      <c r="M25" s="95">
        <v>464.15</v>
      </c>
    </row>
    <row r="26" spans="1:13" ht="15" customHeight="1" outlineLevel="1" x14ac:dyDescent="0.2">
      <c r="A26" s="93" t="s">
        <v>125</v>
      </c>
      <c r="B26" s="94">
        <v>44592</v>
      </c>
      <c r="C26" s="95">
        <v>12</v>
      </c>
      <c r="D26" s="95">
        <v>7641</v>
      </c>
      <c r="E26" s="96">
        <v>32.68</v>
      </c>
      <c r="F26" s="96">
        <v>4.46</v>
      </c>
      <c r="G26" s="96">
        <v>35.130000000000003</v>
      </c>
      <c r="H26" s="96">
        <v>27.73</v>
      </c>
      <c r="I26" s="96">
        <v>0.11</v>
      </c>
      <c r="J26" s="95" t="s">
        <v>126</v>
      </c>
      <c r="K26" s="91"/>
      <c r="L26" s="95" t="s">
        <v>127</v>
      </c>
      <c r="M26" s="95">
        <v>1047</v>
      </c>
    </row>
    <row r="27" spans="1:13" ht="15" customHeight="1" outlineLevel="1" x14ac:dyDescent="0.2">
      <c r="A27" s="93" t="s">
        <v>125</v>
      </c>
      <c r="B27" s="94">
        <v>44593</v>
      </c>
      <c r="C27" s="95">
        <v>8</v>
      </c>
      <c r="D27" s="95">
        <v>7648</v>
      </c>
      <c r="E27" s="96">
        <v>32.99</v>
      </c>
      <c r="F27" s="96">
        <v>4.07</v>
      </c>
      <c r="G27" s="96">
        <v>34.58</v>
      </c>
      <c r="H27" s="96">
        <v>28.36</v>
      </c>
      <c r="I27" s="96">
        <v>0.09</v>
      </c>
      <c r="J27" s="95" t="s">
        <v>126</v>
      </c>
      <c r="K27" s="91"/>
      <c r="L27" s="95" t="s">
        <v>127</v>
      </c>
      <c r="M27" s="95">
        <v>674.7</v>
      </c>
    </row>
    <row r="28" spans="1:13" ht="15" customHeight="1" outlineLevel="1" x14ac:dyDescent="0.2">
      <c r="A28" s="93" t="s">
        <v>125</v>
      </c>
      <c r="B28" s="94">
        <v>44594</v>
      </c>
      <c r="C28" s="95">
        <v>7</v>
      </c>
      <c r="D28" s="95">
        <v>7694</v>
      </c>
      <c r="E28" s="96">
        <v>33.31</v>
      </c>
      <c r="F28" s="96">
        <v>3.41</v>
      </c>
      <c r="G28" s="96">
        <v>35.01</v>
      </c>
      <c r="H28" s="96">
        <v>28.28</v>
      </c>
      <c r="I28" s="96">
        <v>0.08</v>
      </c>
      <c r="J28" s="95" t="s">
        <v>126</v>
      </c>
      <c r="K28" s="91"/>
      <c r="L28" s="95" t="s">
        <v>127</v>
      </c>
      <c r="M28" s="95">
        <v>605.35</v>
      </c>
    </row>
    <row r="29" spans="1:13" ht="15" customHeight="1" outlineLevel="1" x14ac:dyDescent="0.2">
      <c r="A29" s="93" t="s">
        <v>125</v>
      </c>
      <c r="B29" s="94">
        <v>44595</v>
      </c>
      <c r="C29" s="95">
        <v>10</v>
      </c>
      <c r="D29" s="95">
        <v>7644</v>
      </c>
      <c r="E29" s="96">
        <v>32.590000000000003</v>
      </c>
      <c r="F29" s="96">
        <v>4.1399999999999997</v>
      </c>
      <c r="G29" s="96">
        <v>35.35</v>
      </c>
      <c r="H29" s="96">
        <v>27.92</v>
      </c>
      <c r="I29" s="96">
        <v>0.09</v>
      </c>
      <c r="J29" s="95" t="s">
        <v>126</v>
      </c>
      <c r="K29" s="91"/>
      <c r="L29" s="95" t="s">
        <v>127</v>
      </c>
      <c r="M29" s="95">
        <v>882.15</v>
      </c>
    </row>
    <row r="30" spans="1:13" ht="15" customHeight="1" outlineLevel="1" x14ac:dyDescent="0.2">
      <c r="A30" s="93" t="s">
        <v>125</v>
      </c>
      <c r="B30" s="94">
        <v>44599</v>
      </c>
      <c r="C30" s="95">
        <v>12</v>
      </c>
      <c r="D30" s="95">
        <v>7764</v>
      </c>
      <c r="E30" s="96">
        <v>31.38</v>
      </c>
      <c r="F30" s="96">
        <v>4.37</v>
      </c>
      <c r="G30" s="96">
        <v>34.92</v>
      </c>
      <c r="H30" s="96">
        <v>29.33</v>
      </c>
      <c r="I30" s="96">
        <v>0.1</v>
      </c>
      <c r="J30" s="95" t="s">
        <v>128</v>
      </c>
      <c r="K30" s="95" t="s">
        <v>129</v>
      </c>
      <c r="L30" s="95" t="s">
        <v>130</v>
      </c>
      <c r="M30" s="95">
        <v>1040.5</v>
      </c>
    </row>
    <row r="31" spans="1:13" ht="15" customHeight="1" outlineLevel="1" x14ac:dyDescent="0.2">
      <c r="A31" s="93" t="s">
        <v>125</v>
      </c>
      <c r="B31" s="94">
        <v>44600</v>
      </c>
      <c r="C31" s="95">
        <v>9</v>
      </c>
      <c r="D31" s="95">
        <v>7785</v>
      </c>
      <c r="E31" s="96">
        <v>30.61</v>
      </c>
      <c r="F31" s="96">
        <v>4.82</v>
      </c>
      <c r="G31" s="96">
        <v>35.49</v>
      </c>
      <c r="H31" s="96">
        <v>29.09</v>
      </c>
      <c r="I31" s="96">
        <v>0.09</v>
      </c>
      <c r="J31" s="95" t="s">
        <v>128</v>
      </c>
      <c r="K31" s="95" t="s">
        <v>129</v>
      </c>
      <c r="L31" s="95" t="s">
        <v>130</v>
      </c>
      <c r="M31" s="95">
        <v>783.6</v>
      </c>
    </row>
    <row r="32" spans="1:13" ht="15" customHeight="1" outlineLevel="1" x14ac:dyDescent="0.2">
      <c r="A32" s="93" t="s">
        <v>125</v>
      </c>
      <c r="B32" s="94">
        <v>44601</v>
      </c>
      <c r="C32" s="95">
        <v>9</v>
      </c>
      <c r="D32" s="95">
        <v>7647</v>
      </c>
      <c r="E32" s="96">
        <v>32.229999999999997</v>
      </c>
      <c r="F32" s="96">
        <v>4.4000000000000004</v>
      </c>
      <c r="G32" s="96">
        <v>34.64</v>
      </c>
      <c r="H32" s="96">
        <v>28.73</v>
      </c>
      <c r="I32" s="96">
        <v>0.09</v>
      </c>
      <c r="J32" s="95" t="s">
        <v>128</v>
      </c>
      <c r="K32" s="95" t="s">
        <v>129</v>
      </c>
      <c r="L32" s="95" t="s">
        <v>130</v>
      </c>
      <c r="M32" s="95">
        <v>776.5</v>
      </c>
    </row>
    <row r="33" spans="1:13" ht="15" customHeight="1" outlineLevel="1" x14ac:dyDescent="0.2">
      <c r="A33" s="93" t="s">
        <v>125</v>
      </c>
      <c r="B33" s="94">
        <v>44602</v>
      </c>
      <c r="C33" s="95">
        <v>8</v>
      </c>
      <c r="D33" s="95">
        <v>7645</v>
      </c>
      <c r="E33" s="96">
        <v>31.13</v>
      </c>
      <c r="F33" s="96">
        <v>5.42</v>
      </c>
      <c r="G33" s="96">
        <v>34.39</v>
      </c>
      <c r="H33" s="96">
        <v>29.06</v>
      </c>
      <c r="I33" s="96">
        <v>0.11</v>
      </c>
      <c r="J33" s="95" t="s">
        <v>128</v>
      </c>
      <c r="K33" s="95" t="s">
        <v>129</v>
      </c>
      <c r="L33" s="95" t="s">
        <v>130</v>
      </c>
      <c r="M33" s="95">
        <v>740.6</v>
      </c>
    </row>
    <row r="34" spans="1:13" ht="15" customHeight="1" outlineLevel="1" x14ac:dyDescent="0.2">
      <c r="A34" s="93" t="s">
        <v>125</v>
      </c>
      <c r="B34" s="94">
        <v>44603</v>
      </c>
      <c r="C34" s="95">
        <v>9</v>
      </c>
      <c r="D34" s="95">
        <v>7624</v>
      </c>
      <c r="E34" s="96">
        <v>31.36</v>
      </c>
      <c r="F34" s="96">
        <v>5.56</v>
      </c>
      <c r="G34" s="96">
        <v>34.729999999999997</v>
      </c>
      <c r="H34" s="96">
        <v>28.36</v>
      </c>
      <c r="I34" s="96">
        <v>0.1</v>
      </c>
      <c r="J34" s="95" t="s">
        <v>131</v>
      </c>
      <c r="K34" s="95" t="s">
        <v>129</v>
      </c>
      <c r="L34" s="95" t="s">
        <v>130</v>
      </c>
      <c r="M34" s="95">
        <v>837.55</v>
      </c>
    </row>
    <row r="35" spans="1:13" ht="15" customHeight="1" outlineLevel="1" x14ac:dyDescent="0.2">
      <c r="A35" s="93" t="s">
        <v>125</v>
      </c>
      <c r="B35" s="94">
        <v>44606</v>
      </c>
      <c r="C35" s="95">
        <v>8</v>
      </c>
      <c r="D35" s="95">
        <v>7671</v>
      </c>
      <c r="E35" s="96">
        <v>30.99</v>
      </c>
      <c r="F35" s="96">
        <v>5.47</v>
      </c>
      <c r="G35" s="96">
        <v>34.909999999999997</v>
      </c>
      <c r="H35" s="96">
        <v>28.64</v>
      </c>
      <c r="I35" s="96">
        <v>0.09</v>
      </c>
      <c r="J35" s="95" t="s">
        <v>128</v>
      </c>
      <c r="K35" s="95" t="s">
        <v>129</v>
      </c>
      <c r="L35" s="95" t="s">
        <v>130</v>
      </c>
      <c r="M35" s="95">
        <v>709.1</v>
      </c>
    </row>
    <row r="36" spans="1:13" ht="15" customHeight="1" outlineLevel="1" x14ac:dyDescent="0.2">
      <c r="A36" s="93" t="s">
        <v>125</v>
      </c>
      <c r="B36" s="94">
        <v>44607</v>
      </c>
      <c r="C36" s="95">
        <v>9</v>
      </c>
      <c r="D36" s="95">
        <v>7723</v>
      </c>
      <c r="E36" s="96">
        <v>30.12</v>
      </c>
      <c r="F36" s="96">
        <v>5.93</v>
      </c>
      <c r="G36" s="96">
        <v>34.93</v>
      </c>
      <c r="H36" s="96">
        <v>29.02</v>
      </c>
      <c r="I36" s="96">
        <v>0.09</v>
      </c>
      <c r="J36" s="95" t="s">
        <v>128</v>
      </c>
      <c r="K36" s="95" t="s">
        <v>129</v>
      </c>
      <c r="L36" s="95" t="s">
        <v>130</v>
      </c>
      <c r="M36" s="95">
        <v>824.6</v>
      </c>
    </row>
    <row r="37" spans="1:13" ht="15" customHeight="1" outlineLevel="1" x14ac:dyDescent="0.2">
      <c r="A37" s="93" t="s">
        <v>125</v>
      </c>
      <c r="B37" s="94">
        <v>44608</v>
      </c>
      <c r="C37" s="95">
        <v>8</v>
      </c>
      <c r="D37" s="95">
        <v>7702</v>
      </c>
      <c r="E37" s="96">
        <v>30.64</v>
      </c>
      <c r="F37" s="96">
        <v>5.53</v>
      </c>
      <c r="G37" s="96">
        <v>34.590000000000003</v>
      </c>
      <c r="H37" s="96">
        <v>29.24</v>
      </c>
      <c r="I37" s="96">
        <v>0.1</v>
      </c>
      <c r="J37" s="95" t="s">
        <v>128</v>
      </c>
      <c r="K37" s="95" t="s">
        <v>129</v>
      </c>
      <c r="L37" s="95" t="s">
        <v>130</v>
      </c>
      <c r="M37" s="95">
        <v>699.25</v>
      </c>
    </row>
    <row r="38" spans="1:13" ht="15" customHeight="1" outlineLevel="1" x14ac:dyDescent="0.2">
      <c r="A38" s="93" t="s">
        <v>125</v>
      </c>
      <c r="B38" s="94">
        <v>44609</v>
      </c>
      <c r="C38" s="95">
        <v>8</v>
      </c>
      <c r="D38" s="95">
        <v>7751</v>
      </c>
      <c r="E38" s="96">
        <v>30.73</v>
      </c>
      <c r="F38" s="96">
        <v>5.22</v>
      </c>
      <c r="G38" s="96">
        <v>35.39</v>
      </c>
      <c r="H38" s="96">
        <v>28.66</v>
      </c>
      <c r="I38" s="96">
        <v>0.1</v>
      </c>
      <c r="J38" s="95" t="s">
        <v>128</v>
      </c>
      <c r="K38" s="95" t="s">
        <v>129</v>
      </c>
      <c r="L38" s="95" t="s">
        <v>130</v>
      </c>
      <c r="M38" s="95">
        <v>707.6</v>
      </c>
    </row>
    <row r="39" spans="1:13" ht="15" customHeight="1" outlineLevel="1" x14ac:dyDescent="0.2">
      <c r="A39" s="93" t="s">
        <v>125</v>
      </c>
      <c r="B39" s="94">
        <v>44610</v>
      </c>
      <c r="C39" s="95">
        <v>6</v>
      </c>
      <c r="D39" s="95">
        <v>7588</v>
      </c>
      <c r="E39" s="96">
        <v>33.19</v>
      </c>
      <c r="F39" s="96">
        <v>4.1399999999999997</v>
      </c>
      <c r="G39" s="96">
        <v>34.74</v>
      </c>
      <c r="H39" s="96">
        <v>27.94</v>
      </c>
      <c r="I39" s="96">
        <v>0.09</v>
      </c>
      <c r="J39" s="95" t="s">
        <v>126</v>
      </c>
      <c r="K39" s="91"/>
      <c r="L39" s="95" t="s">
        <v>127</v>
      </c>
      <c r="M39" s="95">
        <v>517.75</v>
      </c>
    </row>
    <row r="40" spans="1:13" ht="15" customHeight="1" outlineLevel="1" x14ac:dyDescent="0.2">
      <c r="A40" s="93" t="s">
        <v>125</v>
      </c>
      <c r="B40" s="94">
        <v>44614</v>
      </c>
      <c r="C40" s="95">
        <v>10</v>
      </c>
      <c r="D40" s="95">
        <v>7613</v>
      </c>
      <c r="E40" s="96">
        <v>31.52</v>
      </c>
      <c r="F40" s="96">
        <v>5.42</v>
      </c>
      <c r="G40" s="96">
        <v>34.58</v>
      </c>
      <c r="H40" s="96">
        <v>28.48</v>
      </c>
      <c r="I40" s="96">
        <v>0.11</v>
      </c>
      <c r="J40" s="95" t="s">
        <v>126</v>
      </c>
      <c r="K40" s="91"/>
      <c r="L40" s="95" t="s">
        <v>127</v>
      </c>
      <c r="M40" s="95">
        <v>882.3</v>
      </c>
    </row>
    <row r="41" spans="1:13" ht="15" customHeight="1" outlineLevel="1" x14ac:dyDescent="0.2">
      <c r="A41" s="93" t="s">
        <v>125</v>
      </c>
      <c r="B41" s="94">
        <v>44615</v>
      </c>
      <c r="C41" s="95">
        <v>10</v>
      </c>
      <c r="D41" s="95">
        <v>7519</v>
      </c>
      <c r="E41" s="96">
        <v>33.57</v>
      </c>
      <c r="F41" s="96">
        <v>4.3</v>
      </c>
      <c r="G41" s="96">
        <v>34.33</v>
      </c>
      <c r="H41" s="96">
        <v>27.8</v>
      </c>
      <c r="I41" s="96">
        <v>0.09</v>
      </c>
      <c r="J41" s="95" t="s">
        <v>126</v>
      </c>
      <c r="K41" s="91"/>
      <c r="L41" s="95" t="s">
        <v>127</v>
      </c>
      <c r="M41" s="95">
        <v>851.3</v>
      </c>
    </row>
    <row r="42" spans="1:13" ht="15" customHeight="1" outlineLevel="1" x14ac:dyDescent="0.2">
      <c r="A42" s="93" t="s">
        <v>125</v>
      </c>
      <c r="B42" s="94">
        <v>44616</v>
      </c>
      <c r="C42" s="95">
        <v>9</v>
      </c>
      <c r="D42" s="95">
        <v>7559</v>
      </c>
      <c r="E42" s="96">
        <v>31.66</v>
      </c>
      <c r="F42" s="96">
        <v>5.84</v>
      </c>
      <c r="G42" s="96">
        <v>34.1</v>
      </c>
      <c r="H42" s="96">
        <v>28.4</v>
      </c>
      <c r="I42" s="96">
        <v>0.11</v>
      </c>
      <c r="J42" s="95" t="s">
        <v>128</v>
      </c>
      <c r="K42" s="95" t="s">
        <v>129</v>
      </c>
      <c r="L42" s="95" t="s">
        <v>130</v>
      </c>
      <c r="M42" s="95">
        <v>798.65</v>
      </c>
    </row>
    <row r="43" spans="1:13" ht="15" customHeight="1" outlineLevel="1" x14ac:dyDescent="0.2">
      <c r="A43" s="93" t="s">
        <v>125</v>
      </c>
      <c r="B43" s="94">
        <v>44617</v>
      </c>
      <c r="C43" s="95">
        <v>9</v>
      </c>
      <c r="D43" s="95">
        <v>7551</v>
      </c>
      <c r="E43" s="96">
        <v>32.32</v>
      </c>
      <c r="F43" s="96">
        <v>5.12</v>
      </c>
      <c r="G43" s="96">
        <v>34.25</v>
      </c>
      <c r="H43" s="96">
        <v>28.32</v>
      </c>
      <c r="I43" s="96">
        <v>0.1</v>
      </c>
      <c r="J43" s="95" t="s">
        <v>128</v>
      </c>
      <c r="K43" s="95" t="s">
        <v>129</v>
      </c>
      <c r="L43" s="95" t="s">
        <v>130</v>
      </c>
      <c r="M43" s="95">
        <v>787.1</v>
      </c>
    </row>
    <row r="44" spans="1:13" ht="15" customHeight="1" outlineLevel="1" x14ac:dyDescent="0.2">
      <c r="A44" s="93" t="s">
        <v>125</v>
      </c>
      <c r="B44" s="94">
        <v>44620</v>
      </c>
      <c r="C44" s="95">
        <v>9</v>
      </c>
      <c r="D44" s="95">
        <v>7697</v>
      </c>
      <c r="E44" s="96">
        <v>31.27</v>
      </c>
      <c r="F44" s="96">
        <v>5.38</v>
      </c>
      <c r="G44" s="96">
        <v>34.68</v>
      </c>
      <c r="H44" s="96">
        <v>28.67</v>
      </c>
      <c r="I44" s="96">
        <v>0.09</v>
      </c>
      <c r="J44" s="95" t="s">
        <v>128</v>
      </c>
      <c r="K44" s="95" t="s">
        <v>129</v>
      </c>
      <c r="L44" s="95" t="s">
        <v>130</v>
      </c>
      <c r="M44" s="95">
        <v>769.55</v>
      </c>
    </row>
    <row r="45" spans="1:13" ht="15" customHeight="1" outlineLevel="1" x14ac:dyDescent="0.2">
      <c r="A45" s="93" t="s">
        <v>125</v>
      </c>
      <c r="B45" s="94">
        <v>44621</v>
      </c>
      <c r="C45" s="95">
        <v>12</v>
      </c>
      <c r="D45" s="95">
        <v>7472</v>
      </c>
      <c r="E45" s="96">
        <v>31.97</v>
      </c>
      <c r="F45" s="96">
        <v>6.54</v>
      </c>
      <c r="G45" s="96">
        <v>33.630000000000003</v>
      </c>
      <c r="H45" s="96">
        <v>27.87</v>
      </c>
      <c r="I45" s="96">
        <v>0.1</v>
      </c>
      <c r="J45" s="95" t="s">
        <v>128</v>
      </c>
      <c r="K45" s="95" t="s">
        <v>129</v>
      </c>
      <c r="L45" s="95" t="s">
        <v>130</v>
      </c>
      <c r="M45" s="95">
        <v>1065.2</v>
      </c>
    </row>
    <row r="46" spans="1:13" ht="15" customHeight="1" outlineLevel="1" x14ac:dyDescent="0.2">
      <c r="A46" s="93" t="s">
        <v>125</v>
      </c>
      <c r="B46" s="94">
        <v>44622</v>
      </c>
      <c r="C46" s="95">
        <v>7</v>
      </c>
      <c r="D46" s="95">
        <v>7505</v>
      </c>
      <c r="E46" s="96">
        <v>31.68</v>
      </c>
      <c r="F46" s="96">
        <v>6.95</v>
      </c>
      <c r="G46" s="96">
        <v>33.68</v>
      </c>
      <c r="H46" s="96">
        <v>27.7</v>
      </c>
      <c r="I46" s="96">
        <v>0.11</v>
      </c>
      <c r="J46" s="95" t="s">
        <v>128</v>
      </c>
      <c r="K46" s="95" t="s">
        <v>129</v>
      </c>
      <c r="L46" s="95" t="s">
        <v>130</v>
      </c>
      <c r="M46" s="95">
        <v>649.25</v>
      </c>
    </row>
    <row r="47" spans="1:13" ht="15" customHeight="1" outlineLevel="1" x14ac:dyDescent="0.2">
      <c r="A47" s="93" t="s">
        <v>125</v>
      </c>
      <c r="B47" s="94">
        <v>44623</v>
      </c>
      <c r="C47" s="95">
        <v>7</v>
      </c>
      <c r="D47" s="95">
        <v>7479</v>
      </c>
      <c r="E47" s="96">
        <v>31.34</v>
      </c>
      <c r="F47" s="96">
        <v>7.31</v>
      </c>
      <c r="G47" s="96">
        <v>33.64</v>
      </c>
      <c r="H47" s="96">
        <v>27.72</v>
      </c>
      <c r="I47" s="96">
        <v>0.12</v>
      </c>
      <c r="J47" s="95" t="s">
        <v>128</v>
      </c>
      <c r="K47" s="95" t="s">
        <v>129</v>
      </c>
      <c r="L47" s="95" t="s">
        <v>130</v>
      </c>
      <c r="M47" s="95">
        <v>653.29999999999995</v>
      </c>
    </row>
    <row r="48" spans="1:13" ht="15" customHeight="1" outlineLevel="1" x14ac:dyDescent="0.2">
      <c r="A48" s="93" t="s">
        <v>125</v>
      </c>
      <c r="B48" s="94">
        <v>44624</v>
      </c>
      <c r="C48" s="95">
        <v>7</v>
      </c>
      <c r="D48" s="95">
        <v>7525</v>
      </c>
      <c r="E48" s="96">
        <v>31.1</v>
      </c>
      <c r="F48" s="96">
        <v>6.7</v>
      </c>
      <c r="G48" s="96">
        <v>34.24</v>
      </c>
      <c r="H48" s="96">
        <v>27.97</v>
      </c>
      <c r="I48" s="96">
        <v>0.12</v>
      </c>
      <c r="J48" s="95" t="s">
        <v>128</v>
      </c>
      <c r="K48" s="95" t="s">
        <v>129</v>
      </c>
      <c r="L48" s="95" t="s">
        <v>130</v>
      </c>
      <c r="M48" s="95">
        <v>625.6</v>
      </c>
    </row>
    <row r="49" spans="1:13" ht="15" customHeight="1" outlineLevel="1" x14ac:dyDescent="0.2">
      <c r="A49" s="93" t="s">
        <v>125</v>
      </c>
      <c r="B49" s="94">
        <v>44627</v>
      </c>
      <c r="C49" s="95">
        <v>11</v>
      </c>
      <c r="D49" s="95">
        <v>7569</v>
      </c>
      <c r="E49" s="96">
        <v>31.12</v>
      </c>
      <c r="F49" s="96">
        <v>6.77</v>
      </c>
      <c r="G49" s="96">
        <v>34.07</v>
      </c>
      <c r="H49" s="96">
        <v>28.03</v>
      </c>
      <c r="I49" s="96">
        <v>0.12</v>
      </c>
      <c r="J49" s="95" t="s">
        <v>128</v>
      </c>
      <c r="K49" s="95" t="s">
        <v>129</v>
      </c>
      <c r="L49" s="95" t="s">
        <v>130</v>
      </c>
      <c r="M49" s="95">
        <v>993.2</v>
      </c>
    </row>
    <row r="50" spans="1:13" ht="15" customHeight="1" outlineLevel="1" x14ac:dyDescent="0.2">
      <c r="A50" s="93" t="s">
        <v>125</v>
      </c>
      <c r="B50" s="94">
        <v>44628</v>
      </c>
      <c r="C50" s="95">
        <v>10</v>
      </c>
      <c r="D50" s="95">
        <v>7586</v>
      </c>
      <c r="E50" s="96">
        <v>30.46</v>
      </c>
      <c r="F50" s="96">
        <v>6.88</v>
      </c>
      <c r="G50" s="96">
        <v>34.67</v>
      </c>
      <c r="H50" s="96">
        <v>28</v>
      </c>
      <c r="I50" s="96">
        <v>0.11</v>
      </c>
      <c r="J50" s="95" t="s">
        <v>128</v>
      </c>
      <c r="K50" s="95" t="s">
        <v>129</v>
      </c>
      <c r="L50" s="95" t="s">
        <v>130</v>
      </c>
      <c r="M50" s="95">
        <v>920.1</v>
      </c>
    </row>
    <row r="51" spans="1:13" ht="15" customHeight="1" outlineLevel="1" x14ac:dyDescent="0.2">
      <c r="A51" s="93" t="s">
        <v>125</v>
      </c>
      <c r="B51" s="94">
        <v>44629</v>
      </c>
      <c r="C51" s="95">
        <v>16</v>
      </c>
      <c r="D51" s="95">
        <v>7406</v>
      </c>
      <c r="E51" s="96">
        <v>31.55</v>
      </c>
      <c r="F51" s="96">
        <v>7.47</v>
      </c>
      <c r="G51" s="96">
        <v>33.68</v>
      </c>
      <c r="H51" s="96">
        <v>27.3</v>
      </c>
      <c r="I51" s="96">
        <v>0.11</v>
      </c>
      <c r="J51" s="95" t="s">
        <v>131</v>
      </c>
      <c r="K51" s="95" t="s">
        <v>129</v>
      </c>
      <c r="L51" s="95" t="s">
        <v>132</v>
      </c>
      <c r="M51" s="95">
        <v>1493.55</v>
      </c>
    </row>
    <row r="52" spans="1:13" ht="15" customHeight="1" outlineLevel="1" x14ac:dyDescent="0.2">
      <c r="A52" s="93" t="s">
        <v>125</v>
      </c>
      <c r="B52" s="94">
        <v>44631</v>
      </c>
      <c r="C52" s="95">
        <v>8</v>
      </c>
      <c r="D52" s="95">
        <v>7505</v>
      </c>
      <c r="E52" s="96">
        <v>31.68</v>
      </c>
      <c r="F52" s="96">
        <v>6.59</v>
      </c>
      <c r="G52" s="96">
        <v>33.869999999999997</v>
      </c>
      <c r="H52" s="96">
        <v>27.87</v>
      </c>
      <c r="I52" s="96">
        <v>0.1</v>
      </c>
      <c r="J52" s="95" t="s">
        <v>131</v>
      </c>
      <c r="K52" s="95" t="s">
        <v>129</v>
      </c>
      <c r="L52" s="95" t="s">
        <v>132</v>
      </c>
      <c r="M52" s="95">
        <v>748.8</v>
      </c>
    </row>
    <row r="53" spans="1:13" ht="15" customHeight="1" outlineLevel="1" x14ac:dyDescent="0.2">
      <c r="A53" s="93" t="s">
        <v>125</v>
      </c>
      <c r="B53" s="94">
        <v>44641</v>
      </c>
      <c r="C53" s="95">
        <v>8</v>
      </c>
      <c r="D53" s="95">
        <v>7446</v>
      </c>
      <c r="E53" s="96">
        <v>32.11</v>
      </c>
      <c r="F53" s="96">
        <v>6.73</v>
      </c>
      <c r="G53" s="96">
        <v>34.049999999999997</v>
      </c>
      <c r="H53" s="96">
        <v>27.11</v>
      </c>
      <c r="I53" s="96">
        <v>0.11</v>
      </c>
      <c r="J53" s="95" t="s">
        <v>131</v>
      </c>
      <c r="K53" s="95" t="s">
        <v>129</v>
      </c>
      <c r="L53" s="95" t="s">
        <v>132</v>
      </c>
      <c r="M53" s="95">
        <v>689.6</v>
      </c>
    </row>
    <row r="54" spans="1:13" ht="15" customHeight="1" outlineLevel="1" x14ac:dyDescent="0.2">
      <c r="A54" s="93" t="s">
        <v>125</v>
      </c>
      <c r="B54" s="94">
        <v>44642</v>
      </c>
      <c r="C54" s="95">
        <v>9</v>
      </c>
      <c r="D54" s="95">
        <v>7397</v>
      </c>
      <c r="E54" s="96">
        <v>31.72</v>
      </c>
      <c r="F54" s="96">
        <v>7.8</v>
      </c>
      <c r="G54" s="96">
        <v>33.590000000000003</v>
      </c>
      <c r="H54" s="96">
        <v>26.9</v>
      </c>
      <c r="I54" s="96">
        <v>0.12</v>
      </c>
      <c r="J54" s="95" t="s">
        <v>131</v>
      </c>
      <c r="K54" s="95" t="s">
        <v>129</v>
      </c>
      <c r="L54" s="95" t="s">
        <v>132</v>
      </c>
      <c r="M54" s="95">
        <v>774.75</v>
      </c>
    </row>
    <row r="55" spans="1:13" ht="15" customHeight="1" outlineLevel="1" x14ac:dyDescent="0.2">
      <c r="A55" s="93" t="s">
        <v>125</v>
      </c>
      <c r="B55" s="94">
        <v>44643</v>
      </c>
      <c r="C55" s="95">
        <v>20</v>
      </c>
      <c r="D55" s="95">
        <v>7196</v>
      </c>
      <c r="E55" s="96">
        <v>32.159999999999997</v>
      </c>
      <c r="F55" s="96">
        <v>8.5399999999999991</v>
      </c>
      <c r="G55" s="96">
        <v>32.64</v>
      </c>
      <c r="H55" s="96">
        <v>26.67</v>
      </c>
      <c r="I55" s="96">
        <v>0.12</v>
      </c>
      <c r="J55" s="95" t="s">
        <v>131</v>
      </c>
      <c r="K55" s="95" t="s">
        <v>129</v>
      </c>
      <c r="L55" s="95" t="s">
        <v>132</v>
      </c>
      <c r="M55" s="95">
        <v>1794.5</v>
      </c>
    </row>
    <row r="56" spans="1:13" ht="15" customHeight="1" outlineLevel="1" x14ac:dyDescent="0.2">
      <c r="A56" s="93" t="s">
        <v>125</v>
      </c>
      <c r="B56" s="94">
        <v>44648</v>
      </c>
      <c r="C56" s="95">
        <v>6</v>
      </c>
      <c r="D56" s="95">
        <v>7411</v>
      </c>
      <c r="E56" s="96">
        <v>31.13</v>
      </c>
      <c r="F56" s="96">
        <v>7.96</v>
      </c>
      <c r="G56" s="96">
        <v>33.840000000000003</v>
      </c>
      <c r="H56" s="96">
        <v>27.08</v>
      </c>
      <c r="I56" s="96">
        <v>0.13</v>
      </c>
      <c r="J56" s="95" t="s">
        <v>131</v>
      </c>
      <c r="K56" s="95" t="s">
        <v>129</v>
      </c>
      <c r="L56" s="95" t="s">
        <v>132</v>
      </c>
      <c r="M56" s="95">
        <v>565</v>
      </c>
    </row>
    <row r="57" spans="1:13" ht="15" customHeight="1" outlineLevel="1" x14ac:dyDescent="0.2">
      <c r="A57" s="93" t="s">
        <v>125</v>
      </c>
      <c r="B57" s="94">
        <v>44649</v>
      </c>
      <c r="C57" s="95">
        <v>6</v>
      </c>
      <c r="D57" s="95">
        <v>7551</v>
      </c>
      <c r="E57" s="96">
        <v>30.51</v>
      </c>
      <c r="F57" s="96">
        <v>7.23</v>
      </c>
      <c r="G57" s="96">
        <v>34.42</v>
      </c>
      <c r="H57" s="96">
        <v>27.84</v>
      </c>
      <c r="I57" s="96">
        <v>0.12</v>
      </c>
      <c r="J57" s="95" t="s">
        <v>131</v>
      </c>
      <c r="K57" s="95" t="s">
        <v>129</v>
      </c>
      <c r="L57" s="95" t="s">
        <v>132</v>
      </c>
      <c r="M57" s="95">
        <v>547.95000000000005</v>
      </c>
    </row>
    <row r="58" spans="1:13" ht="15" customHeight="1" outlineLevel="1" x14ac:dyDescent="0.2">
      <c r="A58" s="93" t="s">
        <v>125</v>
      </c>
      <c r="B58" s="94">
        <v>44650</v>
      </c>
      <c r="C58" s="95">
        <v>7</v>
      </c>
      <c r="D58" s="95">
        <v>7403</v>
      </c>
      <c r="E58" s="96">
        <v>31.59</v>
      </c>
      <c r="F58" s="96">
        <v>7.36</v>
      </c>
      <c r="G58" s="96">
        <v>34.020000000000003</v>
      </c>
      <c r="H58" s="96">
        <v>27.04</v>
      </c>
      <c r="I58" s="96">
        <v>0.12</v>
      </c>
      <c r="J58" s="95" t="s">
        <v>131</v>
      </c>
      <c r="K58" s="95" t="s">
        <v>129</v>
      </c>
      <c r="L58" s="95" t="s">
        <v>132</v>
      </c>
      <c r="M58" s="95">
        <v>644.4</v>
      </c>
    </row>
    <row r="59" spans="1:13" ht="15" customHeight="1" outlineLevel="1" x14ac:dyDescent="0.2">
      <c r="A59" s="93" t="s">
        <v>125</v>
      </c>
      <c r="B59" s="94">
        <v>44651</v>
      </c>
      <c r="C59" s="95">
        <v>6</v>
      </c>
      <c r="D59" s="95">
        <v>7525</v>
      </c>
      <c r="E59" s="96">
        <v>31.4</v>
      </c>
      <c r="F59" s="96">
        <v>6.66</v>
      </c>
      <c r="G59" s="96">
        <v>34.44</v>
      </c>
      <c r="H59" s="96">
        <v>27.49</v>
      </c>
      <c r="I59" s="96">
        <v>0.1</v>
      </c>
      <c r="J59" s="95" t="s">
        <v>131</v>
      </c>
      <c r="K59" s="95" t="s">
        <v>129</v>
      </c>
      <c r="L59" s="95" t="s">
        <v>132</v>
      </c>
      <c r="M59" s="95">
        <v>561.65</v>
      </c>
    </row>
    <row r="60" spans="1:13" ht="15" customHeight="1" outlineLevel="1" x14ac:dyDescent="0.2">
      <c r="A60" s="93" t="s">
        <v>125</v>
      </c>
      <c r="B60" s="94">
        <v>44656</v>
      </c>
      <c r="C60" s="95">
        <v>7</v>
      </c>
      <c r="D60" s="95">
        <v>7558</v>
      </c>
      <c r="E60" s="96">
        <v>30.5</v>
      </c>
      <c r="F60" s="96">
        <v>7.1</v>
      </c>
      <c r="G60" s="96">
        <v>34.51</v>
      </c>
      <c r="H60" s="96">
        <v>27.89</v>
      </c>
      <c r="I60" s="96">
        <v>0.1</v>
      </c>
      <c r="J60" s="95" t="s">
        <v>131</v>
      </c>
      <c r="K60" s="95" t="s">
        <v>129</v>
      </c>
      <c r="L60" s="95" t="s">
        <v>132</v>
      </c>
      <c r="M60" s="95">
        <v>654.65</v>
      </c>
    </row>
    <row r="61" spans="1:13" ht="15" customHeight="1" outlineLevel="1" x14ac:dyDescent="0.2">
      <c r="A61" s="93" t="s">
        <v>125</v>
      </c>
      <c r="B61" s="94">
        <v>44657</v>
      </c>
      <c r="C61" s="95">
        <v>4</v>
      </c>
      <c r="D61" s="95">
        <v>7566</v>
      </c>
      <c r="E61" s="96">
        <v>30.39</v>
      </c>
      <c r="F61" s="96">
        <v>6.83</v>
      </c>
      <c r="G61" s="96">
        <v>34.79</v>
      </c>
      <c r="H61" s="96">
        <v>27.99</v>
      </c>
      <c r="I61" s="96">
        <v>0.09</v>
      </c>
      <c r="J61" s="95" t="s">
        <v>131</v>
      </c>
      <c r="K61" s="95" t="s">
        <v>129</v>
      </c>
      <c r="L61" s="95" t="s">
        <v>132</v>
      </c>
      <c r="M61" s="95">
        <v>331.2</v>
      </c>
    </row>
    <row r="62" spans="1:13" ht="15" customHeight="1" outlineLevel="1" x14ac:dyDescent="0.2">
      <c r="A62" s="93" t="s">
        <v>125</v>
      </c>
      <c r="B62" s="94">
        <v>44658</v>
      </c>
      <c r="C62" s="95">
        <v>5</v>
      </c>
      <c r="D62" s="95">
        <v>7583</v>
      </c>
      <c r="E62" s="96">
        <v>31</v>
      </c>
      <c r="F62" s="96">
        <v>6.41</v>
      </c>
      <c r="G62" s="96">
        <v>35.26</v>
      </c>
      <c r="H62" s="96">
        <v>27.34</v>
      </c>
      <c r="I62" s="96">
        <v>0.09</v>
      </c>
      <c r="J62" s="95" t="s">
        <v>131</v>
      </c>
      <c r="K62" s="95" t="s">
        <v>129</v>
      </c>
      <c r="L62" s="95" t="s">
        <v>132</v>
      </c>
      <c r="M62" s="95">
        <v>390.6</v>
      </c>
    </row>
    <row r="63" spans="1:13" ht="15" customHeight="1" outlineLevel="1" x14ac:dyDescent="0.2">
      <c r="A63" s="93" t="s">
        <v>125</v>
      </c>
      <c r="B63" s="94">
        <v>44659</v>
      </c>
      <c r="C63" s="95">
        <v>5</v>
      </c>
      <c r="D63" s="95">
        <v>7635</v>
      </c>
      <c r="E63" s="96">
        <v>30.87</v>
      </c>
      <c r="F63" s="96">
        <v>6.09</v>
      </c>
      <c r="G63" s="96">
        <v>35.04</v>
      </c>
      <c r="H63" s="96">
        <v>28.01</v>
      </c>
      <c r="I63" s="96">
        <v>0.09</v>
      </c>
      <c r="J63" s="95" t="s">
        <v>131</v>
      </c>
      <c r="K63" s="95" t="s">
        <v>129</v>
      </c>
      <c r="L63" s="95" t="s">
        <v>132</v>
      </c>
      <c r="M63" s="95">
        <v>446.25</v>
      </c>
    </row>
    <row r="64" spans="1:13" ht="15" customHeight="1" outlineLevel="1" x14ac:dyDescent="0.2">
      <c r="A64" s="93" t="s">
        <v>125</v>
      </c>
      <c r="B64" s="94">
        <v>44663</v>
      </c>
      <c r="C64" s="95">
        <v>15</v>
      </c>
      <c r="D64" s="95">
        <v>7647</v>
      </c>
      <c r="E64" s="96">
        <v>31</v>
      </c>
      <c r="F64" s="96">
        <v>5.98</v>
      </c>
      <c r="G64" s="96">
        <v>34.68</v>
      </c>
      <c r="H64" s="96">
        <v>28.35</v>
      </c>
      <c r="I64" s="96">
        <v>0.1</v>
      </c>
      <c r="J64" s="95" t="s">
        <v>131</v>
      </c>
      <c r="K64" s="95" t="s">
        <v>129</v>
      </c>
      <c r="L64" s="95" t="s">
        <v>132</v>
      </c>
      <c r="M64" s="95">
        <v>1371.05</v>
      </c>
    </row>
    <row r="65" spans="1:13" ht="15" customHeight="1" outlineLevel="1" x14ac:dyDescent="0.2">
      <c r="A65" s="93" t="s">
        <v>125</v>
      </c>
      <c r="B65" s="94">
        <v>44664</v>
      </c>
      <c r="C65" s="95">
        <v>15</v>
      </c>
      <c r="D65" s="95">
        <v>7621</v>
      </c>
      <c r="E65" s="96">
        <v>30.15</v>
      </c>
      <c r="F65" s="96">
        <v>7.2</v>
      </c>
      <c r="G65" s="96">
        <v>34.57</v>
      </c>
      <c r="H65" s="96">
        <v>28.09</v>
      </c>
      <c r="I65" s="96">
        <v>0.11</v>
      </c>
      <c r="J65" s="95" t="s">
        <v>131</v>
      </c>
      <c r="K65" s="95" t="s">
        <v>129</v>
      </c>
      <c r="L65" s="95" t="s">
        <v>132</v>
      </c>
      <c r="M65" s="95">
        <v>1402.05</v>
      </c>
    </row>
    <row r="66" spans="1:13" ht="15" customHeight="1" outlineLevel="1" x14ac:dyDescent="0.2">
      <c r="A66" s="93" t="s">
        <v>125</v>
      </c>
      <c r="B66" s="94">
        <v>44665</v>
      </c>
      <c r="C66" s="95">
        <v>15</v>
      </c>
      <c r="D66" s="95">
        <v>7657</v>
      </c>
      <c r="E66" s="96">
        <v>30.54</v>
      </c>
      <c r="F66" s="96">
        <v>6.68</v>
      </c>
      <c r="G66" s="96">
        <v>34.630000000000003</v>
      </c>
      <c r="H66" s="96">
        <v>28.16</v>
      </c>
      <c r="I66" s="96">
        <v>0.11</v>
      </c>
      <c r="J66" s="95" t="s">
        <v>131</v>
      </c>
      <c r="K66" s="95" t="s">
        <v>129</v>
      </c>
      <c r="L66" s="95" t="s">
        <v>132</v>
      </c>
      <c r="M66" s="95">
        <v>1410.35</v>
      </c>
    </row>
    <row r="67" spans="1:13" ht="15" customHeight="1" outlineLevel="1" x14ac:dyDescent="0.2">
      <c r="A67" s="93" t="s">
        <v>125</v>
      </c>
      <c r="B67" s="94">
        <v>44666</v>
      </c>
      <c r="C67" s="95">
        <v>15</v>
      </c>
      <c r="D67" s="95">
        <v>7548</v>
      </c>
      <c r="E67" s="96">
        <v>30.56</v>
      </c>
      <c r="F67" s="96">
        <v>7.12</v>
      </c>
      <c r="G67" s="96">
        <v>34.729999999999997</v>
      </c>
      <c r="H67" s="96">
        <v>27.6</v>
      </c>
      <c r="I67" s="96">
        <v>0.13</v>
      </c>
      <c r="J67" s="95" t="s">
        <v>131</v>
      </c>
      <c r="K67" s="95" t="s">
        <v>129</v>
      </c>
      <c r="L67" s="95" t="s">
        <v>132</v>
      </c>
      <c r="M67" s="95">
        <v>1435.95</v>
      </c>
    </row>
    <row r="68" spans="1:13" ht="15" customHeight="1" outlineLevel="1" x14ac:dyDescent="0.2">
      <c r="A68" s="93" t="s">
        <v>125</v>
      </c>
      <c r="B68" s="94">
        <v>44670</v>
      </c>
      <c r="C68" s="95">
        <v>13</v>
      </c>
      <c r="D68" s="95">
        <v>7572</v>
      </c>
      <c r="E68" s="96">
        <v>30.38</v>
      </c>
      <c r="F68" s="96">
        <v>7.2</v>
      </c>
      <c r="G68" s="96">
        <v>34.520000000000003</v>
      </c>
      <c r="H68" s="96">
        <v>27.9</v>
      </c>
      <c r="I68" s="96">
        <v>0.1</v>
      </c>
      <c r="J68" s="95" t="s">
        <v>131</v>
      </c>
      <c r="K68" s="95" t="s">
        <v>129</v>
      </c>
      <c r="L68" s="95" t="s">
        <v>132</v>
      </c>
      <c r="M68" s="95">
        <v>1208.8</v>
      </c>
    </row>
    <row r="69" spans="1:13" ht="15" customHeight="1" outlineLevel="1" x14ac:dyDescent="0.2">
      <c r="A69" s="93" t="s">
        <v>125</v>
      </c>
      <c r="B69" s="94">
        <v>44671</v>
      </c>
      <c r="C69" s="95">
        <v>12</v>
      </c>
      <c r="D69" s="95">
        <v>7713</v>
      </c>
      <c r="E69" s="96">
        <v>30.15</v>
      </c>
      <c r="F69" s="96">
        <v>6.06</v>
      </c>
      <c r="G69" s="96">
        <v>35.39</v>
      </c>
      <c r="H69" s="96">
        <v>28.4</v>
      </c>
      <c r="I69" s="96">
        <v>0.09</v>
      </c>
      <c r="J69" s="95" t="s">
        <v>131</v>
      </c>
      <c r="K69" s="95" t="s">
        <v>129</v>
      </c>
      <c r="L69" s="95" t="s">
        <v>132</v>
      </c>
      <c r="M69" s="95">
        <v>1092.9000000000001</v>
      </c>
    </row>
    <row r="70" spans="1:13" ht="15" customHeight="1" outlineLevel="1" x14ac:dyDescent="0.2">
      <c r="A70" s="93" t="s">
        <v>125</v>
      </c>
      <c r="B70" s="94">
        <v>44672</v>
      </c>
      <c r="C70" s="95">
        <v>13</v>
      </c>
      <c r="D70" s="95">
        <v>7656</v>
      </c>
      <c r="E70" s="96">
        <v>31.04</v>
      </c>
      <c r="F70" s="96">
        <v>6.01</v>
      </c>
      <c r="G70" s="96">
        <v>34.869999999999997</v>
      </c>
      <c r="H70" s="96">
        <v>28.09</v>
      </c>
      <c r="I70" s="96">
        <v>0.09</v>
      </c>
      <c r="J70" s="95" t="s">
        <v>131</v>
      </c>
      <c r="K70" s="95" t="s">
        <v>129</v>
      </c>
      <c r="L70" s="95" t="s">
        <v>132</v>
      </c>
      <c r="M70" s="95">
        <v>1228.5999999999999</v>
      </c>
    </row>
    <row r="71" spans="1:13" ht="15" customHeight="1" outlineLevel="1" x14ac:dyDescent="0.2">
      <c r="A71" s="93" t="s">
        <v>125</v>
      </c>
      <c r="B71" s="94">
        <v>44673</v>
      </c>
      <c r="C71" s="95">
        <v>12</v>
      </c>
      <c r="D71" s="95">
        <v>7605</v>
      </c>
      <c r="E71" s="96">
        <v>31.45</v>
      </c>
      <c r="F71" s="96">
        <v>5.77</v>
      </c>
      <c r="G71" s="96">
        <v>35.18</v>
      </c>
      <c r="H71" s="96">
        <v>27.61</v>
      </c>
      <c r="I71" s="96">
        <v>0.09</v>
      </c>
      <c r="J71" s="95" t="s">
        <v>131</v>
      </c>
      <c r="K71" s="95" t="s">
        <v>129</v>
      </c>
      <c r="L71" s="95" t="s">
        <v>132</v>
      </c>
      <c r="M71" s="95">
        <v>1131.95</v>
      </c>
    </row>
    <row r="72" spans="1:13" ht="15" customHeight="1" outlineLevel="1" x14ac:dyDescent="0.2">
      <c r="A72" s="93" t="s">
        <v>125</v>
      </c>
      <c r="B72" s="94">
        <v>44677</v>
      </c>
      <c r="C72" s="95">
        <v>12</v>
      </c>
      <c r="D72" s="95">
        <v>7541</v>
      </c>
      <c r="E72" s="96">
        <v>30.86</v>
      </c>
      <c r="F72" s="96">
        <v>7.35</v>
      </c>
      <c r="G72" s="96">
        <v>34.130000000000003</v>
      </c>
      <c r="H72" s="96">
        <v>27.67</v>
      </c>
      <c r="I72" s="96">
        <v>0.1</v>
      </c>
      <c r="J72" s="95" t="s">
        <v>131</v>
      </c>
      <c r="K72" s="95" t="s">
        <v>129</v>
      </c>
      <c r="L72" s="95" t="s">
        <v>132</v>
      </c>
      <c r="M72" s="95">
        <v>1140.5</v>
      </c>
    </row>
    <row r="73" spans="1:13" ht="15" customHeight="1" outlineLevel="1" x14ac:dyDescent="0.2">
      <c r="A73" s="93" t="s">
        <v>125</v>
      </c>
      <c r="B73" s="94">
        <v>44678</v>
      </c>
      <c r="C73" s="95">
        <v>12</v>
      </c>
      <c r="D73" s="95">
        <v>7493</v>
      </c>
      <c r="E73" s="96">
        <v>30.66</v>
      </c>
      <c r="F73" s="96">
        <v>7.77</v>
      </c>
      <c r="G73" s="96">
        <v>33.93</v>
      </c>
      <c r="H73" s="96">
        <v>27.65</v>
      </c>
      <c r="I73" s="96">
        <v>0.12</v>
      </c>
      <c r="J73" s="95" t="s">
        <v>131</v>
      </c>
      <c r="K73" s="95" t="s">
        <v>129</v>
      </c>
      <c r="L73" s="95" t="s">
        <v>132</v>
      </c>
      <c r="M73" s="95">
        <v>1132.4000000000001</v>
      </c>
    </row>
    <row r="74" spans="1:13" ht="15" customHeight="1" outlineLevel="1" x14ac:dyDescent="0.2">
      <c r="A74" s="93" t="s">
        <v>125</v>
      </c>
      <c r="B74" s="94">
        <v>44679</v>
      </c>
      <c r="C74" s="95">
        <v>10</v>
      </c>
      <c r="D74" s="95">
        <v>7468</v>
      </c>
      <c r="E74" s="96">
        <v>31.44</v>
      </c>
      <c r="F74" s="96">
        <v>7.12</v>
      </c>
      <c r="G74" s="96">
        <v>33.96</v>
      </c>
      <c r="H74" s="96">
        <v>27.49</v>
      </c>
      <c r="I74" s="96">
        <v>0.1</v>
      </c>
      <c r="J74" s="95" t="s">
        <v>131</v>
      </c>
      <c r="K74" s="95" t="s">
        <v>129</v>
      </c>
      <c r="L74" s="95" t="s">
        <v>132</v>
      </c>
      <c r="M74" s="95">
        <v>943.8</v>
      </c>
    </row>
    <row r="75" spans="1:13" ht="15" customHeight="1" outlineLevel="1" x14ac:dyDescent="0.2">
      <c r="A75" s="93" t="s">
        <v>125</v>
      </c>
      <c r="B75" s="94">
        <v>44680</v>
      </c>
      <c r="C75" s="95">
        <v>4</v>
      </c>
      <c r="D75" s="95">
        <v>7495</v>
      </c>
      <c r="E75" s="96">
        <v>32.17</v>
      </c>
      <c r="F75" s="96">
        <v>6.17</v>
      </c>
      <c r="G75" s="96">
        <v>33.950000000000003</v>
      </c>
      <c r="H75" s="96">
        <v>27.72</v>
      </c>
      <c r="I75" s="96">
        <v>0.11</v>
      </c>
      <c r="J75" s="95" t="s">
        <v>128</v>
      </c>
      <c r="K75" s="95" t="s">
        <v>129</v>
      </c>
      <c r="L75" s="95" t="s">
        <v>130</v>
      </c>
      <c r="M75" s="95">
        <v>357.5</v>
      </c>
    </row>
    <row r="76" spans="1:13" ht="15" customHeight="1" outlineLevel="1" x14ac:dyDescent="0.2">
      <c r="A76" s="93" t="s">
        <v>125</v>
      </c>
      <c r="B76" s="94">
        <v>44680</v>
      </c>
      <c r="C76" s="95">
        <v>5</v>
      </c>
      <c r="D76" s="95">
        <v>7233</v>
      </c>
      <c r="E76" s="96">
        <v>33.64</v>
      </c>
      <c r="F76" s="96">
        <v>6.33</v>
      </c>
      <c r="G76" s="96">
        <v>33.33</v>
      </c>
      <c r="H76" s="96">
        <v>26.7</v>
      </c>
      <c r="I76" s="96">
        <v>0.1</v>
      </c>
      <c r="J76" s="95" t="s">
        <v>128</v>
      </c>
      <c r="K76" s="95" t="s">
        <v>129</v>
      </c>
      <c r="L76" s="95" t="s">
        <v>130</v>
      </c>
      <c r="M76" s="95">
        <v>454.7</v>
      </c>
    </row>
    <row r="77" spans="1:13" ht="15" customHeight="1" outlineLevel="1" x14ac:dyDescent="0.2">
      <c r="A77" s="93" t="s">
        <v>125</v>
      </c>
      <c r="B77" s="94">
        <v>44680</v>
      </c>
      <c r="C77" s="95">
        <v>4</v>
      </c>
      <c r="D77" s="95">
        <v>7439</v>
      </c>
      <c r="E77" s="96">
        <v>31.92</v>
      </c>
      <c r="F77" s="96">
        <v>6.54</v>
      </c>
      <c r="G77" s="96">
        <v>33.94</v>
      </c>
      <c r="H77" s="96">
        <v>27.6</v>
      </c>
      <c r="I77" s="96">
        <v>0.12</v>
      </c>
      <c r="J77" s="95" t="s">
        <v>128</v>
      </c>
      <c r="K77" s="95" t="s">
        <v>129</v>
      </c>
      <c r="L77" s="95" t="s">
        <v>130</v>
      </c>
      <c r="M77" s="95">
        <v>364.55</v>
      </c>
    </row>
    <row r="78" spans="1:13" ht="15" customHeight="1" outlineLevel="1" x14ac:dyDescent="0.2">
      <c r="A78" s="93" t="s">
        <v>125</v>
      </c>
      <c r="B78" s="94">
        <v>44680</v>
      </c>
      <c r="C78" s="95">
        <v>6</v>
      </c>
      <c r="D78" s="95">
        <v>7636</v>
      </c>
      <c r="E78" s="96">
        <v>30.24</v>
      </c>
      <c r="F78" s="96">
        <v>6.94</v>
      </c>
      <c r="G78" s="96">
        <v>34.64</v>
      </c>
      <c r="H78" s="96">
        <v>28.19</v>
      </c>
      <c r="I78" s="96">
        <v>0.1</v>
      </c>
      <c r="J78" s="95" t="s">
        <v>131</v>
      </c>
      <c r="K78" s="95" t="s">
        <v>129</v>
      </c>
      <c r="L78" s="95" t="s">
        <v>132</v>
      </c>
      <c r="M78" s="95">
        <v>562.95000000000005</v>
      </c>
    </row>
    <row r="79" spans="1:13" ht="15" customHeight="1" outlineLevel="1" x14ac:dyDescent="0.2">
      <c r="A79" s="93" t="s">
        <v>125</v>
      </c>
      <c r="B79" s="94">
        <v>44684</v>
      </c>
      <c r="C79" s="95">
        <v>9</v>
      </c>
      <c r="D79" s="95">
        <v>7627</v>
      </c>
      <c r="E79" s="96">
        <v>29.95</v>
      </c>
      <c r="F79" s="96">
        <v>6.9</v>
      </c>
      <c r="G79" s="96">
        <v>34.99</v>
      </c>
      <c r="H79" s="96">
        <v>28.16</v>
      </c>
      <c r="I79" s="96">
        <v>0.1</v>
      </c>
      <c r="J79" s="95" t="s">
        <v>131</v>
      </c>
      <c r="K79" s="95" t="s">
        <v>129</v>
      </c>
      <c r="L79" s="95" t="s">
        <v>132</v>
      </c>
      <c r="M79" s="95">
        <v>846.05</v>
      </c>
    </row>
    <row r="80" spans="1:13" ht="15" customHeight="1" outlineLevel="1" x14ac:dyDescent="0.2">
      <c r="A80" s="93" t="s">
        <v>125</v>
      </c>
      <c r="B80" s="94">
        <v>44685</v>
      </c>
      <c r="C80" s="95">
        <v>9</v>
      </c>
      <c r="D80" s="95">
        <v>7592</v>
      </c>
      <c r="E80" s="96">
        <v>30.48</v>
      </c>
      <c r="F80" s="96">
        <v>6.82</v>
      </c>
      <c r="G80" s="96">
        <v>34.43</v>
      </c>
      <c r="H80" s="96">
        <v>28.27</v>
      </c>
      <c r="I80" s="96">
        <v>0.1</v>
      </c>
      <c r="J80" s="95" t="s">
        <v>131</v>
      </c>
      <c r="K80" s="95" t="s">
        <v>129</v>
      </c>
      <c r="L80" s="95" t="s">
        <v>132</v>
      </c>
      <c r="M80" s="95">
        <v>860.15</v>
      </c>
    </row>
    <row r="81" spans="1:13" ht="15" customHeight="1" outlineLevel="1" x14ac:dyDescent="0.2">
      <c r="A81" s="93" t="s">
        <v>125</v>
      </c>
      <c r="B81" s="94">
        <v>44686</v>
      </c>
      <c r="C81" s="95">
        <v>9</v>
      </c>
      <c r="D81" s="95">
        <v>7486</v>
      </c>
      <c r="E81" s="96">
        <v>31.83</v>
      </c>
      <c r="F81" s="96">
        <v>6.54</v>
      </c>
      <c r="G81" s="96">
        <v>34.19</v>
      </c>
      <c r="H81" s="96">
        <v>27.44</v>
      </c>
      <c r="I81" s="96">
        <v>0.1</v>
      </c>
      <c r="J81" s="95" t="s">
        <v>131</v>
      </c>
      <c r="K81" s="95" t="s">
        <v>129</v>
      </c>
      <c r="L81" s="95" t="s">
        <v>132</v>
      </c>
      <c r="M81" s="95">
        <v>858.9</v>
      </c>
    </row>
    <row r="82" spans="1:13" ht="15" customHeight="1" outlineLevel="1" x14ac:dyDescent="0.2">
      <c r="A82" s="93" t="s">
        <v>125</v>
      </c>
      <c r="B82" s="94">
        <v>44687</v>
      </c>
      <c r="C82" s="95">
        <v>9</v>
      </c>
      <c r="D82" s="95">
        <v>7548</v>
      </c>
      <c r="E82" s="96">
        <v>30.79</v>
      </c>
      <c r="F82" s="96">
        <v>7.12</v>
      </c>
      <c r="G82" s="96">
        <v>34.64</v>
      </c>
      <c r="H82" s="96">
        <v>27.45</v>
      </c>
      <c r="I82" s="96">
        <v>0.1</v>
      </c>
      <c r="J82" s="95" t="s">
        <v>131</v>
      </c>
      <c r="K82" s="95" t="s">
        <v>129</v>
      </c>
      <c r="L82" s="95" t="s">
        <v>132</v>
      </c>
      <c r="M82" s="95">
        <v>878.4</v>
      </c>
    </row>
    <row r="83" spans="1:13" ht="15" customHeight="1" outlineLevel="1" x14ac:dyDescent="0.2">
      <c r="A83" s="93" t="s">
        <v>125</v>
      </c>
      <c r="B83" s="94">
        <v>44691</v>
      </c>
      <c r="C83" s="95">
        <v>25</v>
      </c>
      <c r="D83" s="95">
        <v>7211</v>
      </c>
      <c r="E83" s="96">
        <v>31.34</v>
      </c>
      <c r="F83" s="96">
        <v>9.59</v>
      </c>
      <c r="G83" s="96">
        <v>32.92</v>
      </c>
      <c r="H83" s="96">
        <v>26.16</v>
      </c>
      <c r="I83" s="96">
        <v>0.13</v>
      </c>
      <c r="J83" s="95" t="s">
        <v>131</v>
      </c>
      <c r="K83" s="95" t="s">
        <v>129</v>
      </c>
      <c r="L83" s="95" t="s">
        <v>132</v>
      </c>
      <c r="M83" s="95">
        <v>2321.85</v>
      </c>
    </row>
    <row r="84" spans="1:13" ht="15" customHeight="1" outlineLevel="1" x14ac:dyDescent="0.2">
      <c r="A84" s="93" t="s">
        <v>125</v>
      </c>
      <c r="B84" s="94">
        <v>44693</v>
      </c>
      <c r="C84" s="95">
        <v>8</v>
      </c>
      <c r="D84" s="95">
        <v>7146</v>
      </c>
      <c r="E84" s="96">
        <v>31.33</v>
      </c>
      <c r="F84" s="96">
        <v>9.61</v>
      </c>
      <c r="G84" s="96">
        <v>33.119999999999997</v>
      </c>
      <c r="H84" s="96">
        <v>25.94</v>
      </c>
      <c r="I84" s="96">
        <v>0.11</v>
      </c>
      <c r="J84" s="95" t="s">
        <v>131</v>
      </c>
      <c r="K84" s="95" t="s">
        <v>129</v>
      </c>
      <c r="L84" s="95" t="s">
        <v>132</v>
      </c>
      <c r="M84" s="95">
        <v>740.4</v>
      </c>
    </row>
    <row r="85" spans="1:13" ht="15" customHeight="1" outlineLevel="1" x14ac:dyDescent="0.2">
      <c r="A85" s="93" t="s">
        <v>125</v>
      </c>
      <c r="B85" s="94">
        <v>44697</v>
      </c>
      <c r="C85" s="95">
        <v>4</v>
      </c>
      <c r="D85" s="95">
        <v>6819</v>
      </c>
      <c r="E85" s="96">
        <v>33.93</v>
      </c>
      <c r="F85" s="96">
        <v>9.51</v>
      </c>
      <c r="G85" s="96">
        <v>31.36</v>
      </c>
      <c r="H85" s="96">
        <v>25.21</v>
      </c>
      <c r="I85" s="96">
        <v>0.13</v>
      </c>
      <c r="J85" s="95" t="s">
        <v>131</v>
      </c>
      <c r="K85" s="95" t="s">
        <v>129</v>
      </c>
      <c r="L85" s="95" t="s">
        <v>132</v>
      </c>
      <c r="M85" s="95">
        <v>401.75</v>
      </c>
    </row>
    <row r="86" spans="1:13" ht="15" customHeight="1" outlineLevel="1" x14ac:dyDescent="0.2">
      <c r="A86" s="93" t="s">
        <v>125</v>
      </c>
      <c r="B86" s="94">
        <v>44700</v>
      </c>
      <c r="C86" s="95">
        <v>6</v>
      </c>
      <c r="D86" s="95">
        <v>7324</v>
      </c>
      <c r="E86" s="96">
        <v>32.119999999999997</v>
      </c>
      <c r="F86" s="96">
        <v>7.41</v>
      </c>
      <c r="G86" s="96">
        <v>33.549999999999997</v>
      </c>
      <c r="H86" s="96">
        <v>26.93</v>
      </c>
      <c r="I86" s="96">
        <v>0.09</v>
      </c>
      <c r="J86" s="95" t="s">
        <v>133</v>
      </c>
      <c r="K86" s="91"/>
      <c r="L86" s="95" t="s">
        <v>130</v>
      </c>
      <c r="M86" s="95">
        <v>550.9</v>
      </c>
    </row>
    <row r="87" spans="1:13" ht="15" customHeight="1" outlineLevel="1" x14ac:dyDescent="0.2">
      <c r="A87" s="93" t="s">
        <v>125</v>
      </c>
      <c r="B87" s="94">
        <v>44704</v>
      </c>
      <c r="C87" s="95">
        <v>18</v>
      </c>
      <c r="D87" s="95">
        <v>7537</v>
      </c>
      <c r="E87" s="96">
        <v>31.3</v>
      </c>
      <c r="F87" s="96">
        <v>6.16</v>
      </c>
      <c r="G87" s="96">
        <v>34.85</v>
      </c>
      <c r="H87" s="96">
        <v>27.69</v>
      </c>
      <c r="I87" s="96">
        <v>0.09</v>
      </c>
      <c r="J87" s="95" t="s">
        <v>133</v>
      </c>
      <c r="K87" s="91"/>
      <c r="L87" s="95" t="s">
        <v>130</v>
      </c>
      <c r="M87" s="95">
        <v>1607</v>
      </c>
    </row>
    <row r="88" spans="1:13" ht="15" customHeight="1" outlineLevel="1" x14ac:dyDescent="0.2">
      <c r="A88" s="93" t="s">
        <v>125</v>
      </c>
      <c r="B88" s="94">
        <v>44706</v>
      </c>
      <c r="C88" s="95">
        <v>17</v>
      </c>
      <c r="D88" s="95">
        <v>7543</v>
      </c>
      <c r="E88" s="96">
        <v>31.08</v>
      </c>
      <c r="F88" s="96">
        <v>6.69</v>
      </c>
      <c r="G88" s="96">
        <v>34.54</v>
      </c>
      <c r="H88" s="96">
        <v>27.7</v>
      </c>
      <c r="I88" s="96">
        <v>0.08</v>
      </c>
      <c r="J88" s="95" t="s">
        <v>133</v>
      </c>
      <c r="K88" s="91"/>
      <c r="L88" s="95" t="s">
        <v>130</v>
      </c>
      <c r="M88" s="95">
        <v>1537.05</v>
      </c>
    </row>
    <row r="89" spans="1:13" ht="15" customHeight="1" outlineLevel="1" x14ac:dyDescent="0.2">
      <c r="A89" s="93" t="s">
        <v>125</v>
      </c>
      <c r="B89" s="94">
        <v>44707</v>
      </c>
      <c r="C89" s="95">
        <v>13</v>
      </c>
      <c r="D89" s="95">
        <v>7483</v>
      </c>
      <c r="E89" s="96">
        <v>31.17</v>
      </c>
      <c r="F89" s="96">
        <v>7.05</v>
      </c>
      <c r="G89" s="96">
        <v>35.04</v>
      </c>
      <c r="H89" s="96">
        <v>26.75</v>
      </c>
      <c r="I89" s="96">
        <v>0.09</v>
      </c>
      <c r="J89" s="95" t="s">
        <v>133</v>
      </c>
      <c r="K89" s="91"/>
      <c r="L89" s="95" t="s">
        <v>130</v>
      </c>
      <c r="M89" s="95">
        <v>1208.8</v>
      </c>
    </row>
    <row r="90" spans="1:13" ht="15" customHeight="1" outlineLevel="1" x14ac:dyDescent="0.2">
      <c r="A90" s="93" t="s">
        <v>125</v>
      </c>
      <c r="B90" s="94">
        <v>44712</v>
      </c>
      <c r="C90" s="95">
        <v>17</v>
      </c>
      <c r="D90" s="95">
        <v>7454</v>
      </c>
      <c r="E90" s="96">
        <v>31.52</v>
      </c>
      <c r="F90" s="96">
        <v>6.66</v>
      </c>
      <c r="G90" s="96">
        <v>34.729999999999997</v>
      </c>
      <c r="H90" s="96">
        <v>27.09</v>
      </c>
      <c r="I90" s="96">
        <v>0.09</v>
      </c>
      <c r="J90" s="95" t="s">
        <v>133</v>
      </c>
      <c r="K90" s="91"/>
      <c r="L90" s="95" t="s">
        <v>134</v>
      </c>
      <c r="M90" s="95">
        <v>1602.4</v>
      </c>
    </row>
    <row r="91" spans="1:13" ht="15" customHeight="1" outlineLevel="1" x14ac:dyDescent="0.2">
      <c r="A91" s="93" t="s">
        <v>125</v>
      </c>
      <c r="B91" s="94">
        <v>44713</v>
      </c>
      <c r="C91" s="95">
        <v>17</v>
      </c>
      <c r="D91" s="95">
        <v>7594</v>
      </c>
      <c r="E91" s="96">
        <v>32.01</v>
      </c>
      <c r="F91" s="96">
        <v>5.24</v>
      </c>
      <c r="G91" s="96">
        <v>34.99</v>
      </c>
      <c r="H91" s="96">
        <v>27.75</v>
      </c>
      <c r="I91" s="96">
        <v>0.08</v>
      </c>
      <c r="J91" s="95" t="s">
        <v>133</v>
      </c>
      <c r="K91" s="91"/>
      <c r="L91" s="95" t="s">
        <v>130</v>
      </c>
      <c r="M91" s="95">
        <v>1579.7</v>
      </c>
    </row>
    <row r="92" spans="1:13" ht="15" customHeight="1" outlineLevel="1" x14ac:dyDescent="0.2">
      <c r="A92" s="93" t="s">
        <v>125</v>
      </c>
      <c r="B92" s="94">
        <v>44714</v>
      </c>
      <c r="C92" s="95">
        <v>14</v>
      </c>
      <c r="D92" s="95">
        <v>7613</v>
      </c>
      <c r="E92" s="96">
        <v>31.51</v>
      </c>
      <c r="F92" s="96">
        <v>5.43</v>
      </c>
      <c r="G92" s="96">
        <v>35.22</v>
      </c>
      <c r="H92" s="96">
        <v>27.85</v>
      </c>
      <c r="I92" s="96">
        <v>7.0000000000000007E-2</v>
      </c>
      <c r="J92" s="95" t="s">
        <v>133</v>
      </c>
      <c r="K92" s="91"/>
      <c r="L92" s="95" t="s">
        <v>130</v>
      </c>
      <c r="M92" s="95">
        <v>1245.3499999999999</v>
      </c>
    </row>
    <row r="93" spans="1:13" ht="15" customHeight="1" outlineLevel="1" x14ac:dyDescent="0.2">
      <c r="A93" s="93" t="s">
        <v>125</v>
      </c>
      <c r="B93" s="94">
        <v>44715</v>
      </c>
      <c r="C93" s="95">
        <v>9</v>
      </c>
      <c r="D93" s="95">
        <v>7695</v>
      </c>
      <c r="E93" s="96">
        <v>31.14</v>
      </c>
      <c r="F93" s="96">
        <v>5.25</v>
      </c>
      <c r="G93" s="96">
        <v>35.57</v>
      </c>
      <c r="H93" s="96">
        <v>28.05</v>
      </c>
      <c r="I93" s="96">
        <v>7.0000000000000007E-2</v>
      </c>
      <c r="J93" s="95" t="s">
        <v>133</v>
      </c>
      <c r="K93" s="91"/>
      <c r="L93" s="95" t="s">
        <v>130</v>
      </c>
      <c r="M93" s="95">
        <v>821.8</v>
      </c>
    </row>
    <row r="94" spans="1:13" ht="15" customHeight="1" outlineLevel="1" x14ac:dyDescent="0.2">
      <c r="A94" s="93" t="s">
        <v>125</v>
      </c>
      <c r="B94" s="94">
        <v>44718</v>
      </c>
      <c r="C94" s="95">
        <v>11</v>
      </c>
      <c r="D94" s="95">
        <v>7652</v>
      </c>
      <c r="E94" s="96">
        <v>31.47</v>
      </c>
      <c r="F94" s="96">
        <v>5.45</v>
      </c>
      <c r="G94" s="96">
        <v>35.24</v>
      </c>
      <c r="H94" s="96">
        <v>27.84</v>
      </c>
      <c r="I94" s="96">
        <v>0.08</v>
      </c>
      <c r="J94" s="95" t="s">
        <v>133</v>
      </c>
      <c r="K94" s="91"/>
      <c r="L94" s="95" t="s">
        <v>130</v>
      </c>
      <c r="M94" s="95">
        <v>1019.8</v>
      </c>
    </row>
    <row r="95" spans="1:13" ht="15" customHeight="1" outlineLevel="1" x14ac:dyDescent="0.2">
      <c r="A95" s="93" t="s">
        <v>125</v>
      </c>
      <c r="B95" s="94">
        <v>44719</v>
      </c>
      <c r="C95" s="95">
        <v>12</v>
      </c>
      <c r="D95" s="95">
        <v>7552</v>
      </c>
      <c r="E95" s="96">
        <v>31.34</v>
      </c>
      <c r="F95" s="96">
        <v>6.18</v>
      </c>
      <c r="G95" s="96">
        <v>34.880000000000003</v>
      </c>
      <c r="H95" s="96">
        <v>27.61</v>
      </c>
      <c r="I95" s="96">
        <v>0.08</v>
      </c>
      <c r="J95" s="95" t="s">
        <v>133</v>
      </c>
      <c r="K95" s="91"/>
      <c r="L95" s="95" t="s">
        <v>130</v>
      </c>
      <c r="M95" s="95">
        <v>1129.25</v>
      </c>
    </row>
    <row r="96" spans="1:13" ht="15" customHeight="1" outlineLevel="1" x14ac:dyDescent="0.2">
      <c r="A96" s="93" t="s">
        <v>125</v>
      </c>
      <c r="B96" s="94">
        <v>44721</v>
      </c>
      <c r="C96" s="95">
        <v>11</v>
      </c>
      <c r="D96" s="95">
        <v>7000</v>
      </c>
      <c r="E96" s="96">
        <v>32.01</v>
      </c>
      <c r="F96" s="96">
        <v>10.81</v>
      </c>
      <c r="G96" s="96">
        <v>32.42</v>
      </c>
      <c r="H96" s="96">
        <v>24.76</v>
      </c>
      <c r="I96" s="96">
        <v>0.13</v>
      </c>
      <c r="J96" s="95" t="s">
        <v>133</v>
      </c>
      <c r="K96" s="91"/>
      <c r="L96" s="95" t="s">
        <v>130</v>
      </c>
      <c r="M96" s="95">
        <v>1045.5999999999999</v>
      </c>
    </row>
    <row r="97" spans="1:13" ht="15" customHeight="1" outlineLevel="1" x14ac:dyDescent="0.2">
      <c r="A97" s="93" t="s">
        <v>125</v>
      </c>
      <c r="B97" s="94">
        <v>44722</v>
      </c>
      <c r="C97" s="95">
        <v>12</v>
      </c>
      <c r="D97" s="95">
        <v>7416</v>
      </c>
      <c r="E97" s="96">
        <v>31.67</v>
      </c>
      <c r="F97" s="96">
        <v>6.93</v>
      </c>
      <c r="G97" s="96">
        <v>34.36</v>
      </c>
      <c r="H97" s="96">
        <v>27.05</v>
      </c>
      <c r="I97" s="96">
        <v>0.1</v>
      </c>
      <c r="J97" s="95" t="s">
        <v>133</v>
      </c>
      <c r="K97" s="91"/>
      <c r="L97" s="95" t="s">
        <v>130</v>
      </c>
      <c r="M97" s="95">
        <v>1120.9000000000001</v>
      </c>
    </row>
    <row r="98" spans="1:13" ht="15" customHeight="1" outlineLevel="1" x14ac:dyDescent="0.2">
      <c r="A98" s="93" t="s">
        <v>125</v>
      </c>
      <c r="B98" s="94">
        <v>44732</v>
      </c>
      <c r="C98" s="95">
        <v>4</v>
      </c>
      <c r="D98" s="95">
        <v>7628</v>
      </c>
      <c r="E98" s="96">
        <v>31.21</v>
      </c>
      <c r="F98" s="96">
        <v>6.07</v>
      </c>
      <c r="G98" s="96">
        <v>35.68</v>
      </c>
      <c r="H98" s="96">
        <v>27.03</v>
      </c>
      <c r="I98" s="96">
        <v>0.1</v>
      </c>
      <c r="J98" s="95" t="s">
        <v>133</v>
      </c>
      <c r="K98" s="91"/>
      <c r="L98" s="95" t="s">
        <v>130</v>
      </c>
      <c r="M98" s="95">
        <v>374.6</v>
      </c>
    </row>
    <row r="99" spans="1:13" ht="15" customHeight="1" outlineLevel="1" x14ac:dyDescent="0.2">
      <c r="A99" s="93" t="s">
        <v>125</v>
      </c>
      <c r="B99" s="94">
        <v>44733</v>
      </c>
      <c r="C99" s="95">
        <v>5</v>
      </c>
      <c r="D99" s="95">
        <v>7488</v>
      </c>
      <c r="E99" s="96">
        <v>31.72</v>
      </c>
      <c r="F99" s="96">
        <v>6.23</v>
      </c>
      <c r="G99" s="96">
        <v>34.64</v>
      </c>
      <c r="H99" s="96">
        <v>27.41</v>
      </c>
      <c r="I99" s="96">
        <v>0.12</v>
      </c>
      <c r="J99" s="95" t="s">
        <v>133</v>
      </c>
      <c r="K99" s="91"/>
      <c r="L99" s="95" t="s">
        <v>130</v>
      </c>
      <c r="M99" s="95">
        <v>444.7</v>
      </c>
    </row>
    <row r="100" spans="1:13" ht="15" customHeight="1" outlineLevel="1" x14ac:dyDescent="0.2">
      <c r="A100" s="93" t="s">
        <v>125</v>
      </c>
      <c r="B100" s="94">
        <v>44735</v>
      </c>
      <c r="C100" s="95">
        <v>4</v>
      </c>
      <c r="D100" s="95">
        <v>7652</v>
      </c>
      <c r="E100" s="96">
        <v>31.98</v>
      </c>
      <c r="F100" s="96">
        <v>5.15</v>
      </c>
      <c r="G100" s="96">
        <v>35.25</v>
      </c>
      <c r="H100" s="96">
        <v>27.63</v>
      </c>
      <c r="I100" s="96">
        <v>0.09</v>
      </c>
      <c r="J100" s="95" t="s">
        <v>133</v>
      </c>
      <c r="K100" s="91"/>
      <c r="L100" s="95" t="s">
        <v>130</v>
      </c>
      <c r="M100" s="95">
        <v>377.85</v>
      </c>
    </row>
    <row r="101" spans="1:13" ht="15" customHeight="1" outlineLevel="1" x14ac:dyDescent="0.2">
      <c r="A101" s="93" t="s">
        <v>125</v>
      </c>
      <c r="B101" s="94">
        <v>44736</v>
      </c>
      <c r="C101" s="95">
        <v>7</v>
      </c>
      <c r="D101" s="95">
        <v>7623</v>
      </c>
      <c r="E101" s="96">
        <v>30.92</v>
      </c>
      <c r="F101" s="96">
        <v>5.86</v>
      </c>
      <c r="G101" s="96">
        <v>35.29</v>
      </c>
      <c r="H101" s="96">
        <v>27.92</v>
      </c>
      <c r="I101" s="96">
        <v>0.1</v>
      </c>
      <c r="J101" s="95" t="s">
        <v>133</v>
      </c>
      <c r="K101" s="91"/>
      <c r="L101" s="95" t="s">
        <v>130</v>
      </c>
      <c r="M101" s="95">
        <v>659.15</v>
      </c>
    </row>
    <row r="102" spans="1:13" ht="15" customHeight="1" outlineLevel="1" x14ac:dyDescent="0.2">
      <c r="A102" s="93" t="s">
        <v>125</v>
      </c>
      <c r="B102" s="94">
        <v>44739</v>
      </c>
      <c r="C102" s="95">
        <v>14</v>
      </c>
      <c r="D102" s="95">
        <v>7680</v>
      </c>
      <c r="E102" s="96">
        <v>30.93</v>
      </c>
      <c r="F102" s="96">
        <v>5.6</v>
      </c>
      <c r="G102" s="96">
        <v>35.630000000000003</v>
      </c>
      <c r="H102" s="96">
        <v>27.84</v>
      </c>
      <c r="I102" s="96">
        <v>0.1</v>
      </c>
      <c r="J102" s="95" t="s">
        <v>133</v>
      </c>
      <c r="K102" s="91"/>
      <c r="L102" s="95" t="s">
        <v>130</v>
      </c>
      <c r="M102" s="95">
        <v>1327</v>
      </c>
    </row>
    <row r="103" spans="1:13" ht="15" customHeight="1" outlineLevel="1" x14ac:dyDescent="0.2">
      <c r="A103" s="93" t="s">
        <v>125</v>
      </c>
      <c r="B103" s="94">
        <v>44740</v>
      </c>
      <c r="C103" s="95">
        <v>14</v>
      </c>
      <c r="D103" s="95">
        <v>7584</v>
      </c>
      <c r="E103" s="96">
        <v>30.87</v>
      </c>
      <c r="F103" s="96">
        <v>6.3</v>
      </c>
      <c r="G103" s="96">
        <v>34.880000000000003</v>
      </c>
      <c r="H103" s="96">
        <v>27.96</v>
      </c>
      <c r="I103" s="96">
        <v>0.11</v>
      </c>
      <c r="J103" s="95" t="s">
        <v>133</v>
      </c>
      <c r="K103" s="91"/>
      <c r="L103" s="95" t="s">
        <v>130</v>
      </c>
      <c r="M103" s="95">
        <v>1333.5</v>
      </c>
    </row>
    <row r="104" spans="1:13" ht="15" customHeight="1" outlineLevel="1" x14ac:dyDescent="0.2">
      <c r="A104" s="93" t="s">
        <v>125</v>
      </c>
      <c r="B104" s="94">
        <v>44742</v>
      </c>
      <c r="C104" s="95">
        <v>14</v>
      </c>
      <c r="D104" s="95">
        <v>7480</v>
      </c>
      <c r="E104" s="96">
        <v>32.090000000000003</v>
      </c>
      <c r="F104" s="96">
        <v>6.34</v>
      </c>
      <c r="G104" s="96">
        <v>34.450000000000003</v>
      </c>
      <c r="H104" s="96">
        <v>27.13</v>
      </c>
      <c r="I104" s="96">
        <v>0.1</v>
      </c>
      <c r="J104" s="95" t="s">
        <v>133</v>
      </c>
      <c r="K104" s="91"/>
      <c r="L104" s="95" t="s">
        <v>130</v>
      </c>
      <c r="M104" s="95">
        <v>1316</v>
      </c>
    </row>
    <row r="105" spans="1:13" ht="15" customHeight="1" outlineLevel="1" x14ac:dyDescent="0.2">
      <c r="A105" s="93" t="s">
        <v>125</v>
      </c>
      <c r="B105" s="94">
        <v>44743</v>
      </c>
      <c r="C105" s="95">
        <v>13</v>
      </c>
      <c r="D105" s="95">
        <v>7199</v>
      </c>
      <c r="E105" s="96">
        <v>32.369999999999997</v>
      </c>
      <c r="F105" s="96">
        <v>8.34</v>
      </c>
      <c r="G105" s="96">
        <v>33.5</v>
      </c>
      <c r="H105" s="96">
        <v>25.79</v>
      </c>
      <c r="I105" s="96">
        <v>0.14000000000000001</v>
      </c>
      <c r="J105" s="95" t="s">
        <v>133</v>
      </c>
      <c r="K105" s="91"/>
      <c r="L105" s="95" t="s">
        <v>130</v>
      </c>
      <c r="M105" s="95">
        <v>1260</v>
      </c>
    </row>
    <row r="106" spans="1:13" ht="15" customHeight="1" outlineLevel="1" x14ac:dyDescent="0.2">
      <c r="A106" s="93" t="s">
        <v>125</v>
      </c>
      <c r="B106" s="94">
        <v>44747</v>
      </c>
      <c r="C106" s="95">
        <v>11</v>
      </c>
      <c r="D106" s="95">
        <v>7518</v>
      </c>
      <c r="E106" s="96">
        <v>31.44</v>
      </c>
      <c r="F106" s="96">
        <v>6.77</v>
      </c>
      <c r="G106" s="96">
        <v>35.06</v>
      </c>
      <c r="H106" s="96">
        <v>26.73</v>
      </c>
      <c r="I106" s="96">
        <v>0.13</v>
      </c>
      <c r="J106" s="95" t="s">
        <v>133</v>
      </c>
      <c r="K106" s="91"/>
      <c r="L106" s="95" t="s">
        <v>130</v>
      </c>
      <c r="M106" s="95">
        <v>1023.35</v>
      </c>
    </row>
    <row r="107" spans="1:13" ht="15" customHeight="1" outlineLevel="1" x14ac:dyDescent="0.2">
      <c r="A107" s="93" t="s">
        <v>125</v>
      </c>
      <c r="B107" s="94">
        <v>44748</v>
      </c>
      <c r="C107" s="95">
        <v>8</v>
      </c>
      <c r="D107" s="95">
        <v>7581</v>
      </c>
      <c r="E107" s="96">
        <v>31.46</v>
      </c>
      <c r="F107" s="96">
        <v>6.08</v>
      </c>
      <c r="G107" s="96">
        <v>35</v>
      </c>
      <c r="H107" s="96">
        <v>27.46</v>
      </c>
      <c r="I107" s="96">
        <v>0.12</v>
      </c>
      <c r="J107" s="95" t="s">
        <v>133</v>
      </c>
      <c r="K107" s="91"/>
      <c r="L107" s="95" t="s">
        <v>130</v>
      </c>
      <c r="M107" s="95">
        <v>711.65</v>
      </c>
    </row>
    <row r="108" spans="1:13" ht="15" customHeight="1" outlineLevel="1" x14ac:dyDescent="0.2">
      <c r="A108" s="93" t="s">
        <v>125</v>
      </c>
      <c r="B108" s="94">
        <v>44749</v>
      </c>
      <c r="C108" s="95">
        <v>14</v>
      </c>
      <c r="D108" s="95">
        <v>7581</v>
      </c>
      <c r="E108" s="96">
        <v>31.51</v>
      </c>
      <c r="F108" s="96">
        <v>6.05</v>
      </c>
      <c r="G108" s="96">
        <v>35.03</v>
      </c>
      <c r="H108" s="96">
        <v>27.41</v>
      </c>
      <c r="I108" s="96">
        <v>0.12</v>
      </c>
      <c r="J108" s="95" t="s">
        <v>133</v>
      </c>
      <c r="K108" s="91"/>
      <c r="L108" s="95" t="s">
        <v>130</v>
      </c>
      <c r="M108" s="95">
        <v>1281.7</v>
      </c>
    </row>
    <row r="109" spans="1:13" ht="15" customHeight="1" outlineLevel="1" x14ac:dyDescent="0.2">
      <c r="A109" s="93" t="s">
        <v>125</v>
      </c>
      <c r="B109" s="94">
        <v>44750</v>
      </c>
      <c r="C109" s="95">
        <v>11</v>
      </c>
      <c r="D109" s="95">
        <v>7727</v>
      </c>
      <c r="E109" s="96">
        <v>30.79</v>
      </c>
      <c r="F109" s="96">
        <v>5.65</v>
      </c>
      <c r="G109" s="96">
        <v>35.979999999999997</v>
      </c>
      <c r="H109" s="96">
        <v>27.59</v>
      </c>
      <c r="I109" s="96">
        <v>0.12</v>
      </c>
      <c r="J109" s="95" t="s">
        <v>133</v>
      </c>
      <c r="K109" s="91"/>
      <c r="L109" s="95" t="s">
        <v>130</v>
      </c>
      <c r="M109" s="95">
        <v>1006.05</v>
      </c>
    </row>
    <row r="110" spans="1:13" ht="15" customHeight="1" outlineLevel="1" x14ac:dyDescent="0.2">
      <c r="A110" s="93" t="s">
        <v>125</v>
      </c>
      <c r="B110" s="94">
        <v>44753</v>
      </c>
      <c r="C110" s="95">
        <v>12</v>
      </c>
      <c r="D110" s="95">
        <v>7644</v>
      </c>
      <c r="E110" s="96">
        <v>30.96</v>
      </c>
      <c r="F110" s="96">
        <v>6.17</v>
      </c>
      <c r="G110" s="96">
        <v>35.43</v>
      </c>
      <c r="H110" s="96">
        <v>27.46</v>
      </c>
      <c r="I110" s="96">
        <v>0.12</v>
      </c>
      <c r="J110" s="95" t="s">
        <v>133</v>
      </c>
      <c r="K110" s="91"/>
      <c r="L110" s="95" t="s">
        <v>130</v>
      </c>
      <c r="M110" s="95">
        <v>1097.95</v>
      </c>
    </row>
    <row r="111" spans="1:13" ht="15" customHeight="1" outlineLevel="1" x14ac:dyDescent="0.2">
      <c r="A111" s="93" t="s">
        <v>125</v>
      </c>
      <c r="B111" s="94">
        <v>44754</v>
      </c>
      <c r="C111" s="95">
        <v>11</v>
      </c>
      <c r="D111" s="95">
        <v>7449</v>
      </c>
      <c r="E111" s="96">
        <v>31.29</v>
      </c>
      <c r="F111" s="96">
        <v>7.26</v>
      </c>
      <c r="G111" s="96">
        <v>34.22</v>
      </c>
      <c r="H111" s="96">
        <v>27.24</v>
      </c>
      <c r="I111" s="96">
        <v>0.14000000000000001</v>
      </c>
      <c r="J111" s="95" t="s">
        <v>133</v>
      </c>
      <c r="K111" s="91"/>
      <c r="L111" s="95" t="s">
        <v>130</v>
      </c>
      <c r="M111" s="95">
        <v>1027.95</v>
      </c>
    </row>
    <row r="112" spans="1:13" ht="15" customHeight="1" outlineLevel="1" x14ac:dyDescent="0.2">
      <c r="A112" s="93" t="s">
        <v>125</v>
      </c>
      <c r="B112" s="94">
        <v>44756</v>
      </c>
      <c r="C112" s="95">
        <v>12</v>
      </c>
      <c r="D112" s="95">
        <v>7658</v>
      </c>
      <c r="E112" s="96">
        <v>29.29</v>
      </c>
      <c r="F112" s="96">
        <v>6.75</v>
      </c>
      <c r="G112" s="96">
        <v>35.89</v>
      </c>
      <c r="H112" s="96">
        <v>28.07</v>
      </c>
      <c r="I112" s="96">
        <v>0.13</v>
      </c>
      <c r="J112" s="95" t="s">
        <v>131</v>
      </c>
      <c r="K112" s="95" t="s">
        <v>129</v>
      </c>
      <c r="L112" s="95" t="s">
        <v>132</v>
      </c>
      <c r="M112" s="95">
        <v>1096.2</v>
      </c>
    </row>
    <row r="113" spans="1:13" ht="15" customHeight="1" outlineLevel="1" x14ac:dyDescent="0.2">
      <c r="A113" s="93" t="s">
        <v>125</v>
      </c>
      <c r="B113" s="94">
        <v>44757</v>
      </c>
      <c r="C113" s="95">
        <v>11</v>
      </c>
      <c r="D113" s="95">
        <v>7213</v>
      </c>
      <c r="E113" s="96">
        <v>33.049999999999997</v>
      </c>
      <c r="F113" s="96">
        <v>7.32</v>
      </c>
      <c r="G113" s="96">
        <v>33.43</v>
      </c>
      <c r="H113" s="96">
        <v>26.2</v>
      </c>
      <c r="I113" s="96">
        <v>0.11</v>
      </c>
      <c r="J113" s="95" t="s">
        <v>133</v>
      </c>
      <c r="K113" s="91"/>
      <c r="L113" s="95" t="s">
        <v>130</v>
      </c>
      <c r="M113" s="95">
        <v>1032.2</v>
      </c>
    </row>
    <row r="114" spans="1:13" ht="15" customHeight="1" outlineLevel="1" x14ac:dyDescent="0.2">
      <c r="A114" s="93" t="s">
        <v>125</v>
      </c>
      <c r="B114" s="94">
        <v>44760</v>
      </c>
      <c r="C114" s="95">
        <v>10</v>
      </c>
      <c r="D114" s="95">
        <v>7568</v>
      </c>
      <c r="E114" s="96">
        <v>31.61</v>
      </c>
      <c r="F114" s="96">
        <v>5.58</v>
      </c>
      <c r="G114" s="96">
        <v>34.99</v>
      </c>
      <c r="H114" s="96">
        <v>27.82</v>
      </c>
      <c r="I114" s="96">
        <v>0.12</v>
      </c>
      <c r="J114" s="95" t="s">
        <v>133</v>
      </c>
      <c r="K114" s="91"/>
      <c r="L114" s="95" t="s">
        <v>130</v>
      </c>
      <c r="M114" s="95">
        <v>927</v>
      </c>
    </row>
    <row r="115" spans="1:13" ht="15" customHeight="1" outlineLevel="1" x14ac:dyDescent="0.2">
      <c r="A115" s="93" t="s">
        <v>125</v>
      </c>
      <c r="B115" s="94">
        <v>44761</v>
      </c>
      <c r="C115" s="95">
        <v>10</v>
      </c>
      <c r="D115" s="95">
        <v>7534</v>
      </c>
      <c r="E115" s="96">
        <v>31.67</v>
      </c>
      <c r="F115" s="96">
        <v>6.17</v>
      </c>
      <c r="G115" s="96">
        <v>34.72</v>
      </c>
      <c r="H115" s="96">
        <v>27.45</v>
      </c>
      <c r="I115" s="96">
        <v>0.12</v>
      </c>
      <c r="J115" s="95" t="s">
        <v>133</v>
      </c>
      <c r="K115" s="91"/>
      <c r="L115" s="95" t="s">
        <v>130</v>
      </c>
      <c r="M115" s="95">
        <v>935.75</v>
      </c>
    </row>
    <row r="116" spans="1:13" ht="15" customHeight="1" outlineLevel="1" x14ac:dyDescent="0.2">
      <c r="A116" s="93" t="s">
        <v>125</v>
      </c>
      <c r="B116" s="94">
        <v>44763</v>
      </c>
      <c r="C116" s="95">
        <v>10</v>
      </c>
      <c r="D116" s="95">
        <v>7534</v>
      </c>
      <c r="E116" s="96">
        <v>31.54</v>
      </c>
      <c r="F116" s="96">
        <v>6.21</v>
      </c>
      <c r="G116" s="96">
        <v>35.130000000000003</v>
      </c>
      <c r="H116" s="96">
        <v>27.12</v>
      </c>
      <c r="I116" s="96">
        <v>0.12</v>
      </c>
      <c r="J116" s="95" t="s">
        <v>133</v>
      </c>
      <c r="K116" s="91"/>
      <c r="L116" s="95" t="s">
        <v>130</v>
      </c>
      <c r="M116" s="95">
        <v>976.5</v>
      </c>
    </row>
    <row r="117" spans="1:13" ht="15" customHeight="1" outlineLevel="1" x14ac:dyDescent="0.2">
      <c r="A117" s="93" t="s">
        <v>125</v>
      </c>
      <c r="B117" s="94">
        <v>44764</v>
      </c>
      <c r="C117" s="95">
        <v>10</v>
      </c>
      <c r="D117" s="95">
        <v>7498</v>
      </c>
      <c r="E117" s="96">
        <v>32.28</v>
      </c>
      <c r="F117" s="96">
        <v>6.2</v>
      </c>
      <c r="G117" s="96">
        <v>34.369999999999997</v>
      </c>
      <c r="H117" s="96">
        <v>27.16</v>
      </c>
      <c r="I117" s="96">
        <v>0.12</v>
      </c>
      <c r="J117" s="95" t="s">
        <v>133</v>
      </c>
      <c r="K117" s="91"/>
      <c r="L117" s="95" t="s">
        <v>130</v>
      </c>
      <c r="M117" s="95">
        <v>928.1</v>
      </c>
    </row>
    <row r="118" spans="1:13" ht="15" customHeight="1" outlineLevel="1" x14ac:dyDescent="0.2">
      <c r="A118" s="93" t="s">
        <v>125</v>
      </c>
      <c r="B118" s="94">
        <v>44767</v>
      </c>
      <c r="C118" s="95">
        <v>14</v>
      </c>
      <c r="D118" s="95">
        <v>7507</v>
      </c>
      <c r="E118" s="96">
        <v>31.16</v>
      </c>
      <c r="F118" s="96">
        <v>6.93</v>
      </c>
      <c r="G118" s="96">
        <v>34.700000000000003</v>
      </c>
      <c r="H118" s="96">
        <v>27.22</v>
      </c>
      <c r="I118" s="96">
        <v>0.13</v>
      </c>
      <c r="J118" s="95" t="s">
        <v>133</v>
      </c>
      <c r="K118" s="91"/>
      <c r="L118" s="95" t="s">
        <v>130</v>
      </c>
      <c r="M118" s="95">
        <v>1324.5</v>
      </c>
    </row>
    <row r="119" spans="1:13" ht="15" customHeight="1" outlineLevel="1" x14ac:dyDescent="0.2">
      <c r="A119" s="93" t="s">
        <v>125</v>
      </c>
      <c r="B119" s="94">
        <v>44768</v>
      </c>
      <c r="C119" s="95">
        <v>12</v>
      </c>
      <c r="D119" s="95">
        <v>7138</v>
      </c>
      <c r="E119" s="96">
        <v>32.229999999999997</v>
      </c>
      <c r="F119" s="96">
        <v>9.2799999999999994</v>
      </c>
      <c r="G119" s="96">
        <v>33.020000000000003</v>
      </c>
      <c r="H119" s="96">
        <v>25.47</v>
      </c>
      <c r="I119" s="96">
        <v>0.15</v>
      </c>
      <c r="J119" s="95" t="s">
        <v>133</v>
      </c>
      <c r="K119" s="91"/>
      <c r="L119" s="95" t="s">
        <v>134</v>
      </c>
      <c r="M119" s="95">
        <v>1096.3499999999999</v>
      </c>
    </row>
    <row r="120" spans="1:13" ht="15" customHeight="1" outlineLevel="1" x14ac:dyDescent="0.2">
      <c r="A120" s="93" t="s">
        <v>125</v>
      </c>
      <c r="B120" s="94">
        <v>44770</v>
      </c>
      <c r="C120" s="95">
        <v>13</v>
      </c>
      <c r="D120" s="95">
        <v>7588</v>
      </c>
      <c r="E120" s="96">
        <v>31.86</v>
      </c>
      <c r="F120" s="96">
        <v>5.76</v>
      </c>
      <c r="G120" s="96">
        <v>34.68</v>
      </c>
      <c r="H120" s="96">
        <v>27.71</v>
      </c>
      <c r="I120" s="96">
        <v>0.13</v>
      </c>
      <c r="J120" s="95" t="s">
        <v>133</v>
      </c>
      <c r="K120" s="91"/>
      <c r="L120" s="95" t="s">
        <v>130</v>
      </c>
      <c r="M120" s="95">
        <v>1215.8499999999999</v>
      </c>
    </row>
    <row r="121" spans="1:13" ht="15" customHeight="1" outlineLevel="1" x14ac:dyDescent="0.2">
      <c r="A121" s="93" t="s">
        <v>125</v>
      </c>
      <c r="B121" s="94">
        <v>44771</v>
      </c>
      <c r="C121" s="95">
        <v>11</v>
      </c>
      <c r="D121" s="95">
        <v>7569</v>
      </c>
      <c r="E121" s="96">
        <v>31.81</v>
      </c>
      <c r="F121" s="96">
        <v>5.8</v>
      </c>
      <c r="G121" s="96">
        <v>34.89</v>
      </c>
      <c r="H121" s="96">
        <v>27.49</v>
      </c>
      <c r="I121" s="96">
        <v>0.12</v>
      </c>
      <c r="J121" s="95" t="s">
        <v>133</v>
      </c>
      <c r="K121" s="91"/>
      <c r="L121" s="95" t="s">
        <v>130</v>
      </c>
      <c r="M121" s="95">
        <v>1045.6500000000001</v>
      </c>
    </row>
    <row r="122" spans="1:13" ht="15" customHeight="1" outlineLevel="1" x14ac:dyDescent="0.2">
      <c r="A122" s="93" t="s">
        <v>125</v>
      </c>
      <c r="B122" s="94">
        <v>44774</v>
      </c>
      <c r="C122" s="95">
        <v>12</v>
      </c>
      <c r="D122" s="95">
        <v>7499</v>
      </c>
      <c r="E122" s="96">
        <v>31.77</v>
      </c>
      <c r="F122" s="96">
        <v>6.28</v>
      </c>
      <c r="G122" s="96">
        <v>34.96</v>
      </c>
      <c r="H122" s="96">
        <v>26.99</v>
      </c>
      <c r="I122" s="96">
        <v>0.12</v>
      </c>
      <c r="J122" s="95" t="s">
        <v>133</v>
      </c>
      <c r="K122" s="91"/>
      <c r="L122" s="95" t="s">
        <v>130</v>
      </c>
      <c r="M122" s="95">
        <v>1149.8</v>
      </c>
    </row>
    <row r="123" spans="1:13" ht="15" customHeight="1" outlineLevel="1" x14ac:dyDescent="0.2">
      <c r="A123" s="93" t="s">
        <v>125</v>
      </c>
      <c r="B123" s="94">
        <v>44775</v>
      </c>
      <c r="C123" s="95">
        <v>11</v>
      </c>
      <c r="D123" s="95">
        <v>7470</v>
      </c>
      <c r="E123" s="96">
        <v>31.82</v>
      </c>
      <c r="F123" s="96">
        <v>6.63</v>
      </c>
      <c r="G123" s="96">
        <v>34.229999999999997</v>
      </c>
      <c r="H123" s="96">
        <v>27.33</v>
      </c>
      <c r="I123" s="96">
        <v>0.13</v>
      </c>
      <c r="J123" s="95" t="s">
        <v>133</v>
      </c>
      <c r="K123" s="91"/>
      <c r="L123" s="95" t="s">
        <v>130</v>
      </c>
      <c r="M123" s="95">
        <v>1037</v>
      </c>
    </row>
    <row r="124" spans="1:13" ht="15" customHeight="1" outlineLevel="1" x14ac:dyDescent="0.2">
      <c r="A124" s="93" t="s">
        <v>125</v>
      </c>
      <c r="B124" s="94">
        <v>44777</v>
      </c>
      <c r="C124" s="95">
        <v>12</v>
      </c>
      <c r="D124" s="95">
        <v>7517</v>
      </c>
      <c r="E124" s="96">
        <v>31.82</v>
      </c>
      <c r="F124" s="96">
        <v>6.5</v>
      </c>
      <c r="G124" s="96">
        <v>35.04</v>
      </c>
      <c r="H124" s="96">
        <v>26.65</v>
      </c>
      <c r="I124" s="96">
        <v>0.14000000000000001</v>
      </c>
      <c r="J124" s="95" t="s">
        <v>133</v>
      </c>
      <c r="K124" s="91"/>
      <c r="L124" s="95" t="s">
        <v>130</v>
      </c>
      <c r="M124" s="95">
        <v>1188.55</v>
      </c>
    </row>
    <row r="125" spans="1:13" ht="15" customHeight="1" outlineLevel="1" x14ac:dyDescent="0.2">
      <c r="A125" s="93" t="s">
        <v>125</v>
      </c>
      <c r="B125" s="94">
        <v>44778</v>
      </c>
      <c r="C125" s="95">
        <v>11</v>
      </c>
      <c r="D125" s="95">
        <v>7428</v>
      </c>
      <c r="E125" s="96">
        <v>31.96</v>
      </c>
      <c r="F125" s="96">
        <v>6.83</v>
      </c>
      <c r="G125" s="96">
        <v>33.92</v>
      </c>
      <c r="H125" s="96">
        <v>27.3</v>
      </c>
      <c r="I125" s="96">
        <v>0.13</v>
      </c>
      <c r="J125" s="95" t="s">
        <v>133</v>
      </c>
      <c r="K125" s="91"/>
      <c r="L125" s="95" t="s">
        <v>130</v>
      </c>
      <c r="M125" s="95">
        <v>1022.65</v>
      </c>
    </row>
    <row r="126" spans="1:13" ht="15" customHeight="1" outlineLevel="1" x14ac:dyDescent="0.2">
      <c r="A126" s="93" t="s">
        <v>125</v>
      </c>
      <c r="B126" s="94">
        <v>44781</v>
      </c>
      <c r="C126" s="95">
        <v>8</v>
      </c>
      <c r="D126" s="95">
        <v>7353</v>
      </c>
      <c r="E126" s="96">
        <v>31.99</v>
      </c>
      <c r="F126" s="96">
        <v>7.32</v>
      </c>
      <c r="G126" s="96">
        <v>34.07</v>
      </c>
      <c r="H126" s="96">
        <v>26.63</v>
      </c>
      <c r="I126" s="96">
        <v>0.13</v>
      </c>
      <c r="J126" s="95" t="s">
        <v>133</v>
      </c>
      <c r="K126" s="91"/>
      <c r="L126" s="95" t="s">
        <v>130</v>
      </c>
      <c r="M126" s="95">
        <v>734.35</v>
      </c>
    </row>
    <row r="127" spans="1:13" ht="15" customHeight="1" outlineLevel="1" x14ac:dyDescent="0.2">
      <c r="A127" s="93" t="s">
        <v>125</v>
      </c>
      <c r="B127" s="94">
        <v>44782</v>
      </c>
      <c r="C127" s="95">
        <v>8</v>
      </c>
      <c r="D127" s="95">
        <v>7487</v>
      </c>
      <c r="E127" s="96">
        <v>32.619999999999997</v>
      </c>
      <c r="F127" s="96">
        <v>6.16</v>
      </c>
      <c r="G127" s="96">
        <v>34.630000000000003</v>
      </c>
      <c r="H127" s="96">
        <v>26.59</v>
      </c>
      <c r="I127" s="96">
        <v>0.13</v>
      </c>
      <c r="J127" s="95" t="s">
        <v>133</v>
      </c>
      <c r="K127" s="91"/>
      <c r="L127" s="95" t="s">
        <v>130</v>
      </c>
      <c r="M127" s="95">
        <v>766.8</v>
      </c>
    </row>
    <row r="128" spans="1:13" ht="15" customHeight="1" outlineLevel="1" x14ac:dyDescent="0.2">
      <c r="A128" s="93" t="s">
        <v>125</v>
      </c>
      <c r="B128" s="94">
        <v>44784</v>
      </c>
      <c r="C128" s="95">
        <v>8</v>
      </c>
      <c r="D128" s="95">
        <v>7173</v>
      </c>
      <c r="E128" s="96">
        <v>32.479999999999997</v>
      </c>
      <c r="F128" s="96">
        <v>8.3000000000000007</v>
      </c>
      <c r="G128" s="96">
        <v>33.53</v>
      </c>
      <c r="H128" s="96">
        <v>25.68</v>
      </c>
      <c r="I128" s="96">
        <v>0.15</v>
      </c>
      <c r="J128" s="95" t="s">
        <v>133</v>
      </c>
      <c r="K128" s="91"/>
      <c r="L128" s="95" t="s">
        <v>130</v>
      </c>
      <c r="M128" s="95">
        <v>755.35</v>
      </c>
    </row>
    <row r="129" spans="1:13" ht="15" customHeight="1" outlineLevel="1" x14ac:dyDescent="0.2">
      <c r="A129" s="93" t="s">
        <v>125</v>
      </c>
      <c r="B129" s="94">
        <v>44785</v>
      </c>
      <c r="C129" s="95">
        <v>7</v>
      </c>
      <c r="D129" s="95">
        <v>7169</v>
      </c>
      <c r="E129" s="96">
        <v>31.93</v>
      </c>
      <c r="F129" s="96">
        <v>8.81</v>
      </c>
      <c r="G129" s="96">
        <v>33.61</v>
      </c>
      <c r="H129" s="96">
        <v>25.66</v>
      </c>
      <c r="I129" s="96">
        <v>0.18</v>
      </c>
      <c r="J129" s="95" t="s">
        <v>133</v>
      </c>
      <c r="K129" s="91"/>
      <c r="L129" s="95" t="s">
        <v>130</v>
      </c>
      <c r="M129" s="95">
        <v>651.75</v>
      </c>
    </row>
    <row r="130" spans="1:13" ht="15" customHeight="1" outlineLevel="1" x14ac:dyDescent="0.2">
      <c r="A130" s="93" t="s">
        <v>125</v>
      </c>
      <c r="B130" s="94">
        <v>44788</v>
      </c>
      <c r="C130" s="95">
        <v>9</v>
      </c>
      <c r="D130" s="95">
        <v>7194</v>
      </c>
      <c r="E130" s="96">
        <v>31.92</v>
      </c>
      <c r="F130" s="96">
        <v>8.75</v>
      </c>
      <c r="G130" s="96">
        <v>33.549999999999997</v>
      </c>
      <c r="H130" s="96">
        <v>25.79</v>
      </c>
      <c r="I130" s="96">
        <v>0.14000000000000001</v>
      </c>
      <c r="J130" s="95" t="s">
        <v>133</v>
      </c>
      <c r="K130" s="91"/>
      <c r="L130" s="95" t="s">
        <v>130</v>
      </c>
      <c r="M130" s="95">
        <v>842.55</v>
      </c>
    </row>
    <row r="131" spans="1:13" ht="15" customHeight="1" outlineLevel="1" x14ac:dyDescent="0.2">
      <c r="A131" s="93" t="s">
        <v>125</v>
      </c>
      <c r="B131" s="94">
        <v>44789</v>
      </c>
      <c r="C131" s="95">
        <v>10</v>
      </c>
      <c r="D131" s="95">
        <v>6944</v>
      </c>
      <c r="E131" s="96">
        <v>32.83</v>
      </c>
      <c r="F131" s="96">
        <v>9.5399999999999991</v>
      </c>
      <c r="G131" s="96">
        <v>32.64</v>
      </c>
      <c r="H131" s="96">
        <v>24.99</v>
      </c>
      <c r="I131" s="96">
        <v>0.15</v>
      </c>
      <c r="J131" s="95" t="s">
        <v>133</v>
      </c>
      <c r="K131" s="91"/>
      <c r="L131" s="95" t="s">
        <v>130</v>
      </c>
      <c r="M131" s="95">
        <v>924.1</v>
      </c>
    </row>
    <row r="132" spans="1:13" ht="15" customHeight="1" outlineLevel="1" x14ac:dyDescent="0.2">
      <c r="A132" s="93" t="s">
        <v>125</v>
      </c>
      <c r="B132" s="94">
        <v>44791</v>
      </c>
      <c r="C132" s="95">
        <v>9</v>
      </c>
      <c r="D132" s="95">
        <v>7416</v>
      </c>
      <c r="E132" s="96">
        <v>30.21</v>
      </c>
      <c r="F132" s="96">
        <v>8.27</v>
      </c>
      <c r="G132" s="96">
        <v>34.46</v>
      </c>
      <c r="H132" s="96">
        <v>27.06</v>
      </c>
      <c r="I132" s="96">
        <v>0.18</v>
      </c>
      <c r="J132" s="95" t="s">
        <v>128</v>
      </c>
      <c r="K132" s="95" t="s">
        <v>135</v>
      </c>
      <c r="L132" s="95" t="s">
        <v>136</v>
      </c>
      <c r="M132" s="95">
        <v>838.5</v>
      </c>
    </row>
    <row r="133" spans="1:13" ht="15" customHeight="1" outlineLevel="1" x14ac:dyDescent="0.2">
      <c r="A133" s="93" t="s">
        <v>125</v>
      </c>
      <c r="B133" s="94">
        <v>44792</v>
      </c>
      <c r="C133" s="95">
        <v>10</v>
      </c>
      <c r="D133" s="95">
        <v>7603</v>
      </c>
      <c r="E133" s="96">
        <v>28.64</v>
      </c>
      <c r="F133" s="96">
        <v>8.1999999999999993</v>
      </c>
      <c r="G133" s="96">
        <v>35.29</v>
      </c>
      <c r="H133" s="96">
        <v>27.87</v>
      </c>
      <c r="I133" s="96">
        <v>0.19</v>
      </c>
      <c r="J133" s="95" t="s">
        <v>128</v>
      </c>
      <c r="K133" s="95" t="s">
        <v>135</v>
      </c>
      <c r="L133" s="95" t="s">
        <v>134</v>
      </c>
      <c r="M133" s="95">
        <v>895.05</v>
      </c>
    </row>
    <row r="134" spans="1:13" ht="15" customHeight="1" outlineLevel="1" x14ac:dyDescent="0.2">
      <c r="A134" s="93" t="s">
        <v>125</v>
      </c>
      <c r="B134" s="94">
        <v>44795</v>
      </c>
      <c r="C134" s="95">
        <v>9</v>
      </c>
      <c r="D134" s="95">
        <v>7472</v>
      </c>
      <c r="E134" s="96">
        <v>30.68</v>
      </c>
      <c r="F134" s="96">
        <v>7.71</v>
      </c>
      <c r="G134" s="96">
        <v>34.11</v>
      </c>
      <c r="H134" s="96">
        <v>27.51</v>
      </c>
      <c r="I134" s="96">
        <v>0.18</v>
      </c>
      <c r="J134" s="95" t="s">
        <v>128</v>
      </c>
      <c r="K134" s="95" t="s">
        <v>135</v>
      </c>
      <c r="L134" s="95" t="s">
        <v>134</v>
      </c>
      <c r="M134" s="95">
        <v>857.05</v>
      </c>
    </row>
    <row r="135" spans="1:13" ht="15" customHeight="1" outlineLevel="1" x14ac:dyDescent="0.2">
      <c r="A135" s="93" t="s">
        <v>125</v>
      </c>
      <c r="B135" s="94">
        <v>44796</v>
      </c>
      <c r="C135" s="95">
        <v>10</v>
      </c>
      <c r="D135" s="95">
        <v>7499</v>
      </c>
      <c r="E135" s="96">
        <v>30.12</v>
      </c>
      <c r="F135" s="96">
        <v>7.98</v>
      </c>
      <c r="G135" s="96">
        <v>34.39</v>
      </c>
      <c r="H135" s="96">
        <v>27.52</v>
      </c>
      <c r="I135" s="96">
        <v>0.16</v>
      </c>
      <c r="J135" s="95" t="s">
        <v>128</v>
      </c>
      <c r="K135" s="95" t="s">
        <v>135</v>
      </c>
      <c r="L135" s="95" t="s">
        <v>134</v>
      </c>
      <c r="M135" s="95">
        <v>966</v>
      </c>
    </row>
    <row r="136" spans="1:13" ht="15" customHeight="1" outlineLevel="1" x14ac:dyDescent="0.2">
      <c r="A136" s="93" t="s">
        <v>125</v>
      </c>
      <c r="B136" s="94">
        <v>44798</v>
      </c>
      <c r="C136" s="95">
        <v>9</v>
      </c>
      <c r="D136" s="95">
        <v>7539</v>
      </c>
      <c r="E136" s="96">
        <v>30.6</v>
      </c>
      <c r="F136" s="96">
        <v>7.3</v>
      </c>
      <c r="G136" s="96">
        <v>34.6</v>
      </c>
      <c r="H136" s="96">
        <v>27.51</v>
      </c>
      <c r="I136" s="96">
        <v>0.15</v>
      </c>
      <c r="J136" s="95" t="s">
        <v>131</v>
      </c>
      <c r="K136" s="95" t="s">
        <v>135</v>
      </c>
      <c r="L136" s="95" t="s">
        <v>130</v>
      </c>
      <c r="M136" s="95">
        <v>870.1</v>
      </c>
    </row>
    <row r="137" spans="1:13" ht="15" customHeight="1" outlineLevel="1" x14ac:dyDescent="0.2">
      <c r="A137" s="93" t="s">
        <v>125</v>
      </c>
      <c r="B137" s="94">
        <v>44799</v>
      </c>
      <c r="C137" s="95">
        <v>10</v>
      </c>
      <c r="D137" s="95">
        <v>7477</v>
      </c>
      <c r="E137" s="96">
        <v>30.96</v>
      </c>
      <c r="F137" s="96">
        <v>7.31</v>
      </c>
      <c r="G137" s="96">
        <v>34.35</v>
      </c>
      <c r="H137" s="96">
        <v>27.38</v>
      </c>
      <c r="I137" s="96">
        <v>0.14000000000000001</v>
      </c>
      <c r="J137" s="95" t="s">
        <v>128</v>
      </c>
      <c r="K137" s="95" t="s">
        <v>135</v>
      </c>
      <c r="L137" s="95" t="s">
        <v>134</v>
      </c>
      <c r="M137" s="95">
        <v>943</v>
      </c>
    </row>
    <row r="138" spans="1:13" ht="15" customHeight="1" outlineLevel="1" x14ac:dyDescent="0.2">
      <c r="A138" s="93" t="s">
        <v>125</v>
      </c>
      <c r="B138" s="94">
        <v>44802</v>
      </c>
      <c r="C138" s="95">
        <v>21</v>
      </c>
      <c r="D138" s="95">
        <v>7171</v>
      </c>
      <c r="E138" s="96">
        <v>31.58</v>
      </c>
      <c r="F138" s="96">
        <v>9.25</v>
      </c>
      <c r="G138" s="96">
        <v>33.22</v>
      </c>
      <c r="H138" s="96">
        <v>25.94</v>
      </c>
      <c r="I138" s="96">
        <v>0.17</v>
      </c>
      <c r="J138" s="95" t="s">
        <v>128</v>
      </c>
      <c r="K138" s="95" t="s">
        <v>135</v>
      </c>
      <c r="L138" s="95" t="s">
        <v>134</v>
      </c>
      <c r="M138" s="95">
        <v>1979.6</v>
      </c>
    </row>
    <row r="139" spans="1:13" ht="15" customHeight="1" outlineLevel="1" x14ac:dyDescent="0.2">
      <c r="A139" s="93" t="s">
        <v>125</v>
      </c>
      <c r="B139" s="94">
        <v>44803</v>
      </c>
      <c r="C139" s="95">
        <v>4</v>
      </c>
      <c r="D139" s="95">
        <v>7235</v>
      </c>
      <c r="E139" s="96">
        <v>32.28</v>
      </c>
      <c r="F139" s="96">
        <v>8.14</v>
      </c>
      <c r="G139" s="96">
        <v>33.51</v>
      </c>
      <c r="H139" s="96">
        <v>26.07</v>
      </c>
      <c r="I139" s="96">
        <v>0.17</v>
      </c>
      <c r="J139" s="95" t="s">
        <v>128</v>
      </c>
      <c r="K139" s="95" t="s">
        <v>135</v>
      </c>
      <c r="L139" s="95" t="s">
        <v>134</v>
      </c>
      <c r="M139" s="95">
        <v>375.4</v>
      </c>
    </row>
    <row r="140" spans="1:13" ht="15" customHeight="1" outlineLevel="1" x14ac:dyDescent="0.2">
      <c r="A140" s="93" t="s">
        <v>125</v>
      </c>
      <c r="B140" s="94">
        <v>44805</v>
      </c>
      <c r="C140" s="95">
        <v>14</v>
      </c>
      <c r="D140" s="95">
        <v>7267</v>
      </c>
      <c r="E140" s="96">
        <v>30.75</v>
      </c>
      <c r="F140" s="96">
        <v>9</v>
      </c>
      <c r="G140" s="96">
        <v>34.33</v>
      </c>
      <c r="H140" s="96">
        <v>25.92</v>
      </c>
      <c r="I140" s="96">
        <v>0.18</v>
      </c>
      <c r="J140" s="95" t="s">
        <v>128</v>
      </c>
      <c r="K140" s="95" t="s">
        <v>135</v>
      </c>
      <c r="L140" s="95" t="s">
        <v>134</v>
      </c>
      <c r="M140" s="95">
        <v>1329.3</v>
      </c>
    </row>
    <row r="141" spans="1:13" ht="15" customHeight="1" outlineLevel="1" x14ac:dyDescent="0.2">
      <c r="A141" s="93" t="s">
        <v>125</v>
      </c>
      <c r="B141" s="94">
        <v>44806</v>
      </c>
      <c r="C141" s="95">
        <v>10</v>
      </c>
      <c r="D141" s="95">
        <v>7374</v>
      </c>
      <c r="E141" s="96">
        <v>30.66</v>
      </c>
      <c r="F141" s="96">
        <v>8.0299999999999994</v>
      </c>
      <c r="G141" s="96">
        <v>34.31</v>
      </c>
      <c r="H141" s="96">
        <v>27.01</v>
      </c>
      <c r="I141" s="96">
        <v>0.19</v>
      </c>
      <c r="J141" s="95" t="s">
        <v>137</v>
      </c>
      <c r="K141" s="91"/>
      <c r="L141" s="95" t="s">
        <v>138</v>
      </c>
      <c r="M141" s="95">
        <v>931.75</v>
      </c>
    </row>
    <row r="142" spans="1:13" ht="15" customHeight="1" outlineLevel="1" x14ac:dyDescent="0.2">
      <c r="A142" s="93" t="s">
        <v>125</v>
      </c>
      <c r="B142" s="94">
        <v>44810</v>
      </c>
      <c r="C142" s="95">
        <v>33</v>
      </c>
      <c r="D142" s="95">
        <v>7120</v>
      </c>
      <c r="E142" s="96">
        <v>30.19</v>
      </c>
      <c r="F142" s="96">
        <v>10.119999999999999</v>
      </c>
      <c r="G142" s="96">
        <v>33.450000000000003</v>
      </c>
      <c r="H142" s="96">
        <v>26.25</v>
      </c>
      <c r="I142" s="96">
        <v>0.19</v>
      </c>
      <c r="J142" s="95" t="s">
        <v>137</v>
      </c>
      <c r="K142" s="91"/>
      <c r="L142" s="95" t="s">
        <v>138</v>
      </c>
      <c r="M142" s="95">
        <v>3088.6</v>
      </c>
    </row>
    <row r="143" spans="1:13" ht="15" customHeight="1" outlineLevel="1" x14ac:dyDescent="0.2">
      <c r="A143" s="93" t="s">
        <v>125</v>
      </c>
      <c r="B143" s="94">
        <v>44813</v>
      </c>
      <c r="C143" s="95">
        <v>8</v>
      </c>
      <c r="D143" s="95">
        <v>7671</v>
      </c>
      <c r="E143" s="96">
        <v>30.24</v>
      </c>
      <c r="F143" s="96">
        <v>6.82</v>
      </c>
      <c r="G143" s="96">
        <v>34.89</v>
      </c>
      <c r="H143" s="96">
        <v>28.05</v>
      </c>
      <c r="I143" s="96">
        <v>0.14000000000000001</v>
      </c>
      <c r="J143" s="95" t="s">
        <v>131</v>
      </c>
      <c r="K143" s="95" t="s">
        <v>135</v>
      </c>
      <c r="L143" s="95" t="s">
        <v>130</v>
      </c>
      <c r="M143" s="95">
        <v>775.55</v>
      </c>
    </row>
    <row r="144" spans="1:13" ht="15" customHeight="1" outlineLevel="1" x14ac:dyDescent="0.2">
      <c r="A144" s="93" t="s">
        <v>125</v>
      </c>
      <c r="B144" s="94">
        <v>44817</v>
      </c>
      <c r="C144" s="95">
        <v>17</v>
      </c>
      <c r="D144" s="95">
        <v>7167</v>
      </c>
      <c r="E144" s="96">
        <v>30.01</v>
      </c>
      <c r="F144" s="96">
        <v>10.56</v>
      </c>
      <c r="G144" s="96">
        <v>33.43</v>
      </c>
      <c r="H144" s="96">
        <v>26.01</v>
      </c>
      <c r="I144" s="96">
        <v>0.18</v>
      </c>
      <c r="J144" s="95" t="s">
        <v>131</v>
      </c>
      <c r="K144" s="95" t="s">
        <v>135</v>
      </c>
      <c r="L144" s="95" t="s">
        <v>130</v>
      </c>
      <c r="M144" s="95">
        <v>1640.35</v>
      </c>
    </row>
    <row r="145" spans="1:13" ht="15" customHeight="1" outlineLevel="1" x14ac:dyDescent="0.2">
      <c r="A145" s="93" t="s">
        <v>125</v>
      </c>
      <c r="B145" s="94">
        <v>44818</v>
      </c>
      <c r="C145" s="95">
        <v>11</v>
      </c>
      <c r="D145" s="95">
        <v>7154</v>
      </c>
      <c r="E145" s="96">
        <v>30.47</v>
      </c>
      <c r="F145" s="96">
        <v>10.29</v>
      </c>
      <c r="G145" s="96">
        <v>33.68</v>
      </c>
      <c r="H145" s="96">
        <v>25.56</v>
      </c>
      <c r="I145" s="96">
        <v>0.19</v>
      </c>
      <c r="J145" s="95" t="s">
        <v>131</v>
      </c>
      <c r="K145" s="95" t="s">
        <v>135</v>
      </c>
      <c r="L145" s="95" t="s">
        <v>130</v>
      </c>
      <c r="M145" s="95">
        <v>1035.55</v>
      </c>
    </row>
    <row r="146" spans="1:13" ht="15" customHeight="1" outlineLevel="1" x14ac:dyDescent="0.2">
      <c r="A146" s="93" t="s">
        <v>125</v>
      </c>
      <c r="B146" s="94">
        <v>44818</v>
      </c>
      <c r="C146" s="95">
        <v>13</v>
      </c>
      <c r="D146" s="95">
        <v>7184</v>
      </c>
      <c r="E146" s="96">
        <v>30.9</v>
      </c>
      <c r="F146" s="96">
        <v>9.67</v>
      </c>
      <c r="G146" s="96">
        <v>33.869999999999997</v>
      </c>
      <c r="H146" s="96">
        <v>25.57</v>
      </c>
      <c r="I146" s="96">
        <v>0.2</v>
      </c>
      <c r="J146" s="95" t="s">
        <v>131</v>
      </c>
      <c r="K146" s="95" t="s">
        <v>135</v>
      </c>
      <c r="L146" s="95" t="s">
        <v>130</v>
      </c>
      <c r="M146" s="95">
        <v>1281.7</v>
      </c>
    </row>
    <row r="147" spans="1:13" ht="15" customHeight="1" outlineLevel="1" x14ac:dyDescent="0.2">
      <c r="A147" s="93" t="s">
        <v>125</v>
      </c>
      <c r="B147" s="94">
        <v>44820</v>
      </c>
      <c r="C147" s="95">
        <v>6</v>
      </c>
      <c r="D147" s="95">
        <v>7429</v>
      </c>
      <c r="E147" s="96">
        <v>28.55</v>
      </c>
      <c r="F147" s="96">
        <v>8.66</v>
      </c>
      <c r="G147" s="96">
        <v>34.96</v>
      </c>
      <c r="H147" s="96">
        <v>27.84</v>
      </c>
      <c r="I147" s="96">
        <v>0.21</v>
      </c>
      <c r="J147" s="95" t="s">
        <v>139</v>
      </c>
      <c r="K147" s="95" t="s">
        <v>135</v>
      </c>
      <c r="L147" s="95" t="s">
        <v>127</v>
      </c>
      <c r="M147" s="95">
        <v>566.25</v>
      </c>
    </row>
    <row r="148" spans="1:13" ht="15" customHeight="1" outlineLevel="1" x14ac:dyDescent="0.2">
      <c r="A148" s="93" t="s">
        <v>125</v>
      </c>
      <c r="B148" s="94">
        <v>44823</v>
      </c>
      <c r="C148" s="95">
        <v>13</v>
      </c>
      <c r="D148" s="95">
        <v>7405</v>
      </c>
      <c r="E148" s="96">
        <v>30.2</v>
      </c>
      <c r="F148" s="96">
        <v>8.3800000000000008</v>
      </c>
      <c r="G148" s="96">
        <v>34.35</v>
      </c>
      <c r="H148" s="96">
        <v>27.08</v>
      </c>
      <c r="I148" s="96">
        <v>0.22</v>
      </c>
      <c r="J148" s="95" t="s">
        <v>139</v>
      </c>
      <c r="K148" s="95" t="s">
        <v>135</v>
      </c>
      <c r="L148" s="95" t="s">
        <v>127</v>
      </c>
      <c r="M148" s="95">
        <v>1276.6500000000001</v>
      </c>
    </row>
    <row r="149" spans="1:13" ht="15" customHeight="1" outlineLevel="1" x14ac:dyDescent="0.2">
      <c r="A149" s="93" t="s">
        <v>125</v>
      </c>
      <c r="B149" s="94">
        <v>44824</v>
      </c>
      <c r="C149" s="95">
        <v>12</v>
      </c>
      <c r="D149" s="95">
        <v>7486</v>
      </c>
      <c r="E149" s="96">
        <v>29.78</v>
      </c>
      <c r="F149" s="96">
        <v>8.59</v>
      </c>
      <c r="G149" s="96">
        <v>34.409999999999997</v>
      </c>
      <c r="H149" s="96">
        <v>27.21</v>
      </c>
      <c r="I149" s="96">
        <v>0.21</v>
      </c>
      <c r="J149" s="95" t="s">
        <v>131</v>
      </c>
      <c r="K149" s="95" t="s">
        <v>135</v>
      </c>
      <c r="L149" s="95" t="s">
        <v>130</v>
      </c>
      <c r="M149" s="95">
        <v>1112.05</v>
      </c>
    </row>
    <row r="150" spans="1:13" ht="15" customHeight="1" outlineLevel="1" x14ac:dyDescent="0.2">
      <c r="A150" s="93" t="s">
        <v>125</v>
      </c>
      <c r="B150" s="94">
        <v>44825</v>
      </c>
      <c r="C150" s="95">
        <v>10</v>
      </c>
      <c r="D150" s="95">
        <v>7704</v>
      </c>
      <c r="E150" s="96">
        <v>29.41</v>
      </c>
      <c r="F150" s="96">
        <v>7.12</v>
      </c>
      <c r="G150" s="96">
        <v>35.43</v>
      </c>
      <c r="H150" s="96">
        <v>28.04</v>
      </c>
      <c r="I150" s="96">
        <v>0.2</v>
      </c>
      <c r="J150" s="95" t="s">
        <v>131</v>
      </c>
      <c r="K150" s="95" t="s">
        <v>135</v>
      </c>
      <c r="L150" s="95" t="s">
        <v>130</v>
      </c>
      <c r="M150" s="95">
        <v>954.5</v>
      </c>
    </row>
    <row r="151" spans="1:13" ht="15" customHeight="1" outlineLevel="1" x14ac:dyDescent="0.2">
      <c r="A151" s="93" t="s">
        <v>125</v>
      </c>
      <c r="B151" s="94">
        <v>44828</v>
      </c>
      <c r="C151" s="95">
        <v>14</v>
      </c>
      <c r="D151" s="95">
        <v>7225</v>
      </c>
      <c r="E151" s="96">
        <v>30.97</v>
      </c>
      <c r="F151" s="96">
        <v>9.23</v>
      </c>
      <c r="G151" s="96">
        <v>33.64</v>
      </c>
      <c r="H151" s="96">
        <v>26.16</v>
      </c>
      <c r="I151" s="96">
        <v>0.21</v>
      </c>
      <c r="J151" s="95" t="s">
        <v>131</v>
      </c>
      <c r="K151" s="95" t="s">
        <v>135</v>
      </c>
      <c r="L151" s="95" t="s">
        <v>130</v>
      </c>
      <c r="M151" s="95">
        <v>1290.25</v>
      </c>
    </row>
    <row r="152" spans="1:13" ht="15" customHeight="1" outlineLevel="1" x14ac:dyDescent="0.2">
      <c r="A152" s="93" t="s">
        <v>125</v>
      </c>
      <c r="B152" s="94">
        <v>44830</v>
      </c>
      <c r="C152" s="95">
        <v>14</v>
      </c>
      <c r="D152" s="95">
        <v>7551</v>
      </c>
      <c r="E152" s="96">
        <v>30.63</v>
      </c>
      <c r="F152" s="96">
        <v>7.36</v>
      </c>
      <c r="G152" s="96">
        <v>34.64</v>
      </c>
      <c r="H152" s="96">
        <v>27.37</v>
      </c>
      <c r="I152" s="96">
        <v>0.17</v>
      </c>
      <c r="J152" s="95" t="s">
        <v>131</v>
      </c>
      <c r="K152" s="95" t="s">
        <v>135</v>
      </c>
      <c r="L152" s="95" t="s">
        <v>130</v>
      </c>
      <c r="M152" s="95">
        <v>1306.3</v>
      </c>
    </row>
    <row r="153" spans="1:13" ht="15" customHeight="1" outlineLevel="1" x14ac:dyDescent="0.2">
      <c r="A153" s="93" t="s">
        <v>125</v>
      </c>
      <c r="B153" s="94">
        <v>44831</v>
      </c>
      <c r="C153" s="95">
        <v>8</v>
      </c>
      <c r="D153" s="95">
        <v>7537</v>
      </c>
      <c r="E153" s="96">
        <v>30.77</v>
      </c>
      <c r="F153" s="96">
        <v>7.34</v>
      </c>
      <c r="G153" s="96">
        <v>34.4</v>
      </c>
      <c r="H153" s="96">
        <v>27.51</v>
      </c>
      <c r="I153" s="96">
        <v>0.16</v>
      </c>
      <c r="J153" s="95" t="s">
        <v>131</v>
      </c>
      <c r="K153" s="95" t="s">
        <v>135</v>
      </c>
      <c r="L153" s="95" t="s">
        <v>130</v>
      </c>
      <c r="M153" s="95">
        <v>752.5</v>
      </c>
    </row>
    <row r="154" spans="1:13" ht="15" customHeight="1" outlineLevel="1" x14ac:dyDescent="0.2">
      <c r="A154" s="93" t="s">
        <v>125</v>
      </c>
      <c r="B154" s="94">
        <v>44832</v>
      </c>
      <c r="C154" s="95">
        <v>8</v>
      </c>
      <c r="D154" s="95">
        <v>7572</v>
      </c>
      <c r="E154" s="96">
        <v>31.28</v>
      </c>
      <c r="F154" s="96">
        <v>6.45</v>
      </c>
      <c r="G154" s="96">
        <v>34.78</v>
      </c>
      <c r="H154" s="96">
        <v>27.49</v>
      </c>
      <c r="I154" s="96">
        <v>0.14000000000000001</v>
      </c>
      <c r="J154" s="95" t="s">
        <v>131</v>
      </c>
      <c r="K154" s="95" t="s">
        <v>135</v>
      </c>
      <c r="L154" s="95" t="s">
        <v>130</v>
      </c>
      <c r="M154" s="95">
        <v>770.75</v>
      </c>
    </row>
    <row r="155" spans="1:13" ht="15" customHeight="1" outlineLevel="1" x14ac:dyDescent="0.2">
      <c r="A155" s="93" t="s">
        <v>125</v>
      </c>
      <c r="B155" s="94">
        <v>44834</v>
      </c>
      <c r="C155" s="95">
        <v>14</v>
      </c>
      <c r="D155" s="95">
        <v>7582</v>
      </c>
      <c r="E155" s="96">
        <v>30.91</v>
      </c>
      <c r="F155" s="96">
        <v>6.47</v>
      </c>
      <c r="G155" s="96">
        <v>34.86</v>
      </c>
      <c r="H155" s="96">
        <v>27.76</v>
      </c>
      <c r="I155" s="96">
        <v>0.14000000000000001</v>
      </c>
      <c r="J155" s="95" t="s">
        <v>131</v>
      </c>
      <c r="K155" s="95" t="s">
        <v>135</v>
      </c>
      <c r="L155" s="95" t="s">
        <v>130</v>
      </c>
      <c r="M155" s="95">
        <v>1312.9</v>
      </c>
    </row>
    <row r="156" spans="1:13" ht="15" customHeight="1" outlineLevel="1" x14ac:dyDescent="0.2">
      <c r="A156" s="93" t="s">
        <v>125</v>
      </c>
      <c r="B156" s="94">
        <v>44838</v>
      </c>
      <c r="C156" s="95">
        <v>16</v>
      </c>
      <c r="D156" s="95">
        <v>7589</v>
      </c>
      <c r="E156" s="96">
        <v>30.72</v>
      </c>
      <c r="F156" s="96">
        <v>6.73</v>
      </c>
      <c r="G156" s="96">
        <v>35.14</v>
      </c>
      <c r="H156" s="96">
        <v>27.41</v>
      </c>
      <c r="I156" s="96">
        <v>0.13</v>
      </c>
      <c r="J156" s="95" t="s">
        <v>131</v>
      </c>
      <c r="K156" s="95" t="s">
        <v>135</v>
      </c>
      <c r="L156" s="95" t="s">
        <v>130</v>
      </c>
      <c r="M156" s="95">
        <v>1467.9</v>
      </c>
    </row>
    <row r="157" spans="1:13" ht="15" customHeight="1" outlineLevel="1" x14ac:dyDescent="0.2">
      <c r="A157" s="93" t="s">
        <v>125</v>
      </c>
      <c r="B157" s="94">
        <v>44839</v>
      </c>
      <c r="C157" s="95">
        <v>15</v>
      </c>
      <c r="D157" s="95">
        <v>7599</v>
      </c>
      <c r="E157" s="96">
        <v>30.54</v>
      </c>
      <c r="F157" s="96">
        <v>6.81</v>
      </c>
      <c r="G157" s="96">
        <v>34.83</v>
      </c>
      <c r="H157" s="96">
        <v>27.82</v>
      </c>
      <c r="I157" s="96">
        <v>0.13</v>
      </c>
      <c r="J157" s="95" t="s">
        <v>131</v>
      </c>
      <c r="K157" s="95" t="s">
        <v>135</v>
      </c>
      <c r="L157" s="95" t="s">
        <v>130</v>
      </c>
      <c r="M157" s="95">
        <v>1468.8</v>
      </c>
    </row>
    <row r="158" spans="1:13" ht="15" customHeight="1" outlineLevel="1" x14ac:dyDescent="0.2">
      <c r="A158" s="93" t="s">
        <v>125</v>
      </c>
      <c r="B158" s="94">
        <v>44840</v>
      </c>
      <c r="C158" s="95">
        <v>6</v>
      </c>
      <c r="D158" s="95">
        <v>7448</v>
      </c>
      <c r="E158" s="96">
        <v>31.04</v>
      </c>
      <c r="F158" s="96">
        <v>7.5</v>
      </c>
      <c r="G158" s="96">
        <v>34.340000000000003</v>
      </c>
      <c r="H158" s="96">
        <v>27.14</v>
      </c>
      <c r="I158" s="96">
        <v>0.14000000000000001</v>
      </c>
      <c r="J158" s="95" t="s">
        <v>131</v>
      </c>
      <c r="K158" s="95" t="s">
        <v>135</v>
      </c>
      <c r="L158" s="95" t="s">
        <v>130</v>
      </c>
      <c r="M158" s="95">
        <v>557.25</v>
      </c>
    </row>
    <row r="159" spans="1:13" ht="15" customHeight="1" outlineLevel="1" x14ac:dyDescent="0.2">
      <c r="A159" s="93" t="s">
        <v>125</v>
      </c>
      <c r="B159" s="94">
        <v>44841</v>
      </c>
      <c r="C159" s="95">
        <v>19</v>
      </c>
      <c r="D159" s="95">
        <v>7610</v>
      </c>
      <c r="E159" s="96">
        <v>29.93</v>
      </c>
      <c r="F159" s="96">
        <v>7.11</v>
      </c>
      <c r="G159" s="96">
        <v>35.08</v>
      </c>
      <c r="H159" s="96">
        <v>27.88</v>
      </c>
      <c r="I159" s="96">
        <v>0.14000000000000001</v>
      </c>
      <c r="J159" s="95" t="s">
        <v>131</v>
      </c>
      <c r="K159" s="95" t="s">
        <v>135</v>
      </c>
      <c r="L159" s="95" t="s">
        <v>130</v>
      </c>
      <c r="M159" s="95">
        <v>1837.1</v>
      </c>
    </row>
    <row r="160" spans="1:13" ht="15" customHeight="1" outlineLevel="1" x14ac:dyDescent="0.2">
      <c r="A160" s="93" t="s">
        <v>125</v>
      </c>
      <c r="B160" s="94">
        <v>44845</v>
      </c>
      <c r="C160" s="95">
        <v>17</v>
      </c>
      <c r="D160" s="95">
        <v>7586</v>
      </c>
      <c r="E160" s="96">
        <v>30.46</v>
      </c>
      <c r="F160" s="96">
        <v>7.13</v>
      </c>
      <c r="G160" s="96">
        <v>35.369999999999997</v>
      </c>
      <c r="H160" s="96">
        <v>27.05</v>
      </c>
      <c r="I160" s="96">
        <v>0.13</v>
      </c>
      <c r="J160" s="95" t="s">
        <v>131</v>
      </c>
      <c r="K160" s="95" t="s">
        <v>135</v>
      </c>
      <c r="L160" s="95" t="s">
        <v>130</v>
      </c>
      <c r="M160" s="95">
        <v>1552.7</v>
      </c>
    </row>
    <row r="161" spans="1:13" ht="15" customHeight="1" outlineLevel="1" x14ac:dyDescent="0.2">
      <c r="A161" s="93" t="s">
        <v>125</v>
      </c>
      <c r="B161" s="94">
        <v>44846</v>
      </c>
      <c r="C161" s="95">
        <v>12</v>
      </c>
      <c r="D161" s="95">
        <v>7451</v>
      </c>
      <c r="E161" s="96">
        <v>30.71</v>
      </c>
      <c r="F161" s="96">
        <v>7.88</v>
      </c>
      <c r="G161" s="96">
        <v>35.159999999999997</v>
      </c>
      <c r="H161" s="96">
        <v>26.26</v>
      </c>
      <c r="I161" s="96">
        <v>0.16</v>
      </c>
      <c r="J161" s="95" t="s">
        <v>131</v>
      </c>
      <c r="K161" s="95" t="s">
        <v>135</v>
      </c>
      <c r="L161" s="95" t="s">
        <v>130</v>
      </c>
      <c r="M161" s="95">
        <v>1153.45</v>
      </c>
    </row>
    <row r="162" spans="1:13" ht="15" customHeight="1" outlineLevel="1" x14ac:dyDescent="0.2">
      <c r="A162" s="93" t="s">
        <v>125</v>
      </c>
      <c r="B162" s="94">
        <v>44847</v>
      </c>
      <c r="C162" s="95">
        <v>12</v>
      </c>
      <c r="D162" s="95">
        <v>7531</v>
      </c>
      <c r="E162" s="96">
        <v>31.3</v>
      </c>
      <c r="F162" s="96">
        <v>6.81</v>
      </c>
      <c r="G162" s="96">
        <v>34.42</v>
      </c>
      <c r="H162" s="96">
        <v>27.47</v>
      </c>
      <c r="I162" s="96">
        <v>0.15</v>
      </c>
      <c r="J162" s="95" t="s">
        <v>131</v>
      </c>
      <c r="K162" s="95" t="s">
        <v>135</v>
      </c>
      <c r="L162" s="95" t="s">
        <v>130</v>
      </c>
      <c r="M162" s="95">
        <v>1137.95</v>
      </c>
    </row>
    <row r="163" spans="1:13" ht="15" customHeight="1" outlineLevel="1" x14ac:dyDescent="0.2">
      <c r="A163" s="93" t="s">
        <v>125</v>
      </c>
      <c r="B163" s="94">
        <v>44848</v>
      </c>
      <c r="C163" s="95">
        <v>13</v>
      </c>
      <c r="D163" s="95">
        <v>7584</v>
      </c>
      <c r="E163" s="96">
        <v>30.06</v>
      </c>
      <c r="F163" s="96">
        <v>7.44</v>
      </c>
      <c r="G163" s="96">
        <v>34.659999999999997</v>
      </c>
      <c r="H163" s="96">
        <v>27.85</v>
      </c>
      <c r="I163" s="96">
        <v>0.16</v>
      </c>
      <c r="J163" s="95" t="s">
        <v>131</v>
      </c>
      <c r="K163" s="95" t="s">
        <v>135</v>
      </c>
      <c r="L163" s="95" t="s">
        <v>130</v>
      </c>
      <c r="M163" s="95">
        <v>1251.4000000000001</v>
      </c>
    </row>
    <row r="164" spans="1:13" ht="15" customHeight="1" outlineLevel="1" x14ac:dyDescent="0.2">
      <c r="A164" s="93" t="s">
        <v>125</v>
      </c>
      <c r="B164" s="94">
        <v>44852</v>
      </c>
      <c r="C164" s="95">
        <v>11</v>
      </c>
      <c r="D164" s="95">
        <v>7636</v>
      </c>
      <c r="E164" s="96">
        <v>29.78</v>
      </c>
      <c r="F164" s="96">
        <v>7.41</v>
      </c>
      <c r="G164" s="96">
        <v>34.86</v>
      </c>
      <c r="H164" s="96">
        <v>27.95</v>
      </c>
      <c r="I164" s="96">
        <v>0.19</v>
      </c>
      <c r="J164" s="95" t="s">
        <v>131</v>
      </c>
      <c r="K164" s="95" t="s">
        <v>135</v>
      </c>
      <c r="L164" s="95" t="s">
        <v>130</v>
      </c>
      <c r="M164" s="95">
        <v>1066.5</v>
      </c>
    </row>
    <row r="165" spans="1:13" ht="15" customHeight="1" outlineLevel="1" x14ac:dyDescent="0.2">
      <c r="A165" s="93" t="s">
        <v>125</v>
      </c>
      <c r="B165" s="94">
        <v>44853</v>
      </c>
      <c r="C165" s="95">
        <v>11</v>
      </c>
      <c r="D165" s="95">
        <v>7629</v>
      </c>
      <c r="E165" s="96">
        <v>29.91</v>
      </c>
      <c r="F165" s="96">
        <v>7.34</v>
      </c>
      <c r="G165" s="96">
        <v>34.840000000000003</v>
      </c>
      <c r="H165" s="96">
        <v>27.92</v>
      </c>
      <c r="I165" s="96">
        <v>0.19</v>
      </c>
      <c r="J165" s="95" t="s">
        <v>131</v>
      </c>
      <c r="K165" s="95" t="s">
        <v>135</v>
      </c>
      <c r="L165" s="95" t="s">
        <v>130</v>
      </c>
      <c r="M165" s="95">
        <v>1064.9000000000001</v>
      </c>
    </row>
    <row r="166" spans="1:13" ht="15" customHeight="1" outlineLevel="1" x14ac:dyDescent="0.2">
      <c r="A166" s="93" t="s">
        <v>125</v>
      </c>
      <c r="B166" s="94">
        <v>44854</v>
      </c>
      <c r="C166" s="95">
        <v>11</v>
      </c>
      <c r="D166" s="95">
        <v>7606</v>
      </c>
      <c r="E166" s="96">
        <v>30.47</v>
      </c>
      <c r="F166" s="96">
        <v>7.02</v>
      </c>
      <c r="G166" s="96">
        <v>34.78</v>
      </c>
      <c r="H166" s="96">
        <v>27.74</v>
      </c>
      <c r="I166" s="96">
        <v>0.16</v>
      </c>
      <c r="J166" s="95" t="s">
        <v>131</v>
      </c>
      <c r="K166" s="95" t="s">
        <v>135</v>
      </c>
      <c r="L166" s="95" t="s">
        <v>130</v>
      </c>
      <c r="M166" s="95">
        <v>1059.2</v>
      </c>
    </row>
    <row r="167" spans="1:13" ht="15" customHeight="1" outlineLevel="1" x14ac:dyDescent="0.2">
      <c r="A167" s="93" t="s">
        <v>125</v>
      </c>
      <c r="B167" s="94">
        <v>44855</v>
      </c>
      <c r="C167" s="95">
        <v>11</v>
      </c>
      <c r="D167" s="95">
        <v>7503</v>
      </c>
      <c r="E167" s="96">
        <v>31.61</v>
      </c>
      <c r="F167" s="96">
        <v>6.74</v>
      </c>
      <c r="G167" s="96">
        <v>34.409999999999997</v>
      </c>
      <c r="H167" s="96">
        <v>27.25</v>
      </c>
      <c r="I167" s="96">
        <v>0.16</v>
      </c>
      <c r="J167" s="95" t="s">
        <v>131</v>
      </c>
      <c r="K167" s="95" t="s">
        <v>135</v>
      </c>
      <c r="L167" s="95" t="s">
        <v>130</v>
      </c>
      <c r="M167" s="95">
        <v>1041.9000000000001</v>
      </c>
    </row>
    <row r="168" spans="1:13" ht="15" customHeight="1" outlineLevel="1" x14ac:dyDescent="0.2">
      <c r="A168" s="93" t="s">
        <v>125</v>
      </c>
      <c r="B168" s="94">
        <v>44859</v>
      </c>
      <c r="C168" s="95">
        <v>14</v>
      </c>
      <c r="D168" s="95">
        <v>7586</v>
      </c>
      <c r="E168" s="96">
        <v>30.33</v>
      </c>
      <c r="F168" s="96">
        <v>7.64</v>
      </c>
      <c r="G168" s="96">
        <v>34.71</v>
      </c>
      <c r="H168" s="96">
        <v>27.32</v>
      </c>
      <c r="I168" s="96">
        <v>0.16</v>
      </c>
      <c r="J168" s="95" t="s">
        <v>131</v>
      </c>
      <c r="K168" s="95" t="s">
        <v>135</v>
      </c>
      <c r="L168" s="95" t="s">
        <v>130</v>
      </c>
      <c r="M168" s="95">
        <v>1353.65</v>
      </c>
    </row>
    <row r="169" spans="1:13" ht="15" customHeight="1" outlineLevel="1" x14ac:dyDescent="0.2">
      <c r="A169" s="93" t="s">
        <v>125</v>
      </c>
      <c r="B169" s="94">
        <v>44860</v>
      </c>
      <c r="C169" s="95">
        <v>15</v>
      </c>
      <c r="D169" s="95">
        <v>7600</v>
      </c>
      <c r="E169" s="96">
        <v>30.2</v>
      </c>
      <c r="F169" s="96">
        <v>7.66</v>
      </c>
      <c r="G169" s="96">
        <v>34.770000000000003</v>
      </c>
      <c r="H169" s="96">
        <v>27.38</v>
      </c>
      <c r="I169" s="96">
        <v>0.16</v>
      </c>
      <c r="J169" s="95" t="s">
        <v>131</v>
      </c>
      <c r="K169" s="95" t="s">
        <v>135</v>
      </c>
      <c r="L169" s="95" t="s">
        <v>130</v>
      </c>
      <c r="M169" s="95">
        <v>1447.15</v>
      </c>
    </row>
    <row r="170" spans="1:13" ht="15" customHeight="1" outlineLevel="1" x14ac:dyDescent="0.2">
      <c r="A170" s="93" t="s">
        <v>125</v>
      </c>
      <c r="B170" s="94">
        <v>44862</v>
      </c>
      <c r="C170" s="95">
        <v>15</v>
      </c>
      <c r="D170" s="95">
        <v>7627</v>
      </c>
      <c r="E170" s="96">
        <v>29.42</v>
      </c>
      <c r="F170" s="96">
        <v>7.92</v>
      </c>
      <c r="G170" s="96">
        <v>35.270000000000003</v>
      </c>
      <c r="H170" s="96">
        <v>27.39</v>
      </c>
      <c r="I170" s="96">
        <v>0.17</v>
      </c>
      <c r="J170" s="95" t="s">
        <v>131</v>
      </c>
      <c r="K170" s="95" t="s">
        <v>135</v>
      </c>
      <c r="L170" s="95" t="s">
        <v>130</v>
      </c>
      <c r="M170" s="95">
        <v>1462.15</v>
      </c>
    </row>
    <row r="171" spans="1:13" ht="15" customHeight="1" outlineLevel="1" x14ac:dyDescent="0.2">
      <c r="A171" s="93" t="s">
        <v>125</v>
      </c>
      <c r="B171" s="94">
        <v>44867</v>
      </c>
      <c r="C171" s="95">
        <v>15</v>
      </c>
      <c r="D171" s="95">
        <v>7651</v>
      </c>
      <c r="E171" s="96">
        <v>30.26</v>
      </c>
      <c r="F171" s="96">
        <v>6.93</v>
      </c>
      <c r="G171" s="96">
        <v>35.71</v>
      </c>
      <c r="H171" s="96">
        <v>27.11</v>
      </c>
      <c r="I171" s="96">
        <v>0.13</v>
      </c>
      <c r="J171" s="95" t="s">
        <v>131</v>
      </c>
      <c r="K171" s="95" t="s">
        <v>135</v>
      </c>
      <c r="L171" s="95" t="s">
        <v>130</v>
      </c>
      <c r="M171" s="95">
        <v>1439.85</v>
      </c>
    </row>
    <row r="172" spans="1:13" ht="15" customHeight="1" outlineLevel="1" x14ac:dyDescent="0.2">
      <c r="A172" s="93" t="s">
        <v>125</v>
      </c>
      <c r="B172" s="94">
        <v>44868</v>
      </c>
      <c r="C172" s="95">
        <v>11</v>
      </c>
      <c r="D172" s="95">
        <v>7630</v>
      </c>
      <c r="E172" s="96">
        <v>30.15</v>
      </c>
      <c r="F172" s="96">
        <v>7.03</v>
      </c>
      <c r="G172" s="96">
        <v>34.94</v>
      </c>
      <c r="H172" s="96">
        <v>27.88</v>
      </c>
      <c r="I172" s="96">
        <v>0.14000000000000001</v>
      </c>
      <c r="J172" s="95" t="s">
        <v>131</v>
      </c>
      <c r="K172" s="95" t="s">
        <v>135</v>
      </c>
      <c r="L172" s="95" t="s">
        <v>130</v>
      </c>
      <c r="M172" s="95">
        <v>1035.0999999999999</v>
      </c>
    </row>
    <row r="173" spans="1:13" ht="15" customHeight="1" outlineLevel="1" x14ac:dyDescent="0.2">
      <c r="A173" s="93" t="s">
        <v>125</v>
      </c>
      <c r="B173" s="94">
        <v>44869</v>
      </c>
      <c r="C173" s="95">
        <v>16</v>
      </c>
      <c r="D173" s="95">
        <v>7593</v>
      </c>
      <c r="E173" s="96">
        <v>29.85</v>
      </c>
      <c r="F173" s="96">
        <v>7.23</v>
      </c>
      <c r="G173" s="96">
        <v>34.979999999999997</v>
      </c>
      <c r="H173" s="96">
        <v>27.95</v>
      </c>
      <c r="I173" s="96">
        <v>0.13</v>
      </c>
      <c r="J173" s="95" t="s">
        <v>131</v>
      </c>
      <c r="K173" s="95" t="s">
        <v>135</v>
      </c>
      <c r="L173" s="95" t="s">
        <v>130</v>
      </c>
      <c r="M173" s="95">
        <v>1404.15</v>
      </c>
    </row>
    <row r="174" spans="1:13" ht="15" customHeight="1" outlineLevel="1" x14ac:dyDescent="0.2">
      <c r="A174" s="93" t="s">
        <v>125</v>
      </c>
      <c r="B174" s="94">
        <v>44873</v>
      </c>
      <c r="C174" s="95">
        <v>9</v>
      </c>
      <c r="D174" s="95">
        <v>7516</v>
      </c>
      <c r="E174" s="96">
        <v>31.1</v>
      </c>
      <c r="F174" s="96">
        <v>7.07</v>
      </c>
      <c r="G174" s="96">
        <v>34.479999999999997</v>
      </c>
      <c r="H174" s="96">
        <v>27.35</v>
      </c>
      <c r="I174" s="96">
        <v>0.13</v>
      </c>
      <c r="J174" s="95" t="s">
        <v>131</v>
      </c>
      <c r="K174" s="95" t="s">
        <v>135</v>
      </c>
      <c r="L174" s="95" t="s">
        <v>130</v>
      </c>
      <c r="M174" s="95">
        <v>840.55</v>
      </c>
    </row>
    <row r="175" spans="1:13" ht="15" customHeight="1" outlineLevel="1" x14ac:dyDescent="0.2">
      <c r="A175" s="93" t="s">
        <v>125</v>
      </c>
      <c r="B175" s="94">
        <v>44874</v>
      </c>
      <c r="C175" s="95">
        <v>10</v>
      </c>
      <c r="D175" s="95">
        <v>7660</v>
      </c>
      <c r="E175" s="96">
        <v>30.5</v>
      </c>
      <c r="F175" s="96">
        <v>6.21</v>
      </c>
      <c r="G175" s="96">
        <v>35.17</v>
      </c>
      <c r="H175" s="96">
        <v>28.13</v>
      </c>
      <c r="I175" s="96">
        <v>0.11</v>
      </c>
      <c r="J175" s="95" t="s">
        <v>131</v>
      </c>
      <c r="K175" s="95" t="s">
        <v>135</v>
      </c>
      <c r="L175" s="95" t="s">
        <v>130</v>
      </c>
      <c r="M175" s="95">
        <v>945.5</v>
      </c>
    </row>
    <row r="176" spans="1:13" ht="15" customHeight="1" outlineLevel="1" x14ac:dyDescent="0.2">
      <c r="A176" s="93" t="s">
        <v>125</v>
      </c>
      <c r="B176" s="94">
        <v>44875</v>
      </c>
      <c r="C176" s="95">
        <v>9</v>
      </c>
      <c r="D176" s="95">
        <v>7696</v>
      </c>
      <c r="E176" s="96">
        <v>29.9</v>
      </c>
      <c r="F176" s="96">
        <v>6.48</v>
      </c>
      <c r="G176" s="96">
        <v>35.18</v>
      </c>
      <c r="H176" s="96">
        <v>28.45</v>
      </c>
      <c r="I176" s="96">
        <v>0.13</v>
      </c>
      <c r="J176" s="95" t="s">
        <v>131</v>
      </c>
      <c r="K176" s="95" t="s">
        <v>135</v>
      </c>
      <c r="L176" s="95" t="s">
        <v>130</v>
      </c>
      <c r="M176" s="95">
        <v>858.65</v>
      </c>
    </row>
    <row r="177" spans="1:13" ht="15" customHeight="1" outlineLevel="1" x14ac:dyDescent="0.2">
      <c r="A177" s="93" t="s">
        <v>125</v>
      </c>
      <c r="B177" s="94">
        <v>44876</v>
      </c>
      <c r="C177" s="95">
        <v>10</v>
      </c>
      <c r="D177" s="95">
        <v>7629</v>
      </c>
      <c r="E177" s="96">
        <v>30.16</v>
      </c>
      <c r="F177" s="96">
        <v>6.29</v>
      </c>
      <c r="G177" s="96">
        <v>34.909999999999997</v>
      </c>
      <c r="H177" s="96">
        <v>28.66</v>
      </c>
      <c r="I177" s="96">
        <v>0.13</v>
      </c>
      <c r="J177" s="95" t="s">
        <v>131</v>
      </c>
      <c r="K177" s="95" t="s">
        <v>135</v>
      </c>
      <c r="L177" s="95" t="s">
        <v>130</v>
      </c>
      <c r="M177" s="95">
        <v>942.5</v>
      </c>
    </row>
    <row r="178" spans="1:13" ht="15" customHeight="1" outlineLevel="1" x14ac:dyDescent="0.2">
      <c r="A178" s="93" t="s">
        <v>125</v>
      </c>
      <c r="B178" s="94">
        <v>44880</v>
      </c>
      <c r="C178" s="95">
        <v>12</v>
      </c>
      <c r="D178" s="95">
        <v>7487</v>
      </c>
      <c r="E178" s="96">
        <v>31.02</v>
      </c>
      <c r="F178" s="96">
        <v>6.87</v>
      </c>
      <c r="G178" s="96">
        <v>34.24</v>
      </c>
      <c r="H178" s="96">
        <v>27.87</v>
      </c>
      <c r="I178" s="96">
        <v>0.13</v>
      </c>
      <c r="J178" s="95" t="s">
        <v>131</v>
      </c>
      <c r="K178" s="95" t="s">
        <v>135</v>
      </c>
      <c r="L178" s="95" t="s">
        <v>130</v>
      </c>
      <c r="M178" s="95">
        <v>1149.05</v>
      </c>
    </row>
    <row r="179" spans="1:13" ht="15" customHeight="1" outlineLevel="1" x14ac:dyDescent="0.2">
      <c r="A179" s="93" t="s">
        <v>125</v>
      </c>
      <c r="B179" s="94">
        <v>44881</v>
      </c>
      <c r="C179" s="95">
        <v>11</v>
      </c>
      <c r="D179" s="95">
        <v>7600</v>
      </c>
      <c r="E179" s="96">
        <v>31.54</v>
      </c>
      <c r="F179" s="96">
        <v>5.68</v>
      </c>
      <c r="G179" s="96">
        <v>34.78</v>
      </c>
      <c r="H179" s="96">
        <v>28</v>
      </c>
      <c r="I179" s="96">
        <v>0.11</v>
      </c>
      <c r="J179" s="95" t="s">
        <v>133</v>
      </c>
      <c r="K179" s="91"/>
      <c r="L179" s="95" t="s">
        <v>134</v>
      </c>
      <c r="M179" s="95">
        <v>993.7</v>
      </c>
    </row>
    <row r="180" spans="1:13" ht="15" customHeight="1" outlineLevel="1" x14ac:dyDescent="0.2">
      <c r="A180" s="93" t="s">
        <v>125</v>
      </c>
      <c r="B180" s="94">
        <v>44882</v>
      </c>
      <c r="C180" s="95">
        <v>11</v>
      </c>
      <c r="D180" s="95">
        <v>7740</v>
      </c>
      <c r="E180" s="96">
        <v>31.6</v>
      </c>
      <c r="F180" s="96">
        <v>4.7699999999999996</v>
      </c>
      <c r="G180" s="96">
        <v>35.799999999999997</v>
      </c>
      <c r="H180" s="96">
        <v>27.84</v>
      </c>
      <c r="I180" s="96">
        <v>0.1</v>
      </c>
      <c r="J180" s="95" t="s">
        <v>133</v>
      </c>
      <c r="K180" s="91"/>
      <c r="L180" s="95" t="s">
        <v>130</v>
      </c>
      <c r="M180" s="95">
        <v>1007.85</v>
      </c>
    </row>
    <row r="181" spans="1:13" ht="15" customHeight="1" outlineLevel="1" x14ac:dyDescent="0.2">
      <c r="A181" s="93" t="s">
        <v>125</v>
      </c>
      <c r="B181" s="94">
        <v>44883</v>
      </c>
      <c r="C181" s="95">
        <v>11</v>
      </c>
      <c r="D181" s="95">
        <v>7736</v>
      </c>
      <c r="E181" s="96">
        <v>31.95</v>
      </c>
      <c r="F181" s="96">
        <v>4.42</v>
      </c>
      <c r="G181" s="96">
        <v>35.630000000000003</v>
      </c>
      <c r="H181" s="96">
        <v>28</v>
      </c>
      <c r="I181" s="96">
        <v>0.09</v>
      </c>
      <c r="J181" s="95" t="s">
        <v>133</v>
      </c>
      <c r="K181" s="91"/>
      <c r="L181" s="95" t="s">
        <v>130</v>
      </c>
      <c r="M181" s="95">
        <v>1030.8499999999999</v>
      </c>
    </row>
    <row r="182" spans="1:13" ht="15" customHeight="1" outlineLevel="1" x14ac:dyDescent="0.2">
      <c r="A182" s="93" t="s">
        <v>125</v>
      </c>
      <c r="B182" s="94">
        <v>44886</v>
      </c>
      <c r="C182" s="95">
        <v>13</v>
      </c>
      <c r="D182" s="95">
        <v>7741</v>
      </c>
      <c r="E182" s="96">
        <v>31.55</v>
      </c>
      <c r="F182" s="96">
        <v>4.58</v>
      </c>
      <c r="G182" s="96">
        <v>35.71</v>
      </c>
      <c r="H182" s="96">
        <v>28.17</v>
      </c>
      <c r="I182" s="96">
        <v>0.09</v>
      </c>
      <c r="J182" s="95" t="s">
        <v>133</v>
      </c>
      <c r="K182" s="91"/>
      <c r="L182" s="95" t="s">
        <v>134</v>
      </c>
      <c r="M182" s="95">
        <v>1172.2</v>
      </c>
    </row>
    <row r="183" spans="1:13" ht="15" customHeight="1" outlineLevel="1" x14ac:dyDescent="0.2">
      <c r="A183" s="93" t="s">
        <v>125</v>
      </c>
      <c r="B183" s="94">
        <v>44887</v>
      </c>
      <c r="C183" s="95">
        <v>12</v>
      </c>
      <c r="D183" s="95">
        <v>7717</v>
      </c>
      <c r="E183" s="96">
        <v>31.45</v>
      </c>
      <c r="F183" s="96">
        <v>4.78</v>
      </c>
      <c r="G183" s="96">
        <v>35.19</v>
      </c>
      <c r="H183" s="96">
        <v>28.58</v>
      </c>
      <c r="I183" s="96">
        <v>0.1</v>
      </c>
      <c r="J183" s="95" t="s">
        <v>133</v>
      </c>
      <c r="K183" s="91"/>
      <c r="L183" s="95" t="s">
        <v>130</v>
      </c>
      <c r="M183" s="95">
        <v>1095.5999999999999</v>
      </c>
    </row>
    <row r="184" spans="1:13" ht="15" customHeight="1" outlineLevel="1" x14ac:dyDescent="0.2">
      <c r="A184" s="93" t="s">
        <v>125</v>
      </c>
      <c r="B184" s="94">
        <v>44888</v>
      </c>
      <c r="C184" s="95">
        <v>5</v>
      </c>
      <c r="D184" s="95">
        <v>7675</v>
      </c>
      <c r="E184" s="96">
        <v>31.74</v>
      </c>
      <c r="F184" s="96">
        <v>5.0599999999999996</v>
      </c>
      <c r="G184" s="96">
        <v>35.200000000000003</v>
      </c>
      <c r="H184" s="96">
        <v>28</v>
      </c>
      <c r="I184" s="96">
        <v>0.13</v>
      </c>
      <c r="J184" s="95" t="s">
        <v>133</v>
      </c>
      <c r="K184" s="91"/>
      <c r="L184" s="95" t="s">
        <v>134</v>
      </c>
      <c r="M184" s="95">
        <v>461</v>
      </c>
    </row>
    <row r="185" spans="1:13" ht="15" customHeight="1" outlineLevel="1" x14ac:dyDescent="0.2">
      <c r="A185" s="93" t="s">
        <v>125</v>
      </c>
      <c r="B185" s="94">
        <v>44890</v>
      </c>
      <c r="C185" s="95">
        <v>14</v>
      </c>
      <c r="D185" s="95">
        <v>7698</v>
      </c>
      <c r="E185" s="96">
        <v>31.36</v>
      </c>
      <c r="F185" s="96">
        <v>5.0999999999999996</v>
      </c>
      <c r="G185" s="96">
        <v>35.32</v>
      </c>
      <c r="H185" s="96">
        <v>28.23</v>
      </c>
      <c r="I185" s="96">
        <v>0.12</v>
      </c>
      <c r="J185" s="95" t="s">
        <v>133</v>
      </c>
      <c r="K185" s="91"/>
      <c r="L185" s="95" t="s">
        <v>134</v>
      </c>
      <c r="M185" s="95">
        <v>1299.5999999999999</v>
      </c>
    </row>
    <row r="186" spans="1:13" ht="15" customHeight="1" outlineLevel="1" x14ac:dyDescent="0.2">
      <c r="A186" s="93" t="s">
        <v>125</v>
      </c>
      <c r="B186" s="94">
        <v>44894</v>
      </c>
      <c r="C186" s="95">
        <v>11</v>
      </c>
      <c r="D186" s="95">
        <v>7314</v>
      </c>
      <c r="E186" s="96">
        <v>31.86</v>
      </c>
      <c r="F186" s="96">
        <v>7.79</v>
      </c>
      <c r="G186" s="96">
        <v>33.409999999999997</v>
      </c>
      <c r="H186" s="96">
        <v>26.95</v>
      </c>
      <c r="I186" s="96">
        <v>0.14000000000000001</v>
      </c>
      <c r="J186" s="95" t="s">
        <v>131</v>
      </c>
      <c r="K186" s="95" t="s">
        <v>135</v>
      </c>
      <c r="L186" s="95" t="s">
        <v>136</v>
      </c>
      <c r="M186" s="95">
        <v>893.5</v>
      </c>
    </row>
    <row r="187" spans="1:13" ht="15" customHeight="1" outlineLevel="1" x14ac:dyDescent="0.2">
      <c r="A187" s="93" t="s">
        <v>125</v>
      </c>
      <c r="B187" s="94">
        <v>44895</v>
      </c>
      <c r="C187" s="95">
        <v>8</v>
      </c>
      <c r="D187" s="95">
        <v>7463</v>
      </c>
      <c r="E187" s="96">
        <v>32.33</v>
      </c>
      <c r="F187" s="96">
        <v>6.21</v>
      </c>
      <c r="G187" s="96">
        <v>34.020000000000003</v>
      </c>
      <c r="H187" s="96">
        <v>27.45</v>
      </c>
      <c r="I187" s="96">
        <v>0.13</v>
      </c>
      <c r="J187" s="95" t="s">
        <v>131</v>
      </c>
      <c r="K187" s="95" t="s">
        <v>135</v>
      </c>
      <c r="L187" s="95" t="s">
        <v>136</v>
      </c>
      <c r="M187" s="95">
        <v>645.79999999999995</v>
      </c>
    </row>
    <row r="188" spans="1:13" ht="15" customHeight="1" outlineLevel="1" x14ac:dyDescent="0.2">
      <c r="A188" s="93" t="s">
        <v>125</v>
      </c>
      <c r="B188" s="94">
        <v>44896</v>
      </c>
      <c r="C188" s="95">
        <v>11</v>
      </c>
      <c r="D188" s="95">
        <v>7697</v>
      </c>
      <c r="E188" s="96">
        <v>31.08</v>
      </c>
      <c r="F188" s="96">
        <v>5.6</v>
      </c>
      <c r="G188" s="96">
        <v>35.409999999999997</v>
      </c>
      <c r="H188" s="96">
        <v>27.92</v>
      </c>
      <c r="I188" s="96">
        <v>0.14000000000000001</v>
      </c>
      <c r="J188" s="95" t="s">
        <v>131</v>
      </c>
      <c r="K188" s="95" t="s">
        <v>135</v>
      </c>
      <c r="L188" s="95" t="s">
        <v>136</v>
      </c>
      <c r="M188" s="95">
        <v>920.5</v>
      </c>
    </row>
    <row r="189" spans="1:13" ht="15" customHeight="1" outlineLevel="1" x14ac:dyDescent="0.2">
      <c r="A189" s="93" t="s">
        <v>125</v>
      </c>
      <c r="B189" s="94">
        <v>44897</v>
      </c>
      <c r="C189" s="95">
        <v>8</v>
      </c>
      <c r="D189" s="95">
        <v>7745</v>
      </c>
      <c r="E189" s="96">
        <v>30.45</v>
      </c>
      <c r="F189" s="96">
        <v>5.72</v>
      </c>
      <c r="G189" s="96">
        <v>35.6</v>
      </c>
      <c r="H189" s="96">
        <v>28.24</v>
      </c>
      <c r="I189" s="96">
        <v>0.13</v>
      </c>
      <c r="J189" s="95" t="s">
        <v>131</v>
      </c>
      <c r="K189" s="95" t="s">
        <v>135</v>
      </c>
      <c r="L189" s="95" t="s">
        <v>136</v>
      </c>
      <c r="M189" s="95">
        <v>667.3</v>
      </c>
    </row>
    <row r="190" spans="1:13" ht="15" customHeight="1" outlineLevel="1" x14ac:dyDescent="0.2">
      <c r="A190" s="93" t="s">
        <v>125</v>
      </c>
      <c r="B190" s="94">
        <v>44901</v>
      </c>
      <c r="C190" s="95">
        <v>12</v>
      </c>
      <c r="D190" s="95">
        <v>7714</v>
      </c>
      <c r="E190" s="96">
        <v>31.23</v>
      </c>
      <c r="F190" s="96">
        <v>4.92</v>
      </c>
      <c r="G190" s="96">
        <v>36</v>
      </c>
      <c r="H190" s="96">
        <v>27.86</v>
      </c>
      <c r="I190" s="96">
        <v>0.13</v>
      </c>
      <c r="J190" s="95" t="s">
        <v>131</v>
      </c>
      <c r="K190" s="95" t="s">
        <v>135</v>
      </c>
      <c r="L190" s="95" t="s">
        <v>136</v>
      </c>
      <c r="M190" s="95">
        <v>1097.55</v>
      </c>
    </row>
    <row r="191" spans="1:13" ht="15" customHeight="1" outlineLevel="1" x14ac:dyDescent="0.2">
      <c r="A191" s="93" t="s">
        <v>125</v>
      </c>
      <c r="B191" s="94">
        <v>44902</v>
      </c>
      <c r="C191" s="95">
        <v>14</v>
      </c>
      <c r="D191" s="95">
        <v>7680</v>
      </c>
      <c r="E191" s="96">
        <v>31.32</v>
      </c>
      <c r="F191" s="96">
        <v>5.33</v>
      </c>
      <c r="G191" s="96">
        <v>35.78</v>
      </c>
      <c r="H191" s="96">
        <v>27.57</v>
      </c>
      <c r="I191" s="96">
        <v>0.14000000000000001</v>
      </c>
      <c r="J191" s="95" t="s">
        <v>131</v>
      </c>
      <c r="K191" s="95" t="s">
        <v>135</v>
      </c>
      <c r="L191" s="95" t="s">
        <v>136</v>
      </c>
      <c r="M191" s="95">
        <v>1262.5999999999999</v>
      </c>
    </row>
    <row r="192" spans="1:13" ht="15" customHeight="1" outlineLevel="1" x14ac:dyDescent="0.2">
      <c r="A192" s="93" t="s">
        <v>125</v>
      </c>
      <c r="B192" s="94">
        <v>44903</v>
      </c>
      <c r="C192" s="95">
        <v>15</v>
      </c>
      <c r="D192" s="95">
        <v>7737</v>
      </c>
      <c r="E192" s="96">
        <v>31.7</v>
      </c>
      <c r="F192" s="96">
        <v>4.4400000000000004</v>
      </c>
      <c r="G192" s="96">
        <v>35.659999999999997</v>
      </c>
      <c r="H192" s="96">
        <v>28.21</v>
      </c>
      <c r="I192" s="96">
        <v>0.1</v>
      </c>
      <c r="J192" s="95" t="s">
        <v>131</v>
      </c>
      <c r="K192" s="95" t="s">
        <v>135</v>
      </c>
      <c r="L192" s="95" t="s">
        <v>136</v>
      </c>
      <c r="M192" s="95">
        <v>1353.6</v>
      </c>
    </row>
    <row r="193" spans="1:13" ht="15" customHeight="1" outlineLevel="1" x14ac:dyDescent="0.2">
      <c r="A193" s="93" t="s">
        <v>125</v>
      </c>
      <c r="B193" s="94">
        <v>44904</v>
      </c>
      <c r="C193" s="95">
        <v>13</v>
      </c>
      <c r="D193" s="95">
        <v>7703</v>
      </c>
      <c r="E193" s="96">
        <v>31.17</v>
      </c>
      <c r="F193" s="96">
        <v>5</v>
      </c>
      <c r="G193" s="96">
        <v>36.020000000000003</v>
      </c>
      <c r="H193" s="96">
        <v>27.82</v>
      </c>
      <c r="I193" s="96">
        <v>0.12</v>
      </c>
      <c r="J193" s="95" t="s">
        <v>131</v>
      </c>
      <c r="K193" s="95" t="s">
        <v>135</v>
      </c>
      <c r="L193" s="95" t="s">
        <v>136</v>
      </c>
      <c r="M193" s="95">
        <v>1125.1500000000001</v>
      </c>
    </row>
    <row r="194" spans="1:13" ht="15" customHeight="1" outlineLevel="1" x14ac:dyDescent="0.2">
      <c r="A194" s="93" t="s">
        <v>125</v>
      </c>
      <c r="B194" s="94">
        <v>44908</v>
      </c>
      <c r="C194" s="95">
        <v>12</v>
      </c>
      <c r="D194" s="95">
        <v>7731</v>
      </c>
      <c r="E194" s="96">
        <v>31.32</v>
      </c>
      <c r="F194" s="96">
        <v>5.01</v>
      </c>
      <c r="G194" s="96">
        <v>35.74</v>
      </c>
      <c r="H194" s="96">
        <v>27.93</v>
      </c>
      <c r="I194" s="96">
        <v>0.13</v>
      </c>
      <c r="J194" s="95" t="s">
        <v>131</v>
      </c>
      <c r="K194" s="95" t="s">
        <v>135</v>
      </c>
      <c r="L194" s="95" t="s">
        <v>136</v>
      </c>
      <c r="M194" s="95">
        <v>1061.9000000000001</v>
      </c>
    </row>
    <row r="195" spans="1:13" ht="15" customHeight="1" outlineLevel="1" x14ac:dyDescent="0.2">
      <c r="A195" s="93" t="s">
        <v>125</v>
      </c>
      <c r="B195" s="94">
        <v>44909</v>
      </c>
      <c r="C195" s="95">
        <v>14</v>
      </c>
      <c r="D195" s="95">
        <v>7701</v>
      </c>
      <c r="E195" s="96">
        <v>31.62</v>
      </c>
      <c r="F195" s="96">
        <v>4.79</v>
      </c>
      <c r="G195" s="96">
        <v>36.020000000000003</v>
      </c>
      <c r="H195" s="96">
        <v>27.58</v>
      </c>
      <c r="I195" s="96">
        <v>0.11</v>
      </c>
      <c r="J195" s="95" t="s">
        <v>131</v>
      </c>
      <c r="K195" s="95" t="s">
        <v>135</v>
      </c>
      <c r="L195" s="95" t="s">
        <v>136</v>
      </c>
      <c r="M195" s="95">
        <v>1190.25</v>
      </c>
    </row>
    <row r="196" spans="1:13" ht="15" customHeight="1" outlineLevel="1" x14ac:dyDescent="0.2">
      <c r="A196" s="93" t="s">
        <v>125</v>
      </c>
      <c r="B196" s="94">
        <v>44910</v>
      </c>
      <c r="C196" s="95">
        <v>6</v>
      </c>
      <c r="D196" s="95">
        <v>7589</v>
      </c>
      <c r="E196" s="96">
        <v>32.69</v>
      </c>
      <c r="F196" s="96">
        <v>4.7300000000000004</v>
      </c>
      <c r="G196" s="96">
        <v>34.93</v>
      </c>
      <c r="H196" s="96">
        <v>27.66</v>
      </c>
      <c r="I196" s="96">
        <v>0.14000000000000001</v>
      </c>
      <c r="J196" s="95" t="s">
        <v>131</v>
      </c>
      <c r="K196" s="95" t="s">
        <v>135</v>
      </c>
      <c r="L196" s="95" t="s">
        <v>136</v>
      </c>
      <c r="M196" s="95">
        <v>520.54999999999995</v>
      </c>
    </row>
    <row r="197" spans="1:13" ht="15" customHeight="1" outlineLevel="1" x14ac:dyDescent="0.2">
      <c r="A197" s="93" t="s">
        <v>125</v>
      </c>
      <c r="B197" s="94">
        <v>44915</v>
      </c>
      <c r="C197" s="95">
        <v>4</v>
      </c>
      <c r="D197" s="95">
        <v>7493</v>
      </c>
      <c r="E197" s="96">
        <v>31.56</v>
      </c>
      <c r="F197" s="96">
        <v>6.5</v>
      </c>
      <c r="G197" s="96">
        <v>34.51</v>
      </c>
      <c r="H197" s="96">
        <v>27.43</v>
      </c>
      <c r="I197" s="96">
        <v>0.1</v>
      </c>
      <c r="J197" s="95" t="s">
        <v>137</v>
      </c>
      <c r="K197" s="91"/>
      <c r="L197" s="95" t="s">
        <v>127</v>
      </c>
      <c r="M197" s="95">
        <v>362</v>
      </c>
    </row>
    <row r="198" spans="1:13" x14ac:dyDescent="0.2">
      <c r="A198" s="218" t="s">
        <v>160</v>
      </c>
      <c r="B198" s="219"/>
      <c r="C198" s="219"/>
      <c r="D198" s="106">
        <f t="shared" ref="D198:I198" si="0">AVERAGE(D6:D197)</f>
        <v>7536.46875</v>
      </c>
      <c r="E198" s="97">
        <f t="shared" si="0"/>
        <v>31.311041666666657</v>
      </c>
      <c r="F198" s="97">
        <f t="shared" si="0"/>
        <v>6.5332291666666658</v>
      </c>
      <c r="G198" s="97">
        <f t="shared" si="0"/>
        <v>34.626197916666662</v>
      </c>
      <c r="H198" s="97">
        <f t="shared" si="0"/>
        <v>27.53458333333333</v>
      </c>
      <c r="I198" s="97">
        <f t="shared" si="0"/>
        <v>0.12401041666666666</v>
      </c>
      <c r="J198" s="108"/>
      <c r="K198" s="108"/>
      <c r="L198" s="108"/>
      <c r="M198" s="108"/>
    </row>
    <row r="199" spans="1:13" x14ac:dyDescent="0.2">
      <c r="A199" s="92" t="s">
        <v>165</v>
      </c>
    </row>
  </sheetData>
  <sheetProtection algorithmName="SHA-512" hashValue="4fUN8m6Tmz0E12O3kxRMwVZXfmnQHkit7rh0fcgOMB/mQ41Z6Ewq9jpa0AUs3OEBPokDKGy1ST2yisTji0DohA==" saltValue="pQWzLMugvgkIlNiernVljQ==" spinCount="100000" sheet="1" objects="1" scenarios="1"/>
  <mergeCells count="3">
    <mergeCell ref="A198:C198"/>
    <mergeCell ref="A1:M1"/>
    <mergeCell ref="A2:M2"/>
  </mergeCells>
  <pageMargins left="0.75" right="0.75" top="1" bottom="1" header="0.5" footer="0.5"/>
  <pageSetup scale="64" fitToHeight="0" orientation="portrait" r:id="rId1"/>
  <rowBreaks count="1" manualBreakCount="1">
    <brk id="134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801683-13b5-4471-b07d-4f526a8d92e6" xsi:nil="true"/>
    <lcf76f155ced4ddcb4097134ff3c332f xmlns="328188c1-2ee9-48af-ac1f-a2e00dbc830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08C179EEC2074C94A5872F733D36B4" ma:contentTypeVersion="16" ma:contentTypeDescription="Create a new document." ma:contentTypeScope="" ma:versionID="0f5fbe200114ef317095e8011f4b7a2d">
  <xsd:schema xmlns:xsd="http://www.w3.org/2001/XMLSchema" xmlns:xs="http://www.w3.org/2001/XMLSchema" xmlns:p="http://schemas.microsoft.com/office/2006/metadata/properties" xmlns:ns2="328188c1-2ee9-48af-ac1f-a2e00dbc8300" xmlns:ns3="e9801683-13b5-4471-b07d-4f526a8d92e6" targetNamespace="http://schemas.microsoft.com/office/2006/metadata/properties" ma:root="true" ma:fieldsID="18f240d04f6301ac98a2c5d2ac33bf3c" ns2:_="" ns3:_="">
    <xsd:import namespace="328188c1-2ee9-48af-ac1f-a2e00dbc8300"/>
    <xsd:import namespace="e9801683-13b5-4471-b07d-4f526a8d92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188c1-2ee9-48af-ac1f-a2e00dbc8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1fff9b3-6ef6-4aa5-8852-6b1354b1ee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01683-13b5-4471-b07d-4f526a8d92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b7ffe5-37ca-40c1-9381-711a17cdd677}" ma:internalName="TaxCatchAll" ma:showField="CatchAllData" ma:web="e9801683-13b5-4471-b07d-4f526a8d92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B554E7-7EC7-41A9-B9EF-A1835D77E501}">
  <ds:schemaRefs>
    <ds:schemaRef ds:uri="http://www.w3.org/XML/1998/namespace"/>
    <ds:schemaRef ds:uri="http://schemas.openxmlformats.org/package/2006/metadata/core-properties"/>
    <ds:schemaRef ds:uri="72015905-4d0d-4ae0-b3ea-d4701cfe5471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7e9b5c05-a975-4802-a405-d1c1f43ad3d1"/>
    <ds:schemaRef ds:uri="http://schemas.microsoft.com/office/2006/metadata/properties"/>
    <ds:schemaRef ds:uri="http://purl.org/dc/elements/1.1/"/>
    <ds:schemaRef ds:uri="e9801683-13b5-4471-b07d-4f526a8d92e6"/>
    <ds:schemaRef ds:uri="328188c1-2ee9-48af-ac1f-a2e00dbc8300"/>
  </ds:schemaRefs>
</ds:datastoreItem>
</file>

<file path=customXml/itemProps2.xml><?xml version="1.0" encoding="utf-8"?>
<ds:datastoreItem xmlns:ds="http://schemas.openxmlformats.org/officeDocument/2006/customXml" ds:itemID="{EAEEB4AA-FBC8-4385-9A3A-8D502BE6D8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8188c1-2ee9-48af-ac1f-a2e00dbc8300"/>
    <ds:schemaRef ds:uri="e9801683-13b5-4471-b07d-4f526a8d92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16089E-0F98-4C06-B3B4-553C37A633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1-Available</vt:lpstr>
      <vt:lpstr>2-Feasible</vt:lpstr>
      <vt:lpstr>3-Ranking</vt:lpstr>
      <vt:lpstr>4-CostEffective</vt:lpstr>
      <vt:lpstr>TableA-SO2_PTE</vt:lpstr>
      <vt:lpstr>TableB-BACT_Cost</vt:lpstr>
      <vt:lpstr>TableC-Labor_Rate</vt:lpstr>
      <vt:lpstr>TableD-Ash_Disposal</vt:lpstr>
      <vt:lpstr>TableE-2022_Coal_Samples </vt:lpstr>
      <vt:lpstr>TableF-DSI_Electrical_Equip</vt:lpstr>
      <vt:lpstr>'TableA-SO2_PTE'!Print_Area</vt:lpstr>
      <vt:lpstr>'TableB-BACT_Cost'!Print_Area</vt:lpstr>
      <vt:lpstr>'TableD-Ash_Disposal'!Print_Area</vt:lpstr>
      <vt:lpstr>'TableE-2022_Coal_Samples '!Print_Area</vt:lpstr>
      <vt:lpstr>'TableF-DSI_Electrical_Equip'!Print_Area</vt:lpstr>
      <vt:lpstr>'TableB-BACT_Cost'!Print_Titles</vt:lpstr>
      <vt:lpstr>'TableE-2022_Coal_Samples '!Print_Titles</vt:lpstr>
      <vt:lpstr>'TableF-DSI_Electrical_Equip'!Print_Titles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Kimball</dc:creator>
  <cp:lastModifiedBy>Alimi, Adeyemi S (DEC)</cp:lastModifiedBy>
  <cp:lastPrinted>2024-01-25T20:33:26Z</cp:lastPrinted>
  <dcterms:created xsi:type="dcterms:W3CDTF">2023-06-12T23:31:26Z</dcterms:created>
  <dcterms:modified xsi:type="dcterms:W3CDTF">2024-08-21T18:01:44Z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0x010100EF08C179EEC2074C94A5872F733D36B4</vt:lpwstr>
  </property>
</Properties>
</file>