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asalimi\Downloads\8202024\BACM Spreadsheets Umbraco Ready\"/>
    </mc:Choice>
  </mc:AlternateContent>
  <xr:revisionPtr revIDLastSave="0" documentId="13_ncr:1_{864FC2BB-F1DC-4BAD-85C5-8FD51981ADF6}" xr6:coauthVersionLast="47" xr6:coauthVersionMax="47" xr10:uidLastSave="{00000000-0000-0000-0000-000000000000}"/>
  <bookViews>
    <workbookView xWindow="-120" yWindow="-120" windowWidth="29040" windowHeight="15840" xr2:uid="{00000000-000D-0000-FFFF-FFFF00000000}"/>
  </bookViews>
  <sheets>
    <sheet name="Idle Reduction Technology" sheetId="9" r:id="rId1"/>
    <sheet name="Yearly Totals" sheetId="3" r:id="rId2"/>
    <sheet name="Individual Truck Breakdown" sheetId="8"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3" i="9" l="1"/>
  <c r="B71" i="9" l="1"/>
  <c r="D48" i="9" l="1"/>
  <c r="B65" i="9" s="1"/>
  <c r="C48" i="9"/>
  <c r="B48" i="9"/>
  <c r="B63" i="9"/>
  <c r="C36" i="9"/>
  <c r="B64" i="9" l="1"/>
  <c r="B66" i="9" s="1"/>
  <c r="B70" i="9" s="1"/>
  <c r="K56" i="3" l="1"/>
  <c r="I56" i="3"/>
  <c r="H56" i="3"/>
  <c r="BX14" i="8"/>
  <c r="BX13" i="8"/>
  <c r="BX12" i="8"/>
  <c r="BX11" i="8"/>
  <c r="BX10" i="8"/>
  <c r="BX9" i="8"/>
  <c r="BX8" i="8"/>
  <c r="BX7" i="8"/>
  <c r="BX6" i="8"/>
  <c r="BX5" i="8"/>
  <c r="BX4" i="8"/>
  <c r="BX3" i="8"/>
  <c r="BV8" i="8"/>
  <c r="BT8" i="8"/>
  <c r="BV6" i="8"/>
  <c r="BI10" i="8"/>
  <c r="BT10" i="8" s="1"/>
  <c r="BV3" i="8"/>
  <c r="BT6" i="8"/>
  <c r="BT5" i="8"/>
  <c r="BT3" i="8"/>
  <c r="BK10" i="8"/>
  <c r="BI14" i="8"/>
  <c r="BI13" i="8"/>
  <c r="BI12" i="8"/>
  <c r="BI8" i="8"/>
  <c r="BI6" i="8"/>
  <c r="BI5" i="8"/>
  <c r="BI3" i="8"/>
  <c r="BK14" i="8"/>
  <c r="BK13" i="8"/>
  <c r="BK12" i="8"/>
  <c r="BK3" i="8"/>
  <c r="BK5" i="8"/>
  <c r="BK6" i="8"/>
  <c r="BK8" i="8"/>
  <c r="BV10" i="8"/>
  <c r="BV5" i="8"/>
  <c r="I30" i="3" l="1"/>
  <c r="C56" i="3"/>
  <c r="K48" i="3"/>
  <c r="I48" i="3"/>
  <c r="BK45" i="8"/>
  <c r="BH45" i="8" s="1"/>
  <c r="BK44" i="8"/>
  <c r="BI44" i="8"/>
  <c r="BK43" i="8"/>
  <c r="BH43" i="8" s="1"/>
  <c r="BK42" i="8"/>
  <c r="BI42" i="8"/>
  <c r="BI41" i="8"/>
  <c r="BK41" i="8"/>
  <c r="BK40" i="8"/>
  <c r="BI40" i="8"/>
  <c r="BK38" i="8"/>
  <c r="BK36" i="8"/>
  <c r="BI36" i="8"/>
  <c r="BK31" i="8"/>
  <c r="BI31" i="8"/>
  <c r="BK30" i="8"/>
  <c r="BI30" i="8"/>
  <c r="D48" i="3"/>
  <c r="C48" i="3"/>
  <c r="F48" i="3" s="1"/>
  <c r="C40" i="3"/>
  <c r="F40" i="3" s="1"/>
  <c r="D40" i="3"/>
  <c r="BH44" i="8" l="1"/>
  <c r="C49" i="3" l="1"/>
  <c r="H48" i="3"/>
  <c r="BW48" i="8" l="1"/>
  <c r="BV48" i="8"/>
  <c r="BU48" i="8"/>
  <c r="BT48" i="8"/>
  <c r="BP48" i="8"/>
  <c r="BO48" i="8"/>
  <c r="BN48" i="8"/>
  <c r="BX47" i="8"/>
  <c r="BR47" i="8"/>
  <c r="BQ47" i="8"/>
  <c r="BX46" i="8"/>
  <c r="BR46" i="8"/>
  <c r="BQ46" i="8"/>
  <c r="BX45" i="8"/>
  <c r="BR45" i="8"/>
  <c r="BQ45" i="8"/>
  <c r="BX44" i="8"/>
  <c r="BR44" i="8"/>
  <c r="BQ44" i="8"/>
  <c r="BX43" i="8"/>
  <c r="BR43" i="8"/>
  <c r="BQ43" i="8"/>
  <c r="BX42" i="8"/>
  <c r="BS42" i="8"/>
  <c r="BR42" i="8"/>
  <c r="BQ42" i="8"/>
  <c r="BX41" i="8"/>
  <c r="BS41" i="8"/>
  <c r="BR41" i="8"/>
  <c r="BQ41" i="8"/>
  <c r="BX40" i="8"/>
  <c r="BS40" i="8"/>
  <c r="BR40" i="8"/>
  <c r="BQ40" i="8"/>
  <c r="BX39" i="8"/>
  <c r="BS39" i="8"/>
  <c r="BR39" i="8"/>
  <c r="BQ39" i="8"/>
  <c r="BX38" i="8"/>
  <c r="BS38" i="8"/>
  <c r="BR38" i="8"/>
  <c r="BQ38" i="8"/>
  <c r="BX37" i="8"/>
  <c r="BR37" i="8"/>
  <c r="BQ37" i="8"/>
  <c r="BX36" i="8"/>
  <c r="BS36" i="8"/>
  <c r="BR36" i="8"/>
  <c r="BQ36" i="8"/>
  <c r="BX35" i="8"/>
  <c r="BS35" i="8"/>
  <c r="BR35" i="8"/>
  <c r="BQ35" i="8"/>
  <c r="BX34" i="8"/>
  <c r="BR34" i="8"/>
  <c r="BQ34" i="8"/>
  <c r="BX33" i="8"/>
  <c r="BS33" i="8"/>
  <c r="BR33" i="8"/>
  <c r="BQ33" i="8"/>
  <c r="BX32" i="8"/>
  <c r="BR32" i="8"/>
  <c r="BQ32" i="8"/>
  <c r="BX31" i="8"/>
  <c r="BS31" i="8"/>
  <c r="BS48" i="8" s="1"/>
  <c r="BR31" i="8"/>
  <c r="BQ31" i="8"/>
  <c r="BX30" i="8"/>
  <c r="BX48" i="8" s="1"/>
  <c r="BS30" i="8"/>
  <c r="BR30" i="8"/>
  <c r="BQ30" i="8"/>
  <c r="BW29" i="8"/>
  <c r="BV29" i="8"/>
  <c r="BU29" i="8"/>
  <c r="BT29" i="8"/>
  <c r="BP29" i="8"/>
  <c r="BO29" i="8"/>
  <c r="BX28" i="8"/>
  <c r="BR28" i="8"/>
  <c r="BX27" i="8"/>
  <c r="BS27" i="8"/>
  <c r="BR27" i="8"/>
  <c r="BX26" i="8"/>
  <c r="BS26" i="8"/>
  <c r="BR26" i="8"/>
  <c r="BX25" i="8"/>
  <c r="BS25" i="8"/>
  <c r="BR25" i="8"/>
  <c r="BX24" i="8"/>
  <c r="BS24" i="8"/>
  <c r="BR24" i="8"/>
  <c r="BX23" i="8"/>
  <c r="BS23" i="8"/>
  <c r="BR23" i="8"/>
  <c r="BX22" i="8"/>
  <c r="BS22" i="8"/>
  <c r="BR22" i="8"/>
  <c r="BX21" i="8"/>
  <c r="BS21" i="8"/>
  <c r="BR21" i="8"/>
  <c r="BX20" i="8"/>
  <c r="BS20" i="8"/>
  <c r="BR20" i="8"/>
  <c r="BX19" i="8"/>
  <c r="BS19" i="8"/>
  <c r="BR19" i="8"/>
  <c r="BX18" i="8"/>
  <c r="BS18" i="8"/>
  <c r="BR18" i="8"/>
  <c r="BX17" i="8"/>
  <c r="BX29" i="8" s="1"/>
  <c r="BS17" i="8"/>
  <c r="BS29" i="8" s="1"/>
  <c r="BR17" i="8"/>
  <c r="BX16" i="8"/>
  <c r="BS16" i="8"/>
  <c r="BR16" i="8"/>
  <c r="BW15" i="8"/>
  <c r="BV15" i="8"/>
  <c r="BU15" i="8"/>
  <c r="BT15" i="8"/>
  <c r="BP15" i="8"/>
  <c r="BO15" i="8"/>
  <c r="D56" i="3" s="1"/>
  <c r="BN15" i="8"/>
  <c r="BS14" i="8"/>
  <c r="BR14" i="8"/>
  <c r="BS13" i="8"/>
  <c r="BR13" i="8"/>
  <c r="BS12" i="8"/>
  <c r="BR12" i="8"/>
  <c r="BS11" i="8"/>
  <c r="BR11" i="8"/>
  <c r="BS10" i="8"/>
  <c r="BR10" i="8"/>
  <c r="BS9" i="8"/>
  <c r="BR9" i="8"/>
  <c r="BS8" i="8"/>
  <c r="BQ8" i="8"/>
  <c r="BS7" i="8"/>
  <c r="BQ7" i="8"/>
  <c r="BS6" i="8"/>
  <c r="BQ6" i="8"/>
  <c r="BS5" i="8"/>
  <c r="BQ5" i="8"/>
  <c r="BS4" i="8"/>
  <c r="BQ4" i="8"/>
  <c r="BS3" i="8"/>
  <c r="BQ3" i="8"/>
  <c r="K41" i="3"/>
  <c r="E41" i="3"/>
  <c r="D41" i="3"/>
  <c r="C41" i="3"/>
  <c r="K40" i="3"/>
  <c r="I40" i="3"/>
  <c r="BB18" i="8"/>
  <c r="BB16" i="8"/>
  <c r="K39" i="3"/>
  <c r="I39" i="3"/>
  <c r="BX15" i="8" l="1"/>
  <c r="M56" i="3" s="1"/>
  <c r="H55" i="9" s="1"/>
  <c r="H56" i="9" s="1"/>
  <c r="BS15" i="8"/>
  <c r="F41" i="3"/>
  <c r="G41" i="3"/>
  <c r="AX18" i="8"/>
  <c r="BM47" i="8"/>
  <c r="BM46" i="8"/>
  <c r="BM45" i="8"/>
  <c r="BM44" i="8"/>
  <c r="BM43" i="8"/>
  <c r="BM42" i="8"/>
  <c r="BM41" i="8"/>
  <c r="BM40" i="8"/>
  <c r="BM39" i="8"/>
  <c r="BM38" i="8"/>
  <c r="BM37" i="8"/>
  <c r="BM36" i="8"/>
  <c r="BM35" i="8"/>
  <c r="BM34" i="8"/>
  <c r="BM33" i="8"/>
  <c r="BM32" i="8"/>
  <c r="BM31" i="8"/>
  <c r="BM30" i="8"/>
  <c r="BM28" i="8"/>
  <c r="BM27" i="8"/>
  <c r="BM26" i="8"/>
  <c r="BM25" i="8"/>
  <c r="BM24" i="8"/>
  <c r="BM23" i="8"/>
  <c r="BM22" i="8"/>
  <c r="BM21" i="8"/>
  <c r="BM20" i="8"/>
  <c r="BM19" i="8"/>
  <c r="BM18" i="8"/>
  <c r="BM17" i="8"/>
  <c r="BM16" i="8"/>
  <c r="BM14" i="8"/>
  <c r="BM13" i="8"/>
  <c r="BM12" i="8"/>
  <c r="BM11" i="8"/>
  <c r="BM10" i="8"/>
  <c r="BM9" i="8"/>
  <c r="BM8" i="8"/>
  <c r="BM7" i="8"/>
  <c r="BM6" i="8"/>
  <c r="BM5" i="8"/>
  <c r="BM4" i="8"/>
  <c r="BM3" i="8"/>
  <c r="BL29" i="8"/>
  <c r="BK29" i="8"/>
  <c r="BJ29" i="8"/>
  <c r="BI29" i="8"/>
  <c r="BH29" i="8"/>
  <c r="AZ6" i="8"/>
  <c r="BB6" i="8" s="1"/>
  <c r="AZ5" i="8"/>
  <c r="AZ4" i="8"/>
  <c r="AW4" i="8" s="1"/>
  <c r="AO40" i="8"/>
  <c r="AO41" i="8"/>
  <c r="AO39" i="8"/>
  <c r="AZ27" i="8"/>
  <c r="AZ26" i="8"/>
  <c r="AZ25" i="8"/>
  <c r="AZ20" i="8"/>
  <c r="AZ19" i="8"/>
  <c r="AZ18" i="8"/>
  <c r="AZ16" i="8"/>
  <c r="AX27" i="8"/>
  <c r="AX26" i="8"/>
  <c r="AX25" i="8"/>
  <c r="AX21" i="8"/>
  <c r="BB21" i="8" s="1"/>
  <c r="AX20" i="8"/>
  <c r="AW20" i="8" s="1"/>
  <c r="AX19" i="8"/>
  <c r="AX16" i="8"/>
  <c r="BB20" i="8"/>
  <c r="BB19" i="8"/>
  <c r="H39" i="3"/>
  <c r="G39" i="3"/>
  <c r="E39" i="3"/>
  <c r="D39" i="3"/>
  <c r="AZ30" i="8"/>
  <c r="BB30" i="8"/>
  <c r="AZ31" i="8"/>
  <c r="BB31" i="8"/>
  <c r="AZ36" i="8"/>
  <c r="AZ38" i="8"/>
  <c r="AW38" i="8"/>
  <c r="AZ40" i="8"/>
  <c r="BB40" i="8" s="1"/>
  <c r="AZ42" i="8"/>
  <c r="BB4" i="8"/>
  <c r="BB14" i="8"/>
  <c r="BB13" i="8"/>
  <c r="BB12" i="8"/>
  <c r="BB11" i="8"/>
  <c r="BB10" i="8"/>
  <c r="BB9" i="8"/>
  <c r="BB8" i="8"/>
  <c r="BB7" i="8"/>
  <c r="BB5" i="8"/>
  <c r="BB3" i="8"/>
  <c r="BB28" i="8"/>
  <c r="BB27" i="8"/>
  <c r="BB25" i="8"/>
  <c r="BB24" i="8"/>
  <c r="BB23" i="8"/>
  <c r="BB22" i="8"/>
  <c r="BB17" i="8"/>
  <c r="BB41" i="8"/>
  <c r="BB39" i="8"/>
  <c r="BB37" i="8"/>
  <c r="BB36" i="8"/>
  <c r="BB35" i="8"/>
  <c r="BB34" i="8"/>
  <c r="BB33" i="8"/>
  <c r="BB32" i="8"/>
  <c r="BB47" i="8"/>
  <c r="BB46" i="8"/>
  <c r="BB45" i="8"/>
  <c r="BB44" i="8"/>
  <c r="BB43" i="8"/>
  <c r="AQ45" i="8"/>
  <c r="AF42" i="8"/>
  <c r="U42" i="8"/>
  <c r="AW47" i="8"/>
  <c r="AW46" i="8"/>
  <c r="AW45" i="8"/>
  <c r="AW44" i="8"/>
  <c r="AW43" i="8"/>
  <c r="AX42" i="8"/>
  <c r="AX41" i="8"/>
  <c r="AX30" i="8"/>
  <c r="AX31" i="8"/>
  <c r="AX36" i="8"/>
  <c r="AX40" i="8"/>
  <c r="AW19" i="8"/>
  <c r="AZ14" i="8"/>
  <c r="AZ12" i="8"/>
  <c r="AZ10" i="8"/>
  <c r="AZ8" i="8"/>
  <c r="AZ7" i="8"/>
  <c r="AX14" i="8"/>
  <c r="AX12" i="8"/>
  <c r="AX8" i="8"/>
  <c r="AX7" i="8"/>
  <c r="AX5" i="8"/>
  <c r="BL48" i="8"/>
  <c r="BK48" i="8"/>
  <c r="BJ48" i="8"/>
  <c r="BI48" i="8"/>
  <c r="BE48" i="8"/>
  <c r="BD48" i="8"/>
  <c r="BC48" i="8"/>
  <c r="BG47" i="8"/>
  <c r="BF47" i="8"/>
  <c r="BG46" i="8"/>
  <c r="BF46" i="8"/>
  <c r="BG45" i="8"/>
  <c r="BF45" i="8"/>
  <c r="BG44" i="8"/>
  <c r="BF44" i="8"/>
  <c r="BG43" i="8"/>
  <c r="BF43" i="8"/>
  <c r="BH42" i="8"/>
  <c r="BG42" i="8"/>
  <c r="BF42" i="8"/>
  <c r="BH41" i="8"/>
  <c r="BG41" i="8"/>
  <c r="BF41" i="8"/>
  <c r="BH40" i="8"/>
  <c r="BG40" i="8"/>
  <c r="BF40" i="8"/>
  <c r="BH39" i="8"/>
  <c r="BG39" i="8"/>
  <c r="BF39" i="8"/>
  <c r="BH38" i="8"/>
  <c r="BG38" i="8"/>
  <c r="BF38" i="8"/>
  <c r="BG37" i="8"/>
  <c r="BF37" i="8"/>
  <c r="BH36" i="8"/>
  <c r="BG36" i="8"/>
  <c r="BF36" i="8"/>
  <c r="BH35" i="8"/>
  <c r="BG35" i="8"/>
  <c r="BF35" i="8"/>
  <c r="BG34" i="8"/>
  <c r="BF34" i="8"/>
  <c r="BH33" i="8"/>
  <c r="BG33" i="8"/>
  <c r="BF33" i="8"/>
  <c r="BG32" i="8"/>
  <c r="BF32" i="8"/>
  <c r="BH31" i="8"/>
  <c r="BG31" i="8"/>
  <c r="BF31" i="8"/>
  <c r="BH30" i="8"/>
  <c r="BG30" i="8"/>
  <c r="BF30" i="8"/>
  <c r="BE29" i="8"/>
  <c r="BD29" i="8"/>
  <c r="BG28" i="8"/>
  <c r="BH27" i="8"/>
  <c r="BG27" i="8"/>
  <c r="BH26" i="8"/>
  <c r="BG26" i="8"/>
  <c r="BH25" i="8"/>
  <c r="BG25" i="8"/>
  <c r="BH24" i="8"/>
  <c r="BG24" i="8"/>
  <c r="BH23" i="8"/>
  <c r="BG23" i="8"/>
  <c r="BH22" i="8"/>
  <c r="BG22" i="8"/>
  <c r="BH21" i="8"/>
  <c r="BG21" i="8"/>
  <c r="BH20" i="8"/>
  <c r="BG20" i="8"/>
  <c r="BH19" i="8"/>
  <c r="BG19" i="8"/>
  <c r="BH18" i="8"/>
  <c r="BG18" i="8"/>
  <c r="BH17" i="8"/>
  <c r="BG17" i="8"/>
  <c r="BH16" i="8"/>
  <c r="BG16" i="8"/>
  <c r="BL15" i="8"/>
  <c r="BK15" i="8"/>
  <c r="K49" i="3" s="1"/>
  <c r="BJ15" i="8"/>
  <c r="BI15" i="8"/>
  <c r="I49" i="3" s="1"/>
  <c r="BE15" i="8"/>
  <c r="BD15" i="8"/>
  <c r="D49" i="3" s="1"/>
  <c r="F49" i="3" s="1"/>
  <c r="BC15" i="8"/>
  <c r="BH14" i="8"/>
  <c r="BG14" i="8"/>
  <c r="BH13" i="8"/>
  <c r="BG13" i="8"/>
  <c r="BH12" i="8"/>
  <c r="BG12" i="8"/>
  <c r="BH11" i="8"/>
  <c r="BG11" i="8"/>
  <c r="BH10" i="8"/>
  <c r="BG10" i="8"/>
  <c r="BH9" i="8"/>
  <c r="BG9" i="8"/>
  <c r="BH8" i="8"/>
  <c r="BF8" i="8"/>
  <c r="BH7" i="8"/>
  <c r="BF7" i="8"/>
  <c r="BH6" i="8"/>
  <c r="BF6" i="8"/>
  <c r="BH5" i="8"/>
  <c r="BF5" i="8"/>
  <c r="BH4" i="8"/>
  <c r="BF4" i="8"/>
  <c r="BH3" i="8"/>
  <c r="BF3" i="8"/>
  <c r="BA48" i="8"/>
  <c r="AY48" i="8"/>
  <c r="AT48" i="8"/>
  <c r="AS48" i="8"/>
  <c r="AR48" i="8"/>
  <c r="AP48" i="8"/>
  <c r="AI48" i="8"/>
  <c r="AH48" i="8"/>
  <c r="AG48" i="8"/>
  <c r="X48" i="8"/>
  <c r="W48" i="8"/>
  <c r="V48" i="8"/>
  <c r="T48" i="8"/>
  <c r="S48" i="8"/>
  <c r="R48" i="8"/>
  <c r="Q48" i="8"/>
  <c r="M48" i="8"/>
  <c r="L48" i="8"/>
  <c r="K48" i="8"/>
  <c r="G48" i="8"/>
  <c r="F48" i="8"/>
  <c r="E48" i="8"/>
  <c r="AV47" i="8"/>
  <c r="AU47" i="8"/>
  <c r="AQ47" i="8"/>
  <c r="AK47" i="8"/>
  <c r="AJ47" i="8"/>
  <c r="AF47" i="8"/>
  <c r="Z47" i="8"/>
  <c r="Y47" i="8"/>
  <c r="U47" i="8"/>
  <c r="P47" i="8"/>
  <c r="N47" i="8"/>
  <c r="J47" i="8"/>
  <c r="H47" i="8"/>
  <c r="AV46" i="8"/>
  <c r="AU46" i="8"/>
  <c r="AQ46" i="8"/>
  <c r="AK46" i="8"/>
  <c r="AJ46" i="8"/>
  <c r="AF46" i="8"/>
  <c r="Z46" i="8"/>
  <c r="Y46" i="8"/>
  <c r="U46" i="8"/>
  <c r="P46" i="8"/>
  <c r="N46" i="8"/>
  <c r="J46" i="8"/>
  <c r="H46" i="8"/>
  <c r="AV45" i="8"/>
  <c r="AU45" i="8"/>
  <c r="AK45" i="8"/>
  <c r="AJ45" i="8"/>
  <c r="AF45" i="8"/>
  <c r="Z45" i="8"/>
  <c r="Y45" i="8"/>
  <c r="U45" i="8"/>
  <c r="P45" i="8"/>
  <c r="N45" i="8"/>
  <c r="J45" i="8"/>
  <c r="H45" i="8"/>
  <c r="AV44" i="8"/>
  <c r="AU44" i="8"/>
  <c r="AQ44" i="8"/>
  <c r="AK44" i="8"/>
  <c r="AJ44" i="8"/>
  <c r="AF44" i="8"/>
  <c r="Z44" i="8"/>
  <c r="Y44" i="8"/>
  <c r="U44" i="8"/>
  <c r="P44" i="8"/>
  <c r="N44" i="8"/>
  <c r="J44" i="8"/>
  <c r="H44" i="8"/>
  <c r="AV43" i="8"/>
  <c r="AU43" i="8"/>
  <c r="AQ43" i="8"/>
  <c r="AK43" i="8"/>
  <c r="AJ43" i="8"/>
  <c r="AF43" i="8"/>
  <c r="Z43" i="8"/>
  <c r="Y43" i="8"/>
  <c r="U43" i="8"/>
  <c r="P43" i="8"/>
  <c r="N43" i="8"/>
  <c r="J43" i="8"/>
  <c r="H43" i="8"/>
  <c r="AV42" i="8"/>
  <c r="AU42" i="8"/>
  <c r="AQ42" i="8"/>
  <c r="AL42" i="8"/>
  <c r="AK42" i="8"/>
  <c r="AJ42" i="8"/>
  <c r="AB42" i="8"/>
  <c r="AA42" i="8" s="1"/>
  <c r="Z42" i="8"/>
  <c r="Y42" i="8"/>
  <c r="P42" i="8"/>
  <c r="N42" i="8"/>
  <c r="J42" i="8"/>
  <c r="H42" i="8"/>
  <c r="AW41" i="8"/>
  <c r="AV41" i="8"/>
  <c r="AU41" i="8"/>
  <c r="AK41" i="8"/>
  <c r="AJ41" i="8"/>
  <c r="AC41" i="8"/>
  <c r="AN41" i="8" s="1"/>
  <c r="AB41" i="8"/>
  <c r="AF41" i="8" s="1"/>
  <c r="Z41" i="8"/>
  <c r="Y41" i="8"/>
  <c r="U41" i="8"/>
  <c r="P41" i="8"/>
  <c r="N41" i="8"/>
  <c r="J41" i="8"/>
  <c r="H41" i="8"/>
  <c r="AV40" i="8"/>
  <c r="AU40" i="8"/>
  <c r="AK40" i="8"/>
  <c r="AJ40" i="8"/>
  <c r="AD40" i="8"/>
  <c r="AC40" i="8"/>
  <c r="AN40" i="8" s="1"/>
  <c r="AB40" i="8"/>
  <c r="AF40" i="8" s="1"/>
  <c r="Z40" i="8"/>
  <c r="Y40" i="8"/>
  <c r="U40" i="8"/>
  <c r="P40" i="8"/>
  <c r="N40" i="8"/>
  <c r="J40" i="8"/>
  <c r="H40" i="8"/>
  <c r="AW39" i="8"/>
  <c r="AV39" i="8"/>
  <c r="AU39" i="8"/>
  <c r="AN39" i="8"/>
  <c r="AM39" i="8"/>
  <c r="AK39" i="8"/>
  <c r="AJ39" i="8"/>
  <c r="AE39" i="8"/>
  <c r="AD39" i="8"/>
  <c r="AF39" i="8" s="1"/>
  <c r="AA39" i="8"/>
  <c r="Z39" i="8"/>
  <c r="Y39" i="8"/>
  <c r="U39" i="8"/>
  <c r="P39" i="8"/>
  <c r="N39" i="8"/>
  <c r="J39" i="8"/>
  <c r="H39" i="8"/>
  <c r="AV38" i="8"/>
  <c r="AU38" i="8"/>
  <c r="AQ38" i="8"/>
  <c r="AL38" i="8"/>
  <c r="AK38" i="8"/>
  <c r="AJ38" i="8"/>
  <c r="AC38" i="8"/>
  <c r="AB38" i="8"/>
  <c r="AF38" i="8" s="1"/>
  <c r="AA38" i="8"/>
  <c r="Z38" i="8"/>
  <c r="Y38" i="8"/>
  <c r="U38" i="8"/>
  <c r="P38" i="8"/>
  <c r="N38" i="8"/>
  <c r="J38" i="8"/>
  <c r="H38" i="8"/>
  <c r="AV37" i="8"/>
  <c r="AU37" i="8"/>
  <c r="AQ37" i="8"/>
  <c r="AK37" i="8"/>
  <c r="AJ37" i="8"/>
  <c r="AF37" i="8"/>
  <c r="Z37" i="8"/>
  <c r="Y37" i="8"/>
  <c r="U37" i="8"/>
  <c r="P37" i="8"/>
  <c r="N37" i="8"/>
  <c r="J37" i="8"/>
  <c r="H37" i="8"/>
  <c r="AW36" i="8"/>
  <c r="AV36" i="8"/>
  <c r="AU36" i="8"/>
  <c r="AQ36" i="8"/>
  <c r="AL36" i="8"/>
  <c r="AK36" i="8"/>
  <c r="AJ36" i="8"/>
  <c r="AE36" i="8"/>
  <c r="AE48" i="8" s="1"/>
  <c r="AD36" i="8"/>
  <c r="AC36" i="8"/>
  <c r="AC48" i="8" s="1"/>
  <c r="AB36" i="8"/>
  <c r="Z36" i="8"/>
  <c r="Y36" i="8"/>
  <c r="U36" i="8"/>
  <c r="P36" i="8"/>
  <c r="N36" i="8"/>
  <c r="J36" i="8"/>
  <c r="H36" i="8"/>
  <c r="AW35" i="8"/>
  <c r="AV35" i="8"/>
  <c r="AU35" i="8"/>
  <c r="AQ35" i="8"/>
  <c r="AL35" i="8"/>
  <c r="AK35" i="8"/>
  <c r="AJ35" i="8"/>
  <c r="AD35" i="8"/>
  <c r="AB35" i="8"/>
  <c r="AF35" i="8" s="1"/>
  <c r="Z35" i="8"/>
  <c r="Y35" i="8"/>
  <c r="U35" i="8"/>
  <c r="P35" i="8"/>
  <c r="N35" i="8"/>
  <c r="J35" i="8"/>
  <c r="H35" i="8"/>
  <c r="AV34" i="8"/>
  <c r="AU34" i="8"/>
  <c r="AQ34" i="8"/>
  <c r="AK34" i="8"/>
  <c r="AJ34" i="8"/>
  <c r="AF34" i="8"/>
  <c r="Z34" i="8"/>
  <c r="Y34" i="8"/>
  <c r="U34" i="8"/>
  <c r="P34" i="8"/>
  <c r="N34" i="8"/>
  <c r="J34" i="8"/>
  <c r="H34" i="8"/>
  <c r="AW33" i="8"/>
  <c r="AV33" i="8"/>
  <c r="AU33" i="8"/>
  <c r="AQ33" i="8"/>
  <c r="AL33" i="8"/>
  <c r="AK33" i="8"/>
  <c r="AJ33" i="8"/>
  <c r="AB33" i="8"/>
  <c r="AF33" i="8" s="1"/>
  <c r="Z33" i="8"/>
  <c r="Y33" i="8"/>
  <c r="U33" i="8"/>
  <c r="P33" i="8"/>
  <c r="N33" i="8"/>
  <c r="J33" i="8"/>
  <c r="H33" i="8"/>
  <c r="AV32" i="8"/>
  <c r="AU32" i="8"/>
  <c r="AQ32" i="8"/>
  <c r="AK32" i="8"/>
  <c r="AJ32" i="8"/>
  <c r="AF32" i="8"/>
  <c r="Z32" i="8"/>
  <c r="Y32" i="8"/>
  <c r="U32" i="8"/>
  <c r="P32" i="8"/>
  <c r="N32" i="8"/>
  <c r="J32" i="8"/>
  <c r="H32" i="8"/>
  <c r="AW31" i="8"/>
  <c r="AV31" i="8"/>
  <c r="AU31" i="8"/>
  <c r="AN31" i="8"/>
  <c r="AM31" i="8"/>
  <c r="AQ31" i="8" s="1"/>
  <c r="AK31" i="8"/>
  <c r="AJ31" i="8"/>
  <c r="AF31" i="8"/>
  <c r="AA31" i="8"/>
  <c r="Z31" i="8"/>
  <c r="Y31" i="8"/>
  <c r="U31" i="8"/>
  <c r="P31" i="8"/>
  <c r="N31" i="8"/>
  <c r="J31" i="8"/>
  <c r="H31" i="8"/>
  <c r="AV30" i="8"/>
  <c r="AU30" i="8"/>
  <c r="AN30" i="8"/>
  <c r="AM30" i="8"/>
  <c r="AQ30" i="8" s="1"/>
  <c r="AL30" i="8"/>
  <c r="AK30" i="8"/>
  <c r="AJ30" i="8"/>
  <c r="AF30" i="8"/>
  <c r="AA30" i="8"/>
  <c r="Z30" i="8"/>
  <c r="Y30" i="8"/>
  <c r="U30" i="8"/>
  <c r="P30" i="8"/>
  <c r="N30" i="8"/>
  <c r="J30" i="8"/>
  <c r="H30" i="8"/>
  <c r="AT29" i="8"/>
  <c r="AS29" i="8"/>
  <c r="AI29" i="8"/>
  <c r="AH29" i="8"/>
  <c r="X29" i="8"/>
  <c r="W29" i="8"/>
  <c r="T29" i="8"/>
  <c r="S29" i="8"/>
  <c r="R29" i="8"/>
  <c r="Q29" i="8"/>
  <c r="M29" i="8"/>
  <c r="L29" i="8"/>
  <c r="G29" i="8"/>
  <c r="F29" i="8"/>
  <c r="E29" i="8"/>
  <c r="BA29" i="8"/>
  <c r="AY29" i="8"/>
  <c r="AK28" i="8"/>
  <c r="AE28" i="8"/>
  <c r="AD28" i="8"/>
  <c r="AF28" i="8" s="1"/>
  <c r="AC28" i="8"/>
  <c r="AB28" i="8"/>
  <c r="AA28" i="8"/>
  <c r="Z28" i="8"/>
  <c r="U28" i="8"/>
  <c r="P28" i="8"/>
  <c r="O28" i="8"/>
  <c r="J28" i="8"/>
  <c r="I28" i="8"/>
  <c r="AW27" i="8"/>
  <c r="AV27" i="8"/>
  <c r="AP27" i="8"/>
  <c r="AO27" i="8"/>
  <c r="AM27" i="8"/>
  <c r="AL27" i="8" s="1"/>
  <c r="AK27" i="8"/>
  <c r="AE27" i="8"/>
  <c r="AD27" i="8"/>
  <c r="AA27" i="8" s="1"/>
  <c r="AC27" i="8"/>
  <c r="AN27" i="8" s="1"/>
  <c r="AB27" i="8"/>
  <c r="Z27" i="8"/>
  <c r="U27" i="8"/>
  <c r="P27" i="8"/>
  <c r="O27" i="8"/>
  <c r="J27" i="8"/>
  <c r="I27" i="8"/>
  <c r="AV26" i="8"/>
  <c r="AO26" i="8"/>
  <c r="AN26" i="8"/>
  <c r="AM26" i="8"/>
  <c r="AK26" i="8"/>
  <c r="AE26" i="8"/>
  <c r="AP26" i="8" s="1"/>
  <c r="AD26" i="8"/>
  <c r="AC26" i="8"/>
  <c r="AB26" i="8"/>
  <c r="AF26" i="8" s="1"/>
  <c r="AA26" i="8"/>
  <c r="Z26" i="8"/>
  <c r="U26" i="8"/>
  <c r="P26" i="8"/>
  <c r="O26" i="8"/>
  <c r="J26" i="8"/>
  <c r="I26" i="8"/>
  <c r="AW25" i="8"/>
  <c r="AV25" i="8"/>
  <c r="AM25" i="8"/>
  <c r="AL25" i="8" s="1"/>
  <c r="AK25" i="8"/>
  <c r="AE25" i="8"/>
  <c r="AP25" i="8" s="1"/>
  <c r="AD25" i="8"/>
  <c r="AO25" i="8" s="1"/>
  <c r="AC25" i="8"/>
  <c r="AN25" i="8" s="1"/>
  <c r="AB25" i="8"/>
  <c r="AF25" i="8" s="1"/>
  <c r="Z25" i="8"/>
  <c r="U25" i="8"/>
  <c r="P25" i="8"/>
  <c r="O25" i="8"/>
  <c r="J25" i="8"/>
  <c r="I25" i="8"/>
  <c r="AW24" i="8"/>
  <c r="AV24" i="8"/>
  <c r="AQ24" i="8"/>
  <c r="AL24" i="8"/>
  <c r="AK24" i="8"/>
  <c r="AF24" i="8"/>
  <c r="AC24" i="8"/>
  <c r="AA24" i="8"/>
  <c r="Z24" i="8"/>
  <c r="O24" i="8"/>
  <c r="J24" i="8"/>
  <c r="I24" i="8"/>
  <c r="AW23" i="8"/>
  <c r="AV23" i="8"/>
  <c r="AN23" i="8"/>
  <c r="AK23" i="8"/>
  <c r="AE23" i="8"/>
  <c r="AP23" i="8" s="1"/>
  <c r="AD23" i="8"/>
  <c r="AO23" i="8" s="1"/>
  <c r="AC23" i="8"/>
  <c r="AB23" i="8"/>
  <c r="AM23" i="8" s="1"/>
  <c r="Z23" i="8"/>
  <c r="U23" i="8"/>
  <c r="P23" i="8"/>
  <c r="O23" i="8"/>
  <c r="J23" i="8"/>
  <c r="I23" i="8"/>
  <c r="AW22" i="8"/>
  <c r="AV22" i="8"/>
  <c r="AO22" i="8"/>
  <c r="AQ22" i="8" s="1"/>
  <c r="AK22" i="8"/>
  <c r="AE22" i="8"/>
  <c r="AP22" i="8" s="1"/>
  <c r="AD22" i="8"/>
  <c r="AF22" i="8" s="1"/>
  <c r="AC22" i="8"/>
  <c r="AB22" i="8"/>
  <c r="AA22" i="8"/>
  <c r="Z22" i="8"/>
  <c r="U22" i="8"/>
  <c r="P22" i="8"/>
  <c r="O22" i="8"/>
  <c r="J22" i="8"/>
  <c r="I22" i="8"/>
  <c r="AW21" i="8"/>
  <c r="AV21" i="8"/>
  <c r="AK21" i="8"/>
  <c r="AE21" i="8"/>
  <c r="AP21" i="8" s="1"/>
  <c r="AD21" i="8"/>
  <c r="AO21" i="8" s="1"/>
  <c r="AC21" i="8"/>
  <c r="AB21" i="8"/>
  <c r="AM21" i="8" s="1"/>
  <c r="AL21" i="8" s="1"/>
  <c r="Z21" i="8"/>
  <c r="U21" i="8"/>
  <c r="P21" i="8"/>
  <c r="O21" i="8"/>
  <c r="J21" i="8"/>
  <c r="I21" i="8"/>
  <c r="AV20" i="8"/>
  <c r="AP20" i="8"/>
  <c r="AK20" i="8"/>
  <c r="AE20" i="8"/>
  <c r="AD20" i="8"/>
  <c r="AO20" i="8" s="1"/>
  <c r="AC20" i="8"/>
  <c r="AB20" i="8"/>
  <c r="AA20" i="8" s="1"/>
  <c r="Z20" i="8"/>
  <c r="U20" i="8"/>
  <c r="P20" i="8"/>
  <c r="O20" i="8"/>
  <c r="J20" i="8"/>
  <c r="I20" i="8"/>
  <c r="AV19" i="8"/>
  <c r="AM19" i="8"/>
  <c r="AK19" i="8"/>
  <c r="AE19" i="8"/>
  <c r="AP19" i="8" s="1"/>
  <c r="AD19" i="8"/>
  <c r="AO19" i="8" s="1"/>
  <c r="AB19" i="8"/>
  <c r="AA19" i="8" s="1"/>
  <c r="Z19" i="8"/>
  <c r="U19" i="8"/>
  <c r="P19" i="8"/>
  <c r="O19" i="8"/>
  <c r="J19" i="8"/>
  <c r="I19" i="8"/>
  <c r="AV18" i="8"/>
  <c r="AO18" i="8"/>
  <c r="AK18" i="8"/>
  <c r="AE18" i="8"/>
  <c r="AP18" i="8" s="1"/>
  <c r="AD18" i="8"/>
  <c r="AC18" i="8"/>
  <c r="AB18" i="8"/>
  <c r="AM18" i="8" s="1"/>
  <c r="Z18" i="8"/>
  <c r="U18" i="8"/>
  <c r="P18" i="8"/>
  <c r="O18" i="8"/>
  <c r="J18" i="8"/>
  <c r="I18" i="8"/>
  <c r="AW17" i="8"/>
  <c r="AV17" i="8"/>
  <c r="AP17" i="8"/>
  <c r="AO17" i="8"/>
  <c r="AQ17" i="8" s="1"/>
  <c r="AK17" i="8"/>
  <c r="AE17" i="8"/>
  <c r="AD17" i="8"/>
  <c r="AC17" i="8"/>
  <c r="AB17" i="8"/>
  <c r="AA17" i="8" s="1"/>
  <c r="Z17" i="8"/>
  <c r="U17" i="8"/>
  <c r="P17" i="8"/>
  <c r="O17" i="8"/>
  <c r="J17" i="8"/>
  <c r="I17" i="8"/>
  <c r="AW16" i="8"/>
  <c r="AV16" i="8"/>
  <c r="AP16" i="8"/>
  <c r="AK16" i="8"/>
  <c r="AE16" i="8"/>
  <c r="AD16" i="8"/>
  <c r="AO16" i="8" s="1"/>
  <c r="AC16" i="8"/>
  <c r="AN16" i="8" s="1"/>
  <c r="AB16" i="8"/>
  <c r="AM16" i="8" s="1"/>
  <c r="Z16" i="8"/>
  <c r="U16" i="8"/>
  <c r="P16" i="8"/>
  <c r="O16" i="8"/>
  <c r="J16" i="8"/>
  <c r="I16" i="8"/>
  <c r="BA15" i="8"/>
  <c r="AY15" i="8"/>
  <c r="AT15" i="8"/>
  <c r="AS15" i="8"/>
  <c r="AR15" i="8"/>
  <c r="AP15" i="8"/>
  <c r="AO15" i="8"/>
  <c r="AN15" i="8"/>
  <c r="AM15" i="8"/>
  <c r="AI15" i="8"/>
  <c r="AH15" i="8"/>
  <c r="AG15" i="8"/>
  <c r="AE15" i="8"/>
  <c r="AD15" i="8"/>
  <c r="AC15" i="8"/>
  <c r="AB15" i="8"/>
  <c r="X15" i="8"/>
  <c r="W15" i="8"/>
  <c r="T15" i="8"/>
  <c r="S15" i="8"/>
  <c r="R15" i="8"/>
  <c r="Q15" i="8"/>
  <c r="M15" i="8"/>
  <c r="L15" i="8"/>
  <c r="G15" i="8"/>
  <c r="F15" i="8"/>
  <c r="E15" i="8"/>
  <c r="AW14" i="8"/>
  <c r="AV14" i="8"/>
  <c r="AQ14" i="8"/>
  <c r="AL14" i="8"/>
  <c r="AK14" i="8"/>
  <c r="AF14" i="8"/>
  <c r="U14" i="8"/>
  <c r="J14" i="8"/>
  <c r="I14" i="8"/>
  <c r="H14" i="8"/>
  <c r="AW13" i="8"/>
  <c r="AV13" i="8"/>
  <c r="AQ13" i="8"/>
  <c r="AL13" i="8"/>
  <c r="AK13" i="8"/>
  <c r="AF13" i="8"/>
  <c r="U13" i="8"/>
  <c r="J13" i="8"/>
  <c r="I13" i="8"/>
  <c r="H13" i="8"/>
  <c r="AV12" i="8"/>
  <c r="AQ12" i="8"/>
  <c r="AL12" i="8"/>
  <c r="AK12" i="8"/>
  <c r="AF12" i="8"/>
  <c r="U12" i="8"/>
  <c r="J12" i="8"/>
  <c r="I12" i="8"/>
  <c r="H12" i="8"/>
  <c r="AW11" i="8"/>
  <c r="AV11" i="8"/>
  <c r="AQ11" i="8"/>
  <c r="AL11" i="8"/>
  <c r="AK11" i="8"/>
  <c r="AF11" i="8"/>
  <c r="U11" i="8"/>
  <c r="J11" i="8"/>
  <c r="I11" i="8"/>
  <c r="H11" i="8"/>
  <c r="AW10" i="8"/>
  <c r="AV10" i="8"/>
  <c r="AQ10" i="8"/>
  <c r="AL10" i="8"/>
  <c r="AK10" i="8"/>
  <c r="AF10" i="8"/>
  <c r="U10" i="8"/>
  <c r="J10" i="8"/>
  <c r="I10" i="8"/>
  <c r="H10" i="8"/>
  <c r="AW9" i="8"/>
  <c r="AV9" i="8"/>
  <c r="AQ9" i="8"/>
  <c r="AL9" i="8"/>
  <c r="AK9" i="8"/>
  <c r="AF9" i="8"/>
  <c r="U9" i="8"/>
  <c r="J9" i="8"/>
  <c r="I9" i="8"/>
  <c r="H9" i="8"/>
  <c r="AW8" i="8"/>
  <c r="AU8" i="8"/>
  <c r="AQ8" i="8"/>
  <c r="AL8" i="8"/>
  <c r="AJ8" i="8"/>
  <c r="AF8" i="8"/>
  <c r="U8" i="8"/>
  <c r="J8" i="8"/>
  <c r="H8" i="8"/>
  <c r="AW7" i="8"/>
  <c r="AU7" i="8"/>
  <c r="AQ7" i="8"/>
  <c r="AL7" i="8"/>
  <c r="AJ7" i="8"/>
  <c r="AF7" i="8"/>
  <c r="U7" i="8"/>
  <c r="J7" i="8"/>
  <c r="H7" i="8"/>
  <c r="AW6" i="8"/>
  <c r="AU6" i="8"/>
  <c r="AQ6" i="8"/>
  <c r="AL6" i="8"/>
  <c r="AJ6" i="8"/>
  <c r="AF6" i="8"/>
  <c r="U6" i="8"/>
  <c r="J6" i="8"/>
  <c r="H6" i="8"/>
  <c r="AW5" i="8"/>
  <c r="AU5" i="8"/>
  <c r="AQ5" i="8"/>
  <c r="AL5" i="8"/>
  <c r="AJ5" i="8"/>
  <c r="AF5" i="8"/>
  <c r="U5" i="8"/>
  <c r="J5" i="8"/>
  <c r="H5" i="8"/>
  <c r="AU4" i="8"/>
  <c r="AQ4" i="8"/>
  <c r="AL4" i="8"/>
  <c r="AJ4" i="8"/>
  <c r="AF4" i="8"/>
  <c r="U4" i="8"/>
  <c r="J4" i="8"/>
  <c r="H4" i="8"/>
  <c r="AW3" i="8"/>
  <c r="AU3" i="8"/>
  <c r="AQ3" i="8"/>
  <c r="AL3" i="8"/>
  <c r="AJ3" i="8"/>
  <c r="AF3" i="8"/>
  <c r="U3" i="8"/>
  <c r="J3" i="8"/>
  <c r="H3" i="8"/>
  <c r="H40" i="3"/>
  <c r="L32" i="3"/>
  <c r="K32" i="3"/>
  <c r="J32" i="3"/>
  <c r="I32" i="3"/>
  <c r="G32" i="3"/>
  <c r="F32" i="3"/>
  <c r="L31" i="3"/>
  <c r="K31" i="3"/>
  <c r="J31" i="3"/>
  <c r="I31" i="3"/>
  <c r="F31" i="3"/>
  <c r="L30" i="3"/>
  <c r="K30" i="3"/>
  <c r="J30" i="3"/>
  <c r="G30" i="3"/>
  <c r="M22" i="3"/>
  <c r="D54" i="9" s="1"/>
  <c r="I22" i="3"/>
  <c r="H22" i="3" s="1"/>
  <c r="F22" i="3"/>
  <c r="M21" i="3"/>
  <c r="D53" i="9" s="1"/>
  <c r="H21" i="3"/>
  <c r="G21" i="3"/>
  <c r="M13" i="3"/>
  <c r="C54" i="9" s="1"/>
  <c r="H13" i="3"/>
  <c r="F13" i="3"/>
  <c r="M12" i="3"/>
  <c r="H12" i="3"/>
  <c r="G12" i="3"/>
  <c r="C5" i="3"/>
  <c r="F5" i="3" s="1"/>
  <c r="F4" i="3"/>
  <c r="G3" i="3"/>
  <c r="U29" i="8" l="1"/>
  <c r="D56" i="9"/>
  <c r="BM29" i="8"/>
  <c r="C53" i="9"/>
  <c r="C56" i="9" s="1"/>
  <c r="H49" i="3"/>
  <c r="BH48" i="8"/>
  <c r="BM48" i="8"/>
  <c r="M48" i="3" s="1"/>
  <c r="G54" i="9" s="1"/>
  <c r="BH15" i="8"/>
  <c r="BM15" i="8"/>
  <c r="M49" i="3" s="1"/>
  <c r="G55" i="9" s="1"/>
  <c r="AW40" i="8"/>
  <c r="AW26" i="8"/>
  <c r="BB26" i="8"/>
  <c r="BB29" i="8" s="1"/>
  <c r="M39" i="3" s="1"/>
  <c r="F53" i="9" s="1"/>
  <c r="BB38" i="8"/>
  <c r="AZ48" i="8"/>
  <c r="BB42" i="8"/>
  <c r="BB48" i="8" s="1"/>
  <c r="M40" i="3" s="1"/>
  <c r="F54" i="9" s="1"/>
  <c r="AW42" i="8"/>
  <c r="AX48" i="8"/>
  <c r="AW30" i="8"/>
  <c r="AZ29" i="8"/>
  <c r="AX29" i="8"/>
  <c r="AW18" i="8"/>
  <c r="AZ15" i="8"/>
  <c r="AX15" i="8"/>
  <c r="I41" i="3" s="1"/>
  <c r="AW12" i="8"/>
  <c r="AW15" i="8" s="1"/>
  <c r="H31" i="3"/>
  <c r="J29" i="8"/>
  <c r="M3" i="3" s="1"/>
  <c r="B53" i="9" s="1"/>
  <c r="AE29" i="8"/>
  <c r="AQ27" i="8"/>
  <c r="AC29" i="8"/>
  <c r="AF20" i="8"/>
  <c r="P48" i="8"/>
  <c r="AQ15" i="8"/>
  <c r="M32" i="3" s="1"/>
  <c r="E55" i="9" s="1"/>
  <c r="P29" i="8"/>
  <c r="AF17" i="8"/>
  <c r="AL19" i="8"/>
  <c r="AL22" i="8"/>
  <c r="U48" i="8"/>
  <c r="AL31" i="8"/>
  <c r="AA35" i="8"/>
  <c r="AA48" i="8" s="1"/>
  <c r="AA41" i="8"/>
  <c r="AL17" i="8"/>
  <c r="AF19" i="8"/>
  <c r="AA25" i="8"/>
  <c r="AN48" i="8"/>
  <c r="AM40" i="8"/>
  <c r="J15" i="8"/>
  <c r="M5" i="3" s="1"/>
  <c r="B55" i="9" s="1"/>
  <c r="AW29" i="8"/>
  <c r="AN18" i="8"/>
  <c r="AQ21" i="8"/>
  <c r="AL26" i="8"/>
  <c r="AA33" i="8"/>
  <c r="AA36" i="8"/>
  <c r="AA40" i="8"/>
  <c r="AQ25" i="8"/>
  <c r="U15" i="8"/>
  <c r="AF15" i="8"/>
  <c r="AL15" i="8"/>
  <c r="AM20" i="8"/>
  <c r="AM29" i="8" s="1"/>
  <c r="J48" i="8"/>
  <c r="M4" i="3" s="1"/>
  <c r="B54" i="9" s="1"/>
  <c r="AM41" i="8"/>
  <c r="AL41" i="8" s="1"/>
  <c r="H32" i="3"/>
  <c r="H30" i="3"/>
  <c r="AP29" i="8"/>
  <c r="AL16" i="8"/>
  <c r="AQ16" i="8"/>
  <c r="AN29" i="8"/>
  <c r="AQ19" i="8"/>
  <c r="AQ23" i="8"/>
  <c r="AL23" i="8"/>
  <c r="AL18" i="8"/>
  <c r="AQ18" i="8"/>
  <c r="AO29" i="8"/>
  <c r="AB48" i="8"/>
  <c r="AF27" i="8"/>
  <c r="AF18" i="8"/>
  <c r="AQ26" i="8"/>
  <c r="AA16" i="8"/>
  <c r="AQ39" i="8"/>
  <c r="AQ40" i="8"/>
  <c r="AF21" i="8"/>
  <c r="AF36" i="8"/>
  <c r="AD48" i="8"/>
  <c r="AF23" i="8"/>
  <c r="AA21" i="8"/>
  <c r="AB29" i="8"/>
  <c r="AF16" i="8"/>
  <c r="AD29" i="8"/>
  <c r="AQ41" i="8"/>
  <c r="AA18" i="8"/>
  <c r="AA23" i="8"/>
  <c r="G56" i="9" l="1"/>
  <c r="B56" i="9"/>
  <c r="H41" i="3"/>
  <c r="AW48" i="8"/>
  <c r="BB15" i="8"/>
  <c r="M41" i="3" s="1"/>
  <c r="F55" i="9" s="1"/>
  <c r="F56" i="9" s="1"/>
  <c r="AF29" i="8"/>
  <c r="AM48" i="8"/>
  <c r="AL40" i="8"/>
  <c r="AQ48" i="8"/>
  <c r="M31" i="3" s="1"/>
  <c r="E54" i="9" s="1"/>
  <c r="AQ20" i="8"/>
  <c r="AQ29" i="8" s="1"/>
  <c r="M30" i="3" s="1"/>
  <c r="E53" i="9" s="1"/>
  <c r="AL20" i="8"/>
  <c r="AL29" i="8" s="1"/>
  <c r="AA29" i="8"/>
  <c r="AF48" i="8"/>
  <c r="AO48" i="8"/>
  <c r="AL39" i="8"/>
  <c r="AL48" i="8" s="1"/>
  <c r="E56" i="9" l="1"/>
  <c r="C57" i="9" s="1"/>
  <c r="C58" i="9" s="1"/>
  <c r="B69" i="9" s="1"/>
  <c r="N63" i="3"/>
  <c r="O63" i="3" s="1"/>
  <c r="O65" i="3" s="1"/>
  <c r="N6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Hoke, Steven</author>
  </authors>
  <commentList>
    <comment ref="H2" authorId="0" shapeId="0" xr:uid="{A9ED3AD6-4AE5-4078-8254-C9C6F8FF4915}">
      <text>
        <r>
          <rPr>
            <b/>
            <sz val="9"/>
            <color indexed="81"/>
            <rFont val="Tahoma"/>
            <family val="2"/>
          </rPr>
          <t>Hoke, Steven:</t>
        </r>
        <r>
          <rPr>
            <sz val="9"/>
            <color indexed="81"/>
            <rFont val="Tahoma"/>
            <family val="2"/>
          </rPr>
          <t xml:space="preserve">
Estimates provided by Fleets
</t>
        </r>
      </text>
    </comment>
    <comment ref="H11" authorId="0" shapeId="0" xr:uid="{E534C80B-23DC-4AE8-BA91-77BF7925F63C}">
      <text>
        <r>
          <rPr>
            <b/>
            <sz val="9"/>
            <color indexed="81"/>
            <rFont val="Tahoma"/>
            <family val="2"/>
          </rPr>
          <t>Hoke, Steven:</t>
        </r>
        <r>
          <rPr>
            <sz val="9"/>
            <color indexed="81"/>
            <rFont val="Tahoma"/>
            <family val="2"/>
          </rPr>
          <t xml:space="preserve">
Based on idle reduction usages hours/360 days/ number of vehicles</t>
        </r>
      </text>
    </comment>
    <comment ref="M11" authorId="0" shapeId="0" xr:uid="{18928AF0-45E3-481E-8425-2E581965BCA0}">
      <text>
        <r>
          <rPr>
            <b/>
            <sz val="9"/>
            <color indexed="81"/>
            <rFont val="Tahoma"/>
            <family val="2"/>
          </rPr>
          <t>Hoke, Steven:</t>
        </r>
        <r>
          <rPr>
            <sz val="9"/>
            <color indexed="81"/>
            <rFont val="Tahoma"/>
            <family val="2"/>
          </rPr>
          <t xml:space="preserve">
Calculation assumes that the heaters were running when the engines were off</t>
        </r>
      </text>
    </comment>
    <comment ref="I13" authorId="0" shapeId="0" xr:uid="{BCBBF475-D72E-4708-ABC7-342981C8FC6E}">
      <text>
        <r>
          <rPr>
            <b/>
            <sz val="9"/>
            <color indexed="81"/>
            <rFont val="Tahoma"/>
            <family val="2"/>
          </rPr>
          <t>Hoke, Steven:</t>
        </r>
        <r>
          <rPr>
            <sz val="9"/>
            <color indexed="81"/>
            <rFont val="Tahoma"/>
            <family val="2"/>
          </rPr>
          <t xml:space="preserve">
A few of Lynden's Trucks already had hydronic heaters installed prior to participation in program and no initial hours were collected </t>
        </r>
      </text>
    </comment>
    <comment ref="H20" authorId="0" shapeId="0" xr:uid="{2C30E542-2DB3-4E10-8124-F7B6644EB2BD}">
      <text>
        <r>
          <rPr>
            <b/>
            <sz val="9"/>
            <color indexed="81"/>
            <rFont val="Tahoma"/>
            <family val="2"/>
          </rPr>
          <t>Hoke, Steven:</t>
        </r>
        <r>
          <rPr>
            <sz val="9"/>
            <color indexed="81"/>
            <rFont val="Tahoma"/>
            <family val="2"/>
          </rPr>
          <t xml:space="preserve">
Based on idle reduction usages hours/365 days/ number of vehicles</t>
        </r>
      </text>
    </comment>
    <comment ref="H29" authorId="0" shapeId="0" xr:uid="{05C22CE6-BFEC-4F95-9703-175E9E19FE1F}">
      <text>
        <r>
          <rPr>
            <b/>
            <sz val="9"/>
            <color indexed="81"/>
            <rFont val="Tahoma"/>
            <family val="2"/>
          </rPr>
          <t>Hoke, Steven:</t>
        </r>
        <r>
          <rPr>
            <sz val="9"/>
            <color indexed="81"/>
            <rFont val="Tahoma"/>
            <family val="2"/>
          </rPr>
          <t xml:space="preserve">
Based on idle reduction usages hours/360 days/ number of vehicles</t>
        </r>
      </text>
    </comment>
    <comment ref="H38" authorId="0" shapeId="0" xr:uid="{375276E7-230F-4F53-89B4-2198C62C513E}">
      <text>
        <r>
          <rPr>
            <b/>
            <sz val="9"/>
            <color indexed="81"/>
            <rFont val="Tahoma"/>
            <family val="2"/>
          </rPr>
          <t>Hoke, Steven:</t>
        </r>
        <r>
          <rPr>
            <sz val="9"/>
            <color indexed="81"/>
            <rFont val="Tahoma"/>
            <family val="2"/>
          </rPr>
          <t xml:space="preserve">
Based on idle reduction usages hours/360 days/ number of vehicles</t>
        </r>
      </text>
    </comment>
    <comment ref="H46" authorId="0" shapeId="0" xr:uid="{B2C021B3-1552-46BF-966C-F90D31425A3F}">
      <text>
        <r>
          <rPr>
            <b/>
            <sz val="9"/>
            <color indexed="81"/>
            <rFont val="Tahoma"/>
            <family val="2"/>
          </rPr>
          <t>Hoke, Steven:</t>
        </r>
        <r>
          <rPr>
            <sz val="9"/>
            <color indexed="81"/>
            <rFont val="Tahoma"/>
            <family val="2"/>
          </rPr>
          <t xml:space="preserve">
Based on idle reduction usages hours/360 days/ number of vehicles</t>
        </r>
      </text>
    </comment>
    <comment ref="H53" authorId="0" shapeId="0" xr:uid="{6A6249FA-817D-4982-AA31-8059533E8779}">
      <text>
        <r>
          <rPr>
            <b/>
            <sz val="9"/>
            <color indexed="81"/>
            <rFont val="Tahoma"/>
            <family val="2"/>
          </rPr>
          <t>Hoke, Steven:</t>
        </r>
        <r>
          <rPr>
            <sz val="9"/>
            <color indexed="81"/>
            <rFont val="Tahoma"/>
            <family val="2"/>
          </rPr>
          <t xml:space="preserve">
Based on idle reduction usages hours/360 days/ number of vehicles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Hoke, Steven</author>
  </authors>
  <commentList>
    <comment ref="D2" authorId="0" shapeId="0" xr:uid="{9EB7A543-8690-431D-AC84-16507B3DD651}">
      <text>
        <r>
          <rPr>
            <b/>
            <sz val="9"/>
            <color indexed="81"/>
            <rFont val="Tahoma"/>
            <family val="2"/>
          </rPr>
          <t>Hoke, Steven:</t>
        </r>
        <r>
          <rPr>
            <sz val="9"/>
            <color indexed="81"/>
            <rFont val="Tahoma"/>
            <family val="2"/>
          </rPr>
          <t xml:space="preserve">
Estimates provided by Fleets
</t>
        </r>
      </text>
    </comment>
    <comment ref="J2" authorId="0" shapeId="0" xr:uid="{ADCF466A-08A2-439C-8FBC-66A727A90CC6}">
      <text>
        <r>
          <rPr>
            <b/>
            <sz val="9"/>
            <color indexed="81"/>
            <rFont val="Tahoma"/>
            <family val="2"/>
          </rPr>
          <t>Hoke, Steven:</t>
        </r>
        <r>
          <rPr>
            <sz val="9"/>
            <color indexed="81"/>
            <rFont val="Tahoma"/>
            <family val="2"/>
          </rPr>
          <t xml:space="preserve">
Estimate based on submitted estimated annual idle time per day</t>
        </r>
      </text>
    </comment>
    <comment ref="P2" authorId="0" shapeId="0" xr:uid="{ABA0C74F-1EDA-47FA-B521-BD94562C64BA}">
      <text>
        <r>
          <rPr>
            <b/>
            <sz val="9"/>
            <color indexed="81"/>
            <rFont val="Tahoma"/>
            <family val="2"/>
          </rPr>
          <t>Hoke, Steven:</t>
        </r>
        <r>
          <rPr>
            <sz val="9"/>
            <color indexed="81"/>
            <rFont val="Tahoma"/>
            <family val="2"/>
          </rPr>
          <t xml:space="preserve">
Based on idle reduction usages hours/365 days</t>
        </r>
      </text>
    </comment>
    <comment ref="U2" authorId="0" shapeId="0" xr:uid="{97179DE0-8CAB-4474-AD20-1D02EA719AA3}">
      <text>
        <r>
          <rPr>
            <b/>
            <sz val="9"/>
            <color indexed="81"/>
            <rFont val="Tahoma"/>
            <family val="2"/>
          </rPr>
          <t>Hoke, Steven:</t>
        </r>
        <r>
          <rPr>
            <sz val="9"/>
            <color indexed="81"/>
            <rFont val="Tahoma"/>
            <family val="2"/>
          </rPr>
          <t xml:space="preserve">
Calculation assumes that the heaters were running when the engines were off</t>
        </r>
      </text>
    </comment>
    <comment ref="AA2" authorId="0" shapeId="0" xr:uid="{D00AD881-68A7-4DAE-BBDC-3511C4D01026}">
      <text>
        <r>
          <rPr>
            <b/>
            <sz val="9"/>
            <color indexed="81"/>
            <rFont val="Tahoma"/>
            <family val="2"/>
          </rPr>
          <t>Hoke, Steven:</t>
        </r>
        <r>
          <rPr>
            <sz val="9"/>
            <color indexed="81"/>
            <rFont val="Tahoma"/>
            <family val="2"/>
          </rPr>
          <t xml:space="preserve">
Based on idle reduction usages hours/365 days</t>
        </r>
      </text>
    </comment>
    <comment ref="AF2" authorId="0" shapeId="0" xr:uid="{82AE8DD0-F4A4-40F0-91D3-E87998FA71A1}">
      <text>
        <r>
          <rPr>
            <b/>
            <sz val="9"/>
            <color indexed="81"/>
            <rFont val="Tahoma"/>
            <family val="2"/>
          </rPr>
          <t>Hoke, Steven:</t>
        </r>
        <r>
          <rPr>
            <sz val="9"/>
            <color indexed="81"/>
            <rFont val="Tahoma"/>
            <family val="2"/>
          </rPr>
          <t xml:space="preserve">
Calculation assumes that the heaters were running when the engines were off</t>
        </r>
      </text>
    </comment>
    <comment ref="AL2" authorId="0" shapeId="0" xr:uid="{D16646A7-5236-4E35-B38B-16E4917A34C5}">
      <text>
        <r>
          <rPr>
            <b/>
            <sz val="9"/>
            <color indexed="81"/>
            <rFont val="Tahoma"/>
            <family val="2"/>
          </rPr>
          <t>Hoke, Steven:</t>
        </r>
        <r>
          <rPr>
            <sz val="9"/>
            <color indexed="81"/>
            <rFont val="Tahoma"/>
            <family val="2"/>
          </rPr>
          <t xml:space="preserve">
Based on idle reduction usages hours/365 days</t>
        </r>
      </text>
    </comment>
    <comment ref="AQ2" authorId="0" shapeId="0" xr:uid="{3C5D2441-8838-4698-9861-C4EDE2A4D3CF}">
      <text>
        <r>
          <rPr>
            <b/>
            <sz val="9"/>
            <color indexed="81"/>
            <rFont val="Tahoma"/>
            <family val="2"/>
          </rPr>
          <t>Hoke, Steven:</t>
        </r>
        <r>
          <rPr>
            <sz val="9"/>
            <color indexed="81"/>
            <rFont val="Tahoma"/>
            <family val="2"/>
          </rPr>
          <t xml:space="preserve">
Calculation assumes that the heaters were running when the engines were off</t>
        </r>
      </text>
    </comment>
    <comment ref="AW2" authorId="0" shapeId="0" xr:uid="{DE16B9E7-F0A6-489A-8A6F-083A019F7C00}">
      <text>
        <r>
          <rPr>
            <b/>
            <sz val="9"/>
            <color indexed="81"/>
            <rFont val="Tahoma"/>
            <family val="2"/>
          </rPr>
          <t>Hoke, Steven:</t>
        </r>
        <r>
          <rPr>
            <sz val="9"/>
            <color indexed="81"/>
            <rFont val="Tahoma"/>
            <family val="2"/>
          </rPr>
          <t xml:space="preserve">
Based on idle reduction usages hours/365 days</t>
        </r>
      </text>
    </comment>
    <comment ref="BB2" authorId="0" shapeId="0" xr:uid="{DA3CB33F-E3AA-4348-A84D-D75951F1E12C}">
      <text>
        <r>
          <rPr>
            <b/>
            <sz val="9"/>
            <color indexed="81"/>
            <rFont val="Tahoma"/>
            <family val="2"/>
          </rPr>
          <t>Hoke, Steven:</t>
        </r>
        <r>
          <rPr>
            <sz val="9"/>
            <color indexed="81"/>
            <rFont val="Tahoma"/>
            <family val="2"/>
          </rPr>
          <t xml:space="preserve">
Calculation assumes that the heaters were running when the engines were off</t>
        </r>
      </text>
    </comment>
    <comment ref="BH2" authorId="0" shapeId="0" xr:uid="{1FF44DE6-CCC8-42F5-92B3-07434422B3B2}">
      <text>
        <r>
          <rPr>
            <b/>
            <sz val="9"/>
            <color indexed="81"/>
            <rFont val="Tahoma"/>
            <family val="2"/>
          </rPr>
          <t>Hoke, Steven:</t>
        </r>
        <r>
          <rPr>
            <sz val="9"/>
            <color indexed="81"/>
            <rFont val="Tahoma"/>
            <family val="2"/>
          </rPr>
          <t xml:space="preserve">
Based on idle reduction usages hours/365 days</t>
        </r>
      </text>
    </comment>
    <comment ref="BM2" authorId="0" shapeId="0" xr:uid="{E1357EAF-9D6E-4022-A696-E62DBD74E2C6}">
      <text>
        <r>
          <rPr>
            <b/>
            <sz val="9"/>
            <color indexed="81"/>
            <rFont val="Tahoma"/>
            <family val="2"/>
          </rPr>
          <t>Hoke, Steven:</t>
        </r>
        <r>
          <rPr>
            <sz val="9"/>
            <color indexed="81"/>
            <rFont val="Tahoma"/>
            <family val="2"/>
          </rPr>
          <t xml:space="preserve">
Calculation assumes that the heaters were running when the engines were off</t>
        </r>
      </text>
    </comment>
    <comment ref="BS2" authorId="0" shapeId="0" xr:uid="{2EC43FC6-7F6B-4B1A-AF88-69E3D009DA67}">
      <text>
        <r>
          <rPr>
            <b/>
            <sz val="9"/>
            <color indexed="81"/>
            <rFont val="Tahoma"/>
            <family val="2"/>
          </rPr>
          <t>Hoke, Steven:</t>
        </r>
        <r>
          <rPr>
            <sz val="9"/>
            <color indexed="81"/>
            <rFont val="Tahoma"/>
            <family val="2"/>
          </rPr>
          <t xml:space="preserve">
Based on idle reduction usages hours/365 days</t>
        </r>
      </text>
    </comment>
    <comment ref="BX2" authorId="0" shapeId="0" xr:uid="{ED15FFD8-E2FD-4A76-8E68-457A70646C1C}">
      <text>
        <r>
          <rPr>
            <b/>
            <sz val="9"/>
            <color indexed="81"/>
            <rFont val="Tahoma"/>
            <family val="2"/>
          </rPr>
          <t>Hoke, Steven:</t>
        </r>
        <r>
          <rPr>
            <sz val="9"/>
            <color indexed="81"/>
            <rFont val="Tahoma"/>
            <family val="2"/>
          </rPr>
          <t xml:space="preserve">
Calculation assumes that the heaters were running when the engines were off</t>
        </r>
      </text>
    </comment>
    <comment ref="B32" authorId="0" shapeId="0" xr:uid="{B21B13FA-8686-4628-9A59-0A83A8E20FF1}">
      <text>
        <r>
          <rPr>
            <b/>
            <sz val="9"/>
            <color indexed="81"/>
            <rFont val="Tahoma"/>
            <family val="2"/>
          </rPr>
          <t>Hoke, Steven:</t>
        </r>
        <r>
          <rPr>
            <sz val="9"/>
            <color indexed="81"/>
            <rFont val="Tahoma"/>
            <family val="2"/>
          </rPr>
          <t xml:space="preserve">
Orange = Removed from program</t>
        </r>
      </text>
    </comment>
  </commentList>
</comments>
</file>

<file path=xl/sharedStrings.xml><?xml version="1.0" encoding="utf-8"?>
<sst xmlns="http://schemas.openxmlformats.org/spreadsheetml/2006/main" count="414" uniqueCount="130">
  <si>
    <t>Hours</t>
  </si>
  <si>
    <t>Company</t>
  </si>
  <si>
    <t># of Trucks</t>
  </si>
  <si>
    <t>Miles</t>
  </si>
  <si>
    <t xml:space="preserve">Fuel (gal) </t>
  </si>
  <si>
    <t>AWE</t>
  </si>
  <si>
    <t>Baseline</t>
  </si>
  <si>
    <t>Lynden</t>
  </si>
  <si>
    <t>AFF</t>
  </si>
  <si>
    <t>Baseline Year</t>
  </si>
  <si>
    <t>n/a</t>
  </si>
  <si>
    <t>MPG</t>
  </si>
  <si>
    <t>Comments</t>
  </si>
  <si>
    <t>A few of Lynden's Trucks already had coolant heaters installed</t>
  </si>
  <si>
    <t>GAL/HR</t>
  </si>
  <si>
    <t>4-13</t>
  </si>
  <si>
    <t>4-27</t>
  </si>
  <si>
    <t>4-28</t>
  </si>
  <si>
    <t>4-41</t>
  </si>
  <si>
    <t>4-42</t>
  </si>
  <si>
    <t>4-45</t>
  </si>
  <si>
    <t>4-53</t>
  </si>
  <si>
    <t>4-61</t>
  </si>
  <si>
    <t>2-119</t>
  </si>
  <si>
    <t>2-128</t>
  </si>
  <si>
    <t>2-111</t>
  </si>
  <si>
    <t>2-106</t>
  </si>
  <si>
    <t>Hydronic Hours</t>
  </si>
  <si>
    <t>Hydronic Fuel Used</t>
  </si>
  <si>
    <t>Airtronic  Hours</t>
  </si>
  <si>
    <t>Airtronic Fuel Used</t>
  </si>
  <si>
    <t>Annual Mean Temp</t>
  </si>
  <si>
    <t>Total PM Reduction (gr)</t>
  </si>
  <si>
    <t>Avg Year of Fleet</t>
  </si>
  <si>
    <t>2007 or newer</t>
  </si>
  <si>
    <t>Idle Time(hrs/day/vehicle)</t>
  </si>
  <si>
    <t>6 Lynden Trucks were removed from operating area w/o complete data collected</t>
  </si>
  <si>
    <t>1 truck has been down and may be removed from program</t>
  </si>
  <si>
    <t>Pounds of PM reduced</t>
  </si>
  <si>
    <t>Grams of PM reduced</t>
  </si>
  <si>
    <t>Idle Time replaced(hrs/day/vehicle)</t>
  </si>
  <si>
    <t>2006 and Older</t>
  </si>
  <si>
    <t>Total Produced PM (gr)</t>
  </si>
  <si>
    <t xml:space="preserve">A few of Lynden's Trucks already had hydronic heaters installed prior to participation in program and no initial hours were collected </t>
  </si>
  <si>
    <t xml:space="preserve">Fleet </t>
  </si>
  <si>
    <t>Equipment  #</t>
  </si>
  <si>
    <t>-</t>
  </si>
  <si>
    <t>Total PM Reduction (g)</t>
  </si>
  <si>
    <t>Airtronic Fuel Used (gal)</t>
  </si>
  <si>
    <t>Hydronic Fuel Used (gal)</t>
  </si>
  <si>
    <t>Idle Time replaced(hrs/day)</t>
  </si>
  <si>
    <t xml:space="preserve">Baseline Year </t>
  </si>
  <si>
    <t>AFF totals</t>
  </si>
  <si>
    <t>AWE Totals</t>
  </si>
  <si>
    <t>Lynden totals</t>
  </si>
  <si>
    <t>Tons of PM Reduced</t>
  </si>
  <si>
    <t>5 of the 6 trucks replaced</t>
  </si>
  <si>
    <t>2007 or newer?</t>
  </si>
  <si>
    <t>Grams Per Year Reduced</t>
  </si>
  <si>
    <t>Unit 574 blown engine no longer in operation</t>
  </si>
  <si>
    <t>2019 was final year</t>
  </si>
  <si>
    <t>2 more trucks removed due to mechanical, final year of reporting</t>
  </si>
  <si>
    <t xml:space="preserve">Hydronic Hours </t>
  </si>
  <si>
    <t>Total of 4 trucks removed due to mechanical issues</t>
  </si>
  <si>
    <t>Total Produced PM at Idle (g/yr)</t>
  </si>
  <si>
    <t>BACM Measure 57, 60, R20: Transportation Control Measures</t>
  </si>
  <si>
    <t>Key Data Sources, Assumptions, Methods:</t>
  </si>
  <si>
    <t>The project was implemented in 2016 and was completed in 2021</t>
  </si>
  <si>
    <t xml:space="preserve">A set of three trucking companies vehicles were equipped with both a cab heater and a Hydronic coolant heater. The obligations of the participating fleets would be maintenance, upkeep and three years of reporting.  </t>
  </si>
  <si>
    <t xml:space="preserve">Baseline data (fuel usage, engine hours etc.) would be collected from each of the participating fleets to be used in comparison to the future data reported on a regular basis after the installation of the idle reduction technology. </t>
  </si>
  <si>
    <t xml:space="preserve">Idle-reduction technologies </t>
  </si>
  <si>
    <t>ESPAR D2 Airtronic cab heaters and D5E Hydronic heaters</t>
  </si>
  <si>
    <t>GRIPs, ESPAR D2 Airtronic cab heaters and D5E Hydronic heaters</t>
  </si>
  <si>
    <t>ESPAR D2 Airtronic cab heaters and D5E Hydronic</t>
  </si>
  <si>
    <t>Company Name</t>
  </si>
  <si>
    <t>Technology Installed</t>
  </si>
  <si>
    <t>Alaska West Express (AWE)</t>
  </si>
  <si>
    <t>Lynden Transport</t>
  </si>
  <si>
    <t>American Fast Freight Inc. (AFF)</t>
  </si>
  <si>
    <t>ADEC implemented a pilot project funded through CMAQ program focused on installing idle reduction technologies in volunteer trucking fleet</t>
  </si>
  <si>
    <t>The following information was obtained from Steven Hoke, Air Quality Manager, Fairbanks North Star Borough</t>
  </si>
  <si>
    <t>Emissions</t>
  </si>
  <si>
    <t>All operating time of idle reduction technology offsets actual engine idle time. Assumes the idle reduction technology only operated when the engine would have been idling.</t>
  </si>
  <si>
    <t xml:space="preserve">There was no overlap between idle reduction technology usages. With no record of when each piece of equipment was used to offset idle time it would be impossible to know if the idle reduction devices were used simultaneously. </t>
  </si>
  <si>
    <t>Assumptions</t>
  </si>
  <si>
    <t>Fleet</t>
  </si>
  <si>
    <t>Total PM Reductions (g)</t>
  </si>
  <si>
    <t>Emissions Calculation</t>
  </si>
  <si>
    <t>Costs Information</t>
  </si>
  <si>
    <t>Year</t>
  </si>
  <si>
    <t>Costs</t>
  </si>
  <si>
    <t>--</t>
  </si>
  <si>
    <t>Total</t>
  </si>
  <si>
    <t>Equipment Installation</t>
  </si>
  <si>
    <t>ADEC Hours</t>
  </si>
  <si>
    <t>Cost</t>
  </si>
  <si>
    <t>Management Costs</t>
  </si>
  <si>
    <t>See tab "Yearly Totals" for emissions results</t>
  </si>
  <si>
    <t>engineering judgement</t>
  </si>
  <si>
    <t>Useful life for Equipment</t>
  </si>
  <si>
    <t xml:space="preserve">Capital Recovery Rate </t>
  </si>
  <si>
    <t>%</t>
  </si>
  <si>
    <t>https://www.federalreserve.gov/releases/h15/ as of 01/17/2023</t>
  </si>
  <si>
    <t>years</t>
  </si>
  <si>
    <t>Current 2023 Costs</t>
  </si>
  <si>
    <t>Adjusted for inflation using Inflation Calculator https://www.bls.gov/data/inflation_calculator.htm</t>
  </si>
  <si>
    <t>Capital Recovery Factor</t>
  </si>
  <si>
    <t>Annual Amortized Capital Cost ($/yr)</t>
  </si>
  <si>
    <t>Labor Costs</t>
  </si>
  <si>
    <t>Total Costs</t>
  </si>
  <si>
    <t>Cost Calculation</t>
  </si>
  <si>
    <t xml:space="preserve">Cost-Effectiveness Calculation </t>
  </si>
  <si>
    <t>Baseline Year PM2.5</t>
  </si>
  <si>
    <t>2016 PM2.5 Reductions (g)</t>
  </si>
  <si>
    <t>2017 PM2.5 Reductions (g)</t>
  </si>
  <si>
    <t>2018 PM2.5 Reductions (g)</t>
  </si>
  <si>
    <t>2019 PM2.5 Reductions (g)</t>
  </si>
  <si>
    <t>2020 PM2.5 Reductions (g)</t>
  </si>
  <si>
    <t>2021 PM2.5 Reductions (g)</t>
  </si>
  <si>
    <t>Total PM2.5 Reductions (g)</t>
  </si>
  <si>
    <t>Total PM2.5 Reductions (ton)</t>
  </si>
  <si>
    <t>Total Costs ($)</t>
  </si>
  <si>
    <t>Total Emissions Reduction (ton)</t>
  </si>
  <si>
    <t>Cost-Effectiveness ($/ton of PM2.5 removed)</t>
  </si>
  <si>
    <t>Emissions were estimated using MOVES3 emissions model. The VMT weighted idle emissions rates for regulatory classes 2b thorough 8b corresponding to calendar year 2022 was utilized.</t>
  </si>
  <si>
    <t xml:space="preserve">See "MOVES3_Fbks_BACM_IdleRates_Ann_2020_AllVehs.xlsx" </t>
  </si>
  <si>
    <t>Idle Emissions Factor for HDV (grams/hr)</t>
  </si>
  <si>
    <t>PM2.5 Emisson Factor</t>
  </si>
  <si>
    <t>Cost-Effectiveness ($/ton of PM2.5 reduced)</t>
  </si>
  <si>
    <t xml:space="preserve">Estimating Cost Effectiveness for Anti-Idling Program Heavy-duty Vehicles through Installation of Idle Reduction Technologies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</si>
</sst>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0.00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color indexed="81"/>
      <name val="Tahoma"/>
      <family val="2"/>
    </font>
    <font>
      <b/>
      <sz val="9"/>
      <color indexed="81"/>
      <name val="Tahoma"/>
      <family val="2"/>
    </font>
    <font>
      <sz val="10"/>
      <name val="Arial"/>
      <family val="2"/>
    </font>
    <font>
      <b/>
      <sz val="14"/>
      <color theme="1"/>
      <name val="Calibri"/>
      <family val="2"/>
      <scheme val="minor"/>
    </font>
    <font>
      <b/>
      <sz val="12"/>
      <color rgb="FFFF0000"/>
      <name val="Calibri"/>
      <family val="2"/>
      <scheme val="minor"/>
    </font>
    <font>
      <b/>
      <sz val="11"/>
      <name val="Calibri"/>
      <family val="2"/>
      <scheme val="minor"/>
    </font>
    <font>
      <b/>
      <i/>
      <u/>
      <sz val="11"/>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sz val="11"/>
      <color rgb="FF000000"/>
      <name val="Calibri"/>
      <family val="2"/>
      <scheme val="minor"/>
    </font>
    <font>
      <b/>
      <i/>
      <sz val="11"/>
      <name val="Calibri"/>
      <family val="2"/>
      <scheme val="minor"/>
    </font>
    <font>
      <b/>
      <sz val="11"/>
      <color theme="8"/>
      <name val="Calibri"/>
      <family val="2"/>
      <scheme val="minor"/>
    </font>
  </fonts>
  <fills count="3">
    <fill>
      <patternFill patternType="none"/>
    </fill>
    <fill>
      <patternFill patternType="gray125"/>
    </fill>
    <fill>
      <patternFill patternType="solid">
        <fgColor rgb="FFE7E6E6"/>
        <bgColor indexed="64"/>
      </patternFill>
    </fill>
  </fills>
  <borders count="19">
    <border>
      <left/>
      <right/>
      <top/>
      <bottom/>
      <diagonal/>
    </border>
    <border>
      <left/>
      <right/>
      <top/>
      <bottom/>
      <diagonal/>
    </border>
    <border>
      <left/>
      <right/>
      <top/>
      <bottom style="thin">
        <color indexed="64"/>
      </bottom>
      <diagonal/>
    </border>
    <border>
      <left/>
      <right/>
      <top style="thin">
        <color auto="1"/>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1"/>
    <xf numFmtId="9" fontId="3" fillId="0" borderId="1" applyFont="0" applyFill="0" applyBorder="0" applyAlignment="0" applyProtection="0"/>
    <xf numFmtId="0" fontId="2" fillId="0" borderId="1"/>
    <xf numFmtId="0" fontId="4" fillId="0" borderId="1"/>
    <xf numFmtId="0" fontId="1" fillId="0" borderId="1"/>
    <xf numFmtId="44" fontId="1" fillId="0" borderId="1" applyFont="0" applyFill="0" applyBorder="0" applyAlignment="0" applyProtection="0"/>
    <xf numFmtId="44" fontId="8" fillId="0" borderId="0" applyFont="0" applyFill="0" applyBorder="0" applyAlignment="0" applyProtection="0"/>
  </cellStyleXfs>
  <cellXfs count="82">
    <xf numFmtId="0" fontId="0" fillId="0" borderId="0" xfId="0"/>
    <xf numFmtId="0" fontId="4"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xf>
    <xf numFmtId="49" fontId="0" fillId="0" borderId="1" xfId="0" applyNumberFormat="1" applyBorder="1" applyAlignment="1">
      <alignment horizontal="center" vertical="center"/>
    </xf>
    <xf numFmtId="0" fontId="0" fillId="0" borderId="1" xfId="0" applyBorder="1" applyAlignment="1">
      <alignment horizontal="center"/>
    </xf>
    <xf numFmtId="0" fontId="4" fillId="0" borderId="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xf>
    <xf numFmtId="0" fontId="0" fillId="0" borderId="0" xfId="0" applyAlignment="1">
      <alignment horizontal="center"/>
    </xf>
    <xf numFmtId="49" fontId="0" fillId="0" borderId="1" xfId="0" applyNumberFormat="1" applyBorder="1" applyAlignment="1">
      <alignment horizontal="center"/>
    </xf>
    <xf numFmtId="0" fontId="4" fillId="0" borderId="2" xfId="0" applyFont="1" applyBorder="1" applyAlignment="1">
      <alignment horizontal="center"/>
    </xf>
    <xf numFmtId="0" fontId="0" fillId="0" borderId="2" xfId="0" applyBorder="1" applyAlignment="1">
      <alignment horizontal="center"/>
    </xf>
    <xf numFmtId="0" fontId="4" fillId="0" borderId="5" xfId="0" applyFont="1" applyBorder="1" applyAlignment="1">
      <alignment horizontal="center"/>
    </xf>
    <xf numFmtId="0" fontId="0" fillId="0" borderId="7" xfId="0" applyBorder="1" applyAlignment="1">
      <alignment horizontal="center"/>
    </xf>
    <xf numFmtId="0" fontId="0" fillId="0" borderId="2" xfId="0" applyBorder="1" applyAlignment="1">
      <alignment horizontal="center" vertical="center"/>
    </xf>
    <xf numFmtId="0" fontId="4" fillId="0" borderId="7" xfId="0" applyFont="1" applyBorder="1" applyAlignment="1">
      <alignment horizontal="center" vertical="center"/>
    </xf>
    <xf numFmtId="0" fontId="5" fillId="0" borderId="10" xfId="0" applyFont="1" applyBorder="1" applyAlignment="1">
      <alignment horizontal="center" wrapText="1"/>
    </xf>
    <xf numFmtId="0" fontId="5" fillId="0" borderId="2" xfId="0" applyFont="1" applyBorder="1" applyAlignment="1">
      <alignment horizontal="center"/>
    </xf>
    <xf numFmtId="0" fontId="5" fillId="0" borderId="8" xfId="0" applyFont="1" applyBorder="1" applyAlignment="1">
      <alignment horizont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4" fillId="0" borderId="12" xfId="0" applyFont="1" applyBorder="1" applyAlignment="1">
      <alignment horizontal="center" vertical="center"/>
    </xf>
    <xf numFmtId="0" fontId="0" fillId="0" borderId="10" xfId="0" applyBorder="1" applyAlignment="1">
      <alignment horizontal="center"/>
    </xf>
    <xf numFmtId="0" fontId="0" fillId="0" borderId="8" xfId="0"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3" fontId="4" fillId="0" borderId="4" xfId="0" applyNumberFormat="1" applyFont="1" applyBorder="1" applyAlignment="1">
      <alignment horizontal="center"/>
    </xf>
    <xf numFmtId="2" fontId="4" fillId="0" borderId="0" xfId="0" applyNumberFormat="1" applyFont="1" applyAlignment="1">
      <alignment horizontal="center"/>
    </xf>
    <xf numFmtId="0" fontId="0" fillId="0" borderId="3" xfId="0" applyBorder="1" applyAlignment="1">
      <alignment horizontal="center"/>
    </xf>
    <xf numFmtId="164" fontId="0" fillId="0" borderId="0" xfId="0" applyNumberForma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xf>
    <xf numFmtId="0" fontId="5"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xf numFmtId="0" fontId="14" fillId="0" borderId="1" xfId="0" applyFont="1" applyBorder="1"/>
    <xf numFmtId="0" fontId="0" fillId="0" borderId="1" xfId="0" applyBorder="1"/>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4" fontId="15" fillId="0" borderId="18" xfId="0" applyNumberFormat="1"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4" fontId="16" fillId="2" borderId="18"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xf numFmtId="44" fontId="15" fillId="0" borderId="12" xfId="7" applyFont="1" applyBorder="1" applyAlignment="1">
      <alignment horizontal="center" vertical="center" wrapText="1"/>
    </xf>
    <xf numFmtId="165" fontId="15" fillId="0" borderId="12" xfId="0" applyNumberFormat="1" applyFont="1" applyBorder="1" applyAlignment="1">
      <alignment horizontal="center" vertical="center" wrapText="1"/>
    </xf>
    <xf numFmtId="44" fontId="15" fillId="0" borderId="12" xfId="0" applyNumberFormat="1" applyFont="1" applyBorder="1" applyAlignment="1">
      <alignment horizontal="center" vertical="center" wrapText="1"/>
    </xf>
    <xf numFmtId="0" fontId="13" fillId="0" borderId="1" xfId="0" applyFont="1" applyBorder="1"/>
    <xf numFmtId="0" fontId="18" fillId="0" borderId="0" xfId="0" applyFont="1"/>
    <xf numFmtId="2" fontId="15" fillId="0" borderId="1" xfId="0" applyNumberFormat="1" applyFont="1" applyBorder="1" applyAlignment="1">
      <alignment horizontal="center" vertical="center" wrapText="1"/>
    </xf>
    <xf numFmtId="44" fontId="15" fillId="0" borderId="1" xfId="0" applyNumberFormat="1" applyFont="1" applyBorder="1" applyAlignment="1">
      <alignment horizontal="center" vertical="center" wrapText="1"/>
    </xf>
    <xf numFmtId="8" fontId="11" fillId="0" borderId="0" xfId="0" applyNumberFormat="1" applyFont="1"/>
    <xf numFmtId="0" fontId="15" fillId="0" borderId="0" xfId="0" applyFont="1"/>
    <xf numFmtId="6" fontId="11" fillId="0" borderId="0" xfId="0" applyNumberFormat="1" applyFont="1"/>
    <xf numFmtId="44" fontId="11" fillId="0" borderId="0" xfId="0" applyNumberFormat="1" applyFont="1"/>
    <xf numFmtId="4" fontId="0" fillId="0" borderId="0" xfId="0" applyNumberFormat="1"/>
    <xf numFmtId="0" fontId="11" fillId="0" borderId="5"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0" fontId="10" fillId="0" borderId="13" xfId="0" applyFont="1" applyBorder="1" applyAlignment="1">
      <alignment horizontal="center"/>
    </xf>
    <xf numFmtId="0" fontId="10" fillId="0" borderId="14" xfId="0" applyFont="1" applyBorder="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5" fillId="0" borderId="0" xfId="0" applyFont="1" applyAlignment="1">
      <alignment horizontal="center" vertical="center"/>
    </xf>
    <xf numFmtId="0" fontId="5" fillId="0" borderId="4"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cellXfs>
  <cellStyles count="8">
    <cellStyle name="Currency" xfId="7" builtinId="4"/>
    <cellStyle name="Currency 2" xfId="6" xr:uid="{00000000-0005-0000-0000-000000000000}"/>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n-svrfile\groups\AQ\NPMS\Awq-Mobile\Anti-idle%20Program%20Materials\Idle%20Raw%20Data%20&amp;%20Working%20Data\Continued%20Data%20for%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Totals"/>
      <sheetName val="Individual Truck Breakdown"/>
      <sheetName val="Sheet1"/>
      <sheetName val="Lynden Data"/>
      <sheetName val="AWE Data"/>
      <sheetName val="AFF Data"/>
      <sheetName val="AMRELO Data"/>
    </sheetNames>
    <sheetDataSet>
      <sheetData sheetId="0" refreshError="1"/>
      <sheetData sheetId="1" refreshError="1">
        <row r="15">
          <cell r="AM15">
            <v>3039</v>
          </cell>
          <cell r="AN15">
            <v>365</v>
          </cell>
          <cell r="AO15">
            <v>5503</v>
          </cell>
          <cell r="AP15">
            <v>331</v>
          </cell>
        </row>
        <row r="29">
          <cell r="U29">
            <v>73251.522000000012</v>
          </cell>
          <cell r="AF29">
            <v>34396.162000000004</v>
          </cell>
          <cell r="AM29">
            <v>1812</v>
          </cell>
          <cell r="AN29">
            <v>354</v>
          </cell>
          <cell r="AO29">
            <v>6025</v>
          </cell>
          <cell r="AP29">
            <v>645</v>
          </cell>
        </row>
        <row r="48">
          <cell r="U48">
            <v>14674.757000000001</v>
          </cell>
          <cell r="AF48">
            <v>1638.018</v>
          </cell>
          <cell r="AM48">
            <v>2256</v>
          </cell>
          <cell r="AN48">
            <v>464</v>
          </cell>
          <cell r="AO48">
            <v>1585</v>
          </cell>
          <cell r="AP48">
            <v>122</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04F4-3088-4C3A-B459-4B998BD356AB}">
  <sheetPr codeName="Sheet1"/>
  <dimension ref="A1:X73"/>
  <sheetViews>
    <sheetView tabSelected="1" workbookViewId="0">
      <selection activeCell="V12" sqref="V12"/>
    </sheetView>
  </sheetViews>
  <sheetFormatPr defaultRowHeight="12.75" x14ac:dyDescent="0.2"/>
  <cols>
    <col min="1" max="1" width="23.42578125" customWidth="1"/>
    <col min="2" max="2" width="16.140625" customWidth="1"/>
    <col min="3" max="3" width="14.28515625" customWidth="1"/>
    <col min="4" max="4" width="11.42578125" customWidth="1"/>
    <col min="5" max="5" width="10.140625" customWidth="1"/>
    <col min="6" max="6" width="10.42578125" customWidth="1"/>
    <col min="7" max="7" width="10.140625" customWidth="1"/>
    <col min="8" max="8" width="10.42578125" customWidth="1"/>
    <col min="9" max="9" width="10" customWidth="1"/>
    <col min="10" max="10" width="10.140625" customWidth="1"/>
  </cols>
  <sheetData>
    <row r="1" spans="1:24" ht="20.25" thickTop="1" thickBot="1" x14ac:dyDescent="0.35">
      <c r="A1" s="42" t="s">
        <v>65</v>
      </c>
      <c r="M1" s="74"/>
      <c r="N1" s="75"/>
      <c r="O1" s="75"/>
      <c r="P1" s="75"/>
      <c r="Q1" s="75"/>
      <c r="R1" s="75"/>
      <c r="S1" s="75"/>
      <c r="T1" s="75"/>
      <c r="U1" s="75"/>
      <c r="V1" s="75"/>
      <c r="W1" s="75"/>
      <c r="X1" s="75"/>
    </row>
    <row r="2" spans="1:24" ht="15.75" thickTop="1" x14ac:dyDescent="0.25">
      <c r="A2" s="76" t="s">
        <v>129</v>
      </c>
      <c r="B2" s="77"/>
      <c r="C2" s="77"/>
      <c r="D2" s="77"/>
      <c r="E2" s="77"/>
      <c r="F2" s="77"/>
      <c r="G2" s="77"/>
      <c r="H2" s="77"/>
      <c r="I2" s="77"/>
      <c r="J2" s="77"/>
      <c r="K2" s="77"/>
      <c r="L2" s="77"/>
    </row>
    <row r="3" spans="1:24" ht="18.75" x14ac:dyDescent="0.3">
      <c r="A3" s="42"/>
    </row>
    <row r="4" spans="1:24" ht="15" x14ac:dyDescent="0.25">
      <c r="A4" s="43" t="s">
        <v>66</v>
      </c>
    </row>
    <row r="5" spans="1:24" ht="15" x14ac:dyDescent="0.25">
      <c r="A5" s="44" t="s">
        <v>79</v>
      </c>
    </row>
    <row r="6" spans="1:24" ht="15" x14ac:dyDescent="0.25">
      <c r="A6" s="44" t="s">
        <v>67</v>
      </c>
    </row>
    <row r="7" spans="1:24" ht="15" x14ac:dyDescent="0.25">
      <c r="A7" s="44" t="s">
        <v>68</v>
      </c>
    </row>
    <row r="8" spans="1:24" ht="15" x14ac:dyDescent="0.25">
      <c r="A8" s="44" t="s">
        <v>69</v>
      </c>
    </row>
    <row r="9" spans="1:24" ht="15" x14ac:dyDescent="0.25">
      <c r="A9" s="44" t="s">
        <v>80</v>
      </c>
    </row>
    <row r="10" spans="1:24" ht="15" x14ac:dyDescent="0.25">
      <c r="A10" s="44"/>
    </row>
    <row r="11" spans="1:24" ht="15" x14ac:dyDescent="0.25">
      <c r="A11" s="45" t="s">
        <v>70</v>
      </c>
    </row>
    <row r="12" spans="1:24" ht="15" x14ac:dyDescent="0.25">
      <c r="A12" s="44" t="s">
        <v>74</v>
      </c>
      <c r="B12" s="44" t="s">
        <v>75</v>
      </c>
      <c r="C12" s="44"/>
    </row>
    <row r="13" spans="1:24" ht="15" x14ac:dyDescent="0.25">
      <c r="A13" s="44" t="s">
        <v>76</v>
      </c>
      <c r="B13" s="44" t="s">
        <v>71</v>
      </c>
      <c r="C13" s="44"/>
      <c r="D13" s="44"/>
      <c r="E13" s="44"/>
      <c r="F13" s="44"/>
      <c r="G13" s="44"/>
    </row>
    <row r="14" spans="1:24" ht="15" x14ac:dyDescent="0.25">
      <c r="A14" s="44" t="s">
        <v>77</v>
      </c>
      <c r="B14" s="44" t="s">
        <v>72</v>
      </c>
      <c r="C14" s="44"/>
      <c r="D14" s="44"/>
      <c r="E14" s="44"/>
      <c r="F14" s="44"/>
      <c r="G14" s="44"/>
    </row>
    <row r="15" spans="1:24" ht="15" x14ac:dyDescent="0.25">
      <c r="A15" s="44" t="s">
        <v>78</v>
      </c>
      <c r="B15" s="44" t="s">
        <v>73</v>
      </c>
      <c r="C15" s="44"/>
      <c r="D15" s="44"/>
      <c r="E15" s="44"/>
      <c r="F15" s="44"/>
      <c r="G15" s="44"/>
    </row>
    <row r="17" spans="1:4" ht="15" x14ac:dyDescent="0.25">
      <c r="A17" s="45" t="s">
        <v>81</v>
      </c>
    </row>
    <row r="18" spans="1:4" ht="15" x14ac:dyDescent="0.25">
      <c r="A18" s="44" t="s">
        <v>124</v>
      </c>
    </row>
    <row r="19" spans="1:4" ht="15" x14ac:dyDescent="0.25">
      <c r="A19" s="44" t="s">
        <v>125</v>
      </c>
    </row>
    <row r="20" spans="1:4" ht="15" x14ac:dyDescent="0.25">
      <c r="A20" s="44" t="s">
        <v>126</v>
      </c>
      <c r="C20" s="44">
        <v>1.4179999999999999</v>
      </c>
    </row>
    <row r="21" spans="1:4" ht="15" x14ac:dyDescent="0.25">
      <c r="A21" s="44"/>
    </row>
    <row r="22" spans="1:4" ht="15" x14ac:dyDescent="0.25">
      <c r="A22" s="46" t="s">
        <v>84</v>
      </c>
    </row>
    <row r="23" spans="1:4" ht="15" x14ac:dyDescent="0.25">
      <c r="A23" s="44" t="s">
        <v>82</v>
      </c>
    </row>
    <row r="24" spans="1:4" ht="15" x14ac:dyDescent="0.25">
      <c r="A24" s="44" t="s">
        <v>83</v>
      </c>
    </row>
    <row r="25" spans="1:4" ht="15" x14ac:dyDescent="0.25">
      <c r="A25" s="44"/>
    </row>
    <row r="26" spans="1:4" ht="15" x14ac:dyDescent="0.2">
      <c r="A26" s="56" t="s">
        <v>88</v>
      </c>
      <c r="B26" s="54"/>
      <c r="C26" s="54"/>
    </row>
    <row r="27" spans="1:4" x14ac:dyDescent="0.2">
      <c r="A27" s="70" t="s">
        <v>93</v>
      </c>
      <c r="B27" s="71"/>
      <c r="C27" s="72"/>
    </row>
    <row r="28" spans="1:4" ht="24.95" customHeight="1" x14ac:dyDescent="0.2">
      <c r="A28" s="55" t="s">
        <v>89</v>
      </c>
      <c r="B28" s="55" t="s">
        <v>90</v>
      </c>
      <c r="C28" s="55" t="s">
        <v>104</v>
      </c>
    </row>
    <row r="29" spans="1:4" ht="15" x14ac:dyDescent="0.25">
      <c r="A29" s="55">
        <v>2016</v>
      </c>
      <c r="B29" s="58">
        <v>198887.22</v>
      </c>
      <c r="C29" s="58">
        <v>251148.46</v>
      </c>
      <c r="D29" s="44" t="s">
        <v>105</v>
      </c>
    </row>
    <row r="30" spans="1:4" ht="15" x14ac:dyDescent="0.2">
      <c r="A30" s="55">
        <v>2017</v>
      </c>
      <c r="B30" s="58">
        <v>17130.63</v>
      </c>
      <c r="C30" s="58">
        <v>21104.400000000001</v>
      </c>
    </row>
    <row r="31" spans="1:4" ht="15" x14ac:dyDescent="0.2">
      <c r="A31" s="55">
        <v>2018</v>
      </c>
      <c r="B31" s="58">
        <v>103275.74</v>
      </c>
      <c r="C31" s="58">
        <v>124651.54</v>
      </c>
    </row>
    <row r="32" spans="1:4" ht="15" x14ac:dyDescent="0.2">
      <c r="A32" s="55">
        <v>2019</v>
      </c>
      <c r="B32" s="58" t="s">
        <v>91</v>
      </c>
      <c r="C32" s="58"/>
    </row>
    <row r="33" spans="1:5" ht="15" x14ac:dyDescent="0.2">
      <c r="A33" s="55">
        <v>2020</v>
      </c>
      <c r="B33" s="58" t="s">
        <v>91</v>
      </c>
      <c r="C33" s="58"/>
    </row>
    <row r="34" spans="1:5" ht="15" x14ac:dyDescent="0.2">
      <c r="A34" s="55">
        <v>2021</v>
      </c>
      <c r="B34" s="58" t="s">
        <v>91</v>
      </c>
      <c r="C34" s="58"/>
    </row>
    <row r="35" spans="1:5" ht="15" x14ac:dyDescent="0.2">
      <c r="A35" s="55">
        <v>2022</v>
      </c>
      <c r="B35" s="58" t="s">
        <v>91</v>
      </c>
      <c r="C35" s="58"/>
    </row>
    <row r="36" spans="1:5" ht="15" x14ac:dyDescent="0.2">
      <c r="A36" s="55" t="s">
        <v>92</v>
      </c>
      <c r="B36" s="58">
        <v>319233.90000000002</v>
      </c>
      <c r="C36" s="58">
        <f>SUM(C29:C35)</f>
        <v>396904.39999999997</v>
      </c>
    </row>
    <row r="37" spans="1:5" ht="15" x14ac:dyDescent="0.2">
      <c r="A37" s="54"/>
      <c r="B37" s="54"/>
      <c r="C37" s="54"/>
    </row>
    <row r="38" spans="1:5" x14ac:dyDescent="0.2">
      <c r="A38" s="70" t="s">
        <v>96</v>
      </c>
      <c r="B38" s="71"/>
      <c r="C38" s="71"/>
      <c r="D38" s="73"/>
    </row>
    <row r="39" spans="1:5" ht="30" x14ac:dyDescent="0.2">
      <c r="A39" s="55" t="s">
        <v>89</v>
      </c>
      <c r="B39" s="55" t="s">
        <v>94</v>
      </c>
      <c r="C39" s="55" t="s">
        <v>95</v>
      </c>
      <c r="D39" s="55" t="s">
        <v>104</v>
      </c>
    </row>
    <row r="40" spans="1:5" ht="15" x14ac:dyDescent="0.25">
      <c r="A40" s="55">
        <v>2015</v>
      </c>
      <c r="B40" s="55">
        <v>675.5</v>
      </c>
      <c r="C40" s="58">
        <v>24236.95</v>
      </c>
      <c r="D40" s="58">
        <v>31025.89</v>
      </c>
      <c r="E40" s="44" t="s">
        <v>105</v>
      </c>
    </row>
    <row r="41" spans="1:5" ht="15" x14ac:dyDescent="0.2">
      <c r="A41" s="55">
        <v>2016</v>
      </c>
      <c r="B41" s="55">
        <v>343.5</v>
      </c>
      <c r="C41" s="58">
        <v>14340.6</v>
      </c>
      <c r="D41" s="58">
        <v>18108.849999999999</v>
      </c>
    </row>
    <row r="42" spans="1:5" ht="15" x14ac:dyDescent="0.2">
      <c r="A42" s="55">
        <v>2017</v>
      </c>
      <c r="B42" s="55">
        <v>286.5</v>
      </c>
      <c r="C42" s="58">
        <v>11307.38</v>
      </c>
      <c r="D42" s="58">
        <v>13930.34</v>
      </c>
    </row>
    <row r="43" spans="1:5" ht="15" x14ac:dyDescent="0.2">
      <c r="A43" s="55">
        <v>2018</v>
      </c>
      <c r="B43" s="55">
        <v>204.75</v>
      </c>
      <c r="C43" s="58">
        <v>8561.5</v>
      </c>
      <c r="D43" s="58">
        <v>10333.540000000001</v>
      </c>
    </row>
    <row r="44" spans="1:5" ht="15" x14ac:dyDescent="0.2">
      <c r="A44" s="55">
        <v>2019</v>
      </c>
      <c r="B44" s="55">
        <v>47.75</v>
      </c>
      <c r="C44" s="58">
        <v>1782.26</v>
      </c>
      <c r="D44" s="58">
        <v>2118.29</v>
      </c>
    </row>
    <row r="45" spans="1:5" ht="15" x14ac:dyDescent="0.2">
      <c r="A45" s="55">
        <v>2020</v>
      </c>
      <c r="B45" s="55">
        <v>32.25</v>
      </c>
      <c r="C45" s="58">
        <v>1171.32</v>
      </c>
      <c r="D45" s="58">
        <v>1358.38</v>
      </c>
    </row>
    <row r="46" spans="1:5" ht="15" x14ac:dyDescent="0.2">
      <c r="A46" s="55">
        <v>2021</v>
      </c>
      <c r="B46" s="55">
        <v>7.5</v>
      </c>
      <c r="C46" s="58">
        <v>272.39999999999998</v>
      </c>
      <c r="D46" s="58">
        <v>311.54000000000002</v>
      </c>
    </row>
    <row r="47" spans="1:5" ht="15" x14ac:dyDescent="0.2">
      <c r="A47" s="55">
        <v>2022</v>
      </c>
      <c r="B47" s="55">
        <v>7.5</v>
      </c>
      <c r="C47" s="58">
        <v>272.39999999999998</v>
      </c>
      <c r="D47" s="58">
        <v>289.86</v>
      </c>
    </row>
    <row r="48" spans="1:5" ht="15" x14ac:dyDescent="0.2">
      <c r="A48" s="55" t="s">
        <v>92</v>
      </c>
      <c r="B48" s="55">
        <f>SUM(B40:B47)</f>
        <v>1605.25</v>
      </c>
      <c r="C48" s="58">
        <f>SUM(C40:C47)</f>
        <v>61944.810000000005</v>
      </c>
      <c r="D48" s="58">
        <f>SUM(D40:D47)</f>
        <v>77476.689999999988</v>
      </c>
    </row>
    <row r="50" spans="1:8" ht="15" x14ac:dyDescent="0.25">
      <c r="A50" s="62" t="s">
        <v>87</v>
      </c>
    </row>
    <row r="51" spans="1:8" ht="15.75" thickBot="1" x14ac:dyDescent="0.3">
      <c r="A51" s="44" t="s">
        <v>97</v>
      </c>
    </row>
    <row r="52" spans="1:8" ht="62.45" customHeight="1" thickBot="1" x14ac:dyDescent="0.25">
      <c r="A52" s="51" t="s">
        <v>85</v>
      </c>
      <c r="B52" s="52" t="s">
        <v>112</v>
      </c>
      <c r="C52" s="52" t="s">
        <v>113</v>
      </c>
      <c r="D52" s="52" t="s">
        <v>114</v>
      </c>
      <c r="E52" s="52" t="s">
        <v>115</v>
      </c>
      <c r="F52" s="52" t="s">
        <v>116</v>
      </c>
      <c r="G52" s="52" t="s">
        <v>117</v>
      </c>
      <c r="H52" s="52" t="s">
        <v>118</v>
      </c>
    </row>
    <row r="53" spans="1:8" ht="15.75" thickBot="1" x14ac:dyDescent="0.25">
      <c r="A53" s="48" t="s">
        <v>5</v>
      </c>
      <c r="B53" s="50">
        <f>'Yearly Totals'!M3</f>
        <v>20185.229999999992</v>
      </c>
      <c r="C53" s="50">
        <f>'Yearly Totals'!M12</f>
        <v>73251.522000000012</v>
      </c>
      <c r="D53" s="50">
        <f>'Yearly Totals'!M21</f>
        <v>34396.162000000004</v>
      </c>
      <c r="E53" s="50">
        <f>'Yearly Totals'!M30</f>
        <v>10735.647000000001</v>
      </c>
      <c r="F53" s="50">
        <f>'Yearly Totals'!M39</f>
        <v>9462.5250936999983</v>
      </c>
      <c r="G53" s="49" t="s">
        <v>46</v>
      </c>
      <c r="H53" s="49" t="s">
        <v>46</v>
      </c>
    </row>
    <row r="54" spans="1:8" ht="15.75" thickBot="1" x14ac:dyDescent="0.25">
      <c r="A54" s="48" t="s">
        <v>7</v>
      </c>
      <c r="B54" s="50">
        <f>'Yearly Totals'!M4</f>
        <v>37265.039999999986</v>
      </c>
      <c r="C54" s="50">
        <f>'Yearly Totals'!M13</f>
        <v>14674.757000000001</v>
      </c>
      <c r="D54" s="50">
        <f>'Yearly Totals'!M22</f>
        <v>1638.018</v>
      </c>
      <c r="E54" s="50">
        <f>'Yearly Totals'!M31</f>
        <v>5179.1790000000001</v>
      </c>
      <c r="F54" s="50">
        <f>'Yearly Totals'!M40</f>
        <v>27363.9745482</v>
      </c>
      <c r="G54" s="49">
        <f>'Yearly Totals'!M48</f>
        <v>35496.673393799996</v>
      </c>
      <c r="H54" s="49" t="s">
        <v>46</v>
      </c>
    </row>
    <row r="55" spans="1:8" ht="15.75" thickBot="1" x14ac:dyDescent="0.25">
      <c r="A55" s="50" t="s">
        <v>8</v>
      </c>
      <c r="B55" s="50">
        <f>'Yearly Totals'!M5</f>
        <v>18632.519999999993</v>
      </c>
      <c r="C55" s="50" t="s">
        <v>46</v>
      </c>
      <c r="D55" s="49" t="s">
        <v>46</v>
      </c>
      <c r="E55" s="50">
        <f>'Yearly Totals'!M32</f>
        <v>11751.411000000002</v>
      </c>
      <c r="F55" s="50">
        <f>'Yearly Totals'!M41</f>
        <v>19477.410652999999</v>
      </c>
      <c r="G55" s="49">
        <f>'Yearly Totals'!M49</f>
        <v>17744.835363999999</v>
      </c>
      <c r="H55" s="49">
        <f>'Yearly Totals'!M56</f>
        <v>8195.2859719999997</v>
      </c>
    </row>
    <row r="56" spans="1:8" ht="15.75" thickBot="1" x14ac:dyDescent="0.25">
      <c r="A56" s="53" t="s">
        <v>86</v>
      </c>
      <c r="B56" s="53">
        <f t="shared" ref="B56:H56" si="0">SUM(B53:B55)</f>
        <v>76082.789999999964</v>
      </c>
      <c r="C56" s="53">
        <f t="shared" si="0"/>
        <v>87926.27900000001</v>
      </c>
      <c r="D56" s="53">
        <f t="shared" si="0"/>
        <v>36034.180000000008</v>
      </c>
      <c r="E56" s="53">
        <f t="shared" si="0"/>
        <v>27666.237000000001</v>
      </c>
      <c r="F56" s="53">
        <f t="shared" si="0"/>
        <v>56303.910294899993</v>
      </c>
      <c r="G56" s="53">
        <f t="shared" si="0"/>
        <v>53241.508757799995</v>
      </c>
      <c r="H56" s="53">
        <f t="shared" si="0"/>
        <v>8195.2859719999997</v>
      </c>
    </row>
    <row r="57" spans="1:8" ht="15" x14ac:dyDescent="0.25">
      <c r="A57" s="57" t="s">
        <v>119</v>
      </c>
      <c r="B57" s="69"/>
      <c r="C57" s="63">
        <f>SUM(C56:H56)</f>
        <v>269367.40102469997</v>
      </c>
      <c r="D57" s="54"/>
    </row>
    <row r="58" spans="1:8" ht="15" x14ac:dyDescent="0.25">
      <c r="A58" s="57" t="s">
        <v>120</v>
      </c>
      <c r="C58" s="63">
        <f>C57/907200</f>
        <v>0.29692173834292324</v>
      </c>
      <c r="D58" s="54"/>
    </row>
    <row r="60" spans="1:8" ht="15" x14ac:dyDescent="0.25">
      <c r="A60" s="62" t="s">
        <v>110</v>
      </c>
    </row>
    <row r="61" spans="1:8" ht="30" x14ac:dyDescent="0.25">
      <c r="A61" s="55" t="s">
        <v>99</v>
      </c>
      <c r="B61" s="55">
        <v>10</v>
      </c>
      <c r="C61" s="54" t="s">
        <v>103</v>
      </c>
      <c r="D61" s="61" t="s">
        <v>98</v>
      </c>
    </row>
    <row r="62" spans="1:8" ht="15.75" thickBot="1" x14ac:dyDescent="0.3">
      <c r="A62" s="55" t="s">
        <v>100</v>
      </c>
      <c r="B62" s="55">
        <v>7.4999999999999997E-2</v>
      </c>
      <c r="C62" s="54" t="s">
        <v>101</v>
      </c>
      <c r="D62" s="61" t="s">
        <v>102</v>
      </c>
    </row>
    <row r="63" spans="1:8" ht="15" x14ac:dyDescent="0.2">
      <c r="A63" s="55" t="s">
        <v>106</v>
      </c>
      <c r="B63" s="59">
        <f>($B$62*(1+$B$62)^B61)/((1+$B$62)^B61-1)</f>
        <v>0.14568592742612235</v>
      </c>
      <c r="C63" s="54"/>
      <c r="D63" s="47"/>
    </row>
    <row r="64" spans="1:8" ht="30" x14ac:dyDescent="0.2">
      <c r="A64" s="55" t="s">
        <v>107</v>
      </c>
      <c r="B64" s="60">
        <f>C36*B63</f>
        <v>57823.385613508632</v>
      </c>
      <c r="C64" s="54"/>
      <c r="D64" s="47"/>
    </row>
    <row r="65" spans="1:6" ht="15" x14ac:dyDescent="0.2">
      <c r="A65" s="55" t="s">
        <v>108</v>
      </c>
      <c r="B65" s="60">
        <f>D48</f>
        <v>77476.689999999988</v>
      </c>
      <c r="C65" s="54"/>
      <c r="D65" s="47"/>
    </row>
    <row r="66" spans="1:6" ht="15" x14ac:dyDescent="0.2">
      <c r="A66" s="55" t="s">
        <v>109</v>
      </c>
      <c r="B66" s="60">
        <f>SUM(B64:B65)</f>
        <v>135300.07561350861</v>
      </c>
      <c r="C66" s="47"/>
      <c r="D66" s="47"/>
    </row>
    <row r="68" spans="1:6" ht="15" x14ac:dyDescent="0.25">
      <c r="A68" s="62" t="s">
        <v>111</v>
      </c>
    </row>
    <row r="69" spans="1:6" ht="30" x14ac:dyDescent="0.2">
      <c r="A69" s="54" t="s">
        <v>122</v>
      </c>
      <c r="B69" s="63">
        <f>C58</f>
        <v>0.29692173834292324</v>
      </c>
    </row>
    <row r="70" spans="1:6" ht="15" x14ac:dyDescent="0.2">
      <c r="A70" s="54" t="s">
        <v>121</v>
      </c>
      <c r="B70" s="64">
        <f>B66</f>
        <v>135300.07561350861</v>
      </c>
    </row>
    <row r="71" spans="1:6" ht="36.950000000000003" customHeight="1" x14ac:dyDescent="0.2">
      <c r="A71" s="54" t="s">
        <v>123</v>
      </c>
      <c r="B71" s="64">
        <f>B70/B69</f>
        <v>455675.88405146264</v>
      </c>
    </row>
    <row r="73" spans="1:6" ht="15" x14ac:dyDescent="0.25">
      <c r="A73" s="65" t="s">
        <v>128</v>
      </c>
      <c r="B73" s="66"/>
      <c r="C73" s="68">
        <f>B71</f>
        <v>455675.88405146264</v>
      </c>
      <c r="D73" s="66"/>
      <c r="E73" s="66"/>
      <c r="F73" s="67"/>
    </row>
  </sheetData>
  <sheetProtection algorithmName="SHA-512" hashValue="OkrEww4PV/GUou6RndKb4mHiN736IOuac7jdWl9GN9eGju72pEyrMmYKVHvlJSRtkV4iWQqb2KgcfFn+AY76yg==" saltValue="GDOE1rvqUUDbPQn+hk5A4w==" spinCount="100000" sheet="1" objects="1" scenarios="1"/>
  <mergeCells count="4">
    <mergeCell ref="A27:C27"/>
    <mergeCell ref="A38:D38"/>
    <mergeCell ref="M1:X1"/>
    <mergeCell ref="A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66"/>
  <sheetViews>
    <sheetView topLeftCell="I52" workbookViewId="0">
      <selection activeCell="N63" sqref="N63"/>
    </sheetView>
  </sheetViews>
  <sheetFormatPr defaultColWidth="9.140625" defaultRowHeight="12.75" x14ac:dyDescent="0.2"/>
  <cols>
    <col min="1" max="1" width="9.5703125" style="2" bestFit="1" customWidth="1"/>
    <col min="2" max="2" width="10.7109375" style="2" bestFit="1" customWidth="1"/>
    <col min="3" max="3" width="9" style="2" bestFit="1" customWidth="1"/>
    <col min="4" max="4" width="10.140625" style="2" bestFit="1" customWidth="1"/>
    <col min="5" max="5" width="6.140625" style="2" bestFit="1" customWidth="1"/>
    <col min="6" max="6" width="5.28515625" style="2" bestFit="1" customWidth="1"/>
    <col min="7" max="7" width="8" style="2" bestFit="1" customWidth="1"/>
    <col min="8" max="8" width="33.85546875" style="2" bestFit="1" customWidth="1"/>
    <col min="9" max="9" width="14.85546875" style="2" bestFit="1" customWidth="1"/>
    <col min="10" max="10" width="18.85546875" style="2" bestFit="1" customWidth="1"/>
    <col min="11" max="11" width="15.140625" style="2" bestFit="1" customWidth="1"/>
    <col min="12" max="12" width="18.5703125" style="2" bestFit="1" customWidth="1"/>
    <col min="13" max="14" width="22.7109375" style="2" bestFit="1" customWidth="1"/>
    <col min="15" max="15" width="59.28515625" style="2" bestFit="1" customWidth="1"/>
    <col min="16" max="16384" width="9.140625" style="2"/>
  </cols>
  <sheetData>
    <row r="1" spans="1:15" x14ac:dyDescent="0.2">
      <c r="A1" s="78" t="s">
        <v>6</v>
      </c>
      <c r="B1" s="78"/>
      <c r="C1" s="78"/>
      <c r="D1" s="78"/>
      <c r="E1" s="78"/>
      <c r="F1" s="78"/>
      <c r="G1" s="78"/>
      <c r="H1" s="78"/>
    </row>
    <row r="2" spans="1:15" s="25" customFormat="1" x14ac:dyDescent="0.2">
      <c r="A2" s="25" t="s">
        <v>1</v>
      </c>
      <c r="B2" s="25" t="s">
        <v>2</v>
      </c>
      <c r="C2" s="25" t="s">
        <v>3</v>
      </c>
      <c r="D2" s="25" t="s">
        <v>4</v>
      </c>
      <c r="E2" s="25" t="s">
        <v>0</v>
      </c>
      <c r="F2" s="25" t="s">
        <v>11</v>
      </c>
      <c r="G2" s="25" t="s">
        <v>14</v>
      </c>
      <c r="H2" s="25" t="s">
        <v>35</v>
      </c>
      <c r="I2" s="25" t="s">
        <v>9</v>
      </c>
      <c r="J2" s="25" t="s">
        <v>33</v>
      </c>
      <c r="M2" s="25" t="s">
        <v>42</v>
      </c>
      <c r="N2" s="25" t="s">
        <v>31</v>
      </c>
      <c r="O2" s="25" t="s">
        <v>12</v>
      </c>
    </row>
    <row r="3" spans="1:15" x14ac:dyDescent="0.2">
      <c r="A3" s="1" t="s">
        <v>5</v>
      </c>
      <c r="B3" s="2">
        <v>13</v>
      </c>
      <c r="C3" s="1" t="s">
        <v>10</v>
      </c>
      <c r="D3" s="37">
        <v>244292</v>
      </c>
      <c r="E3" s="2">
        <v>13531</v>
      </c>
      <c r="F3" s="2" t="s">
        <v>10</v>
      </c>
      <c r="G3" s="37">
        <f>D3/E3</f>
        <v>18.054245805927131</v>
      </c>
      <c r="H3" s="2">
        <v>3</v>
      </c>
      <c r="I3" s="2">
        <v>2015</v>
      </c>
      <c r="J3" s="1" t="s">
        <v>41</v>
      </c>
      <c r="M3" s="1">
        <f>'Individual Truck Breakdown'!J29</f>
        <v>20185.229999999992</v>
      </c>
      <c r="N3" s="1">
        <v>30</v>
      </c>
    </row>
    <row r="4" spans="1:15" x14ac:dyDescent="0.2">
      <c r="A4" s="1" t="s">
        <v>7</v>
      </c>
      <c r="B4" s="2">
        <v>13</v>
      </c>
      <c r="C4" s="2">
        <v>197538</v>
      </c>
      <c r="D4" s="37">
        <v>46302.25</v>
      </c>
      <c r="E4" s="2" t="s">
        <v>10</v>
      </c>
      <c r="F4" s="37">
        <f>C4/D4</f>
        <v>4.2662721574005582</v>
      </c>
      <c r="H4" s="2">
        <v>4</v>
      </c>
      <c r="I4" s="2">
        <v>2015</v>
      </c>
      <c r="J4" s="2" t="s">
        <v>34</v>
      </c>
      <c r="M4" s="1">
        <f>'Individual Truck Breakdown'!J48</f>
        <v>37265.039999999986</v>
      </c>
      <c r="N4" s="1">
        <v>30</v>
      </c>
      <c r="O4" s="1" t="s">
        <v>13</v>
      </c>
    </row>
    <row r="5" spans="1:15" x14ac:dyDescent="0.2">
      <c r="A5" s="1" t="s">
        <v>8</v>
      </c>
      <c r="B5" s="2">
        <v>13</v>
      </c>
      <c r="C5" s="2">
        <f>134000+110292</f>
        <v>244292</v>
      </c>
      <c r="D5" s="37">
        <v>34971.699999999997</v>
      </c>
      <c r="E5" s="2" t="s">
        <v>10</v>
      </c>
      <c r="F5" s="37">
        <f>C5/D5</f>
        <v>6.9854196393083559</v>
      </c>
      <c r="G5" s="37" t="s">
        <v>10</v>
      </c>
      <c r="H5" s="2">
        <v>3</v>
      </c>
      <c r="I5" s="2">
        <v>2017</v>
      </c>
      <c r="J5" s="2" t="s">
        <v>57</v>
      </c>
      <c r="M5" s="1">
        <f>'Individual Truck Breakdown'!J15</f>
        <v>18632.519999999993</v>
      </c>
      <c r="N5" s="1">
        <v>29.7</v>
      </c>
    </row>
    <row r="10" spans="1:15" x14ac:dyDescent="0.2">
      <c r="A10" s="78">
        <v>2016</v>
      </c>
      <c r="B10" s="78"/>
      <c r="C10" s="78"/>
      <c r="D10" s="78"/>
      <c r="E10" s="78"/>
      <c r="F10" s="78"/>
      <c r="G10" s="78"/>
      <c r="H10" s="78"/>
      <c r="I10" s="1"/>
    </row>
    <row r="11" spans="1:15" x14ac:dyDescent="0.2">
      <c r="A11" s="25" t="s">
        <v>1</v>
      </c>
      <c r="B11" s="25" t="s">
        <v>2</v>
      </c>
      <c r="C11" s="25" t="s">
        <v>3</v>
      </c>
      <c r="D11" s="25" t="s">
        <v>4</v>
      </c>
      <c r="E11" s="25" t="s">
        <v>0</v>
      </c>
      <c r="F11" s="25"/>
      <c r="G11" s="25"/>
      <c r="H11" s="25" t="s">
        <v>40</v>
      </c>
      <c r="I11" s="25" t="s">
        <v>27</v>
      </c>
      <c r="J11" s="25" t="s">
        <v>28</v>
      </c>
      <c r="K11" s="25" t="s">
        <v>29</v>
      </c>
      <c r="L11" s="25" t="s">
        <v>30</v>
      </c>
      <c r="M11" s="25" t="s">
        <v>32</v>
      </c>
      <c r="N11" s="25" t="s">
        <v>31</v>
      </c>
    </row>
    <row r="12" spans="1:15" x14ac:dyDescent="0.2">
      <c r="A12" s="1" t="s">
        <v>5</v>
      </c>
      <c r="B12" s="2">
        <v>13</v>
      </c>
      <c r="C12" s="2" t="s">
        <v>10</v>
      </c>
      <c r="D12" s="37">
        <v>14823.59</v>
      </c>
      <c r="E12" s="2">
        <v>12747</v>
      </c>
      <c r="F12" s="2" t="s">
        <v>10</v>
      </c>
      <c r="G12" s="37">
        <f>D12/E12</f>
        <v>1.1629081352475092</v>
      </c>
      <c r="H12" s="2">
        <f>((I12+K12)/365)/B12</f>
        <v>4.2459430979978929</v>
      </c>
      <c r="I12" s="2">
        <v>8505</v>
      </c>
      <c r="J12" s="2">
        <v>1041</v>
      </c>
      <c r="K12" s="2">
        <v>11642</v>
      </c>
      <c r="L12" s="2">
        <v>445</v>
      </c>
      <c r="M12" s="24">
        <f>'[1]Individual Truck Breakdown'!U29</f>
        <v>73251.522000000012</v>
      </c>
      <c r="N12" s="1">
        <v>31.6</v>
      </c>
    </row>
    <row r="13" spans="1:15" ht="25.5" x14ac:dyDescent="0.2">
      <c r="A13" s="1" t="s">
        <v>7</v>
      </c>
      <c r="B13" s="2">
        <v>13</v>
      </c>
      <c r="C13" s="2">
        <v>185168</v>
      </c>
      <c r="D13" s="2">
        <v>36487</v>
      </c>
      <c r="E13" s="2" t="s">
        <v>10</v>
      </c>
      <c r="F13" s="37">
        <f>C13/D13</f>
        <v>5.0749033902485818</v>
      </c>
      <c r="G13" s="2" t="s">
        <v>10</v>
      </c>
      <c r="H13" s="2">
        <f>((I13+K13)/365)/B13</f>
        <v>9.844046364594309</v>
      </c>
      <c r="I13" s="2">
        <v>42901</v>
      </c>
      <c r="J13" s="2">
        <v>3966</v>
      </c>
      <c r="K13" s="2">
        <v>3809</v>
      </c>
      <c r="L13" s="2">
        <v>67</v>
      </c>
      <c r="M13" s="24">
        <f>'[1]Individual Truck Breakdown'!U48</f>
        <v>14674.757000000001</v>
      </c>
      <c r="N13" s="1">
        <v>31.6</v>
      </c>
      <c r="O13" s="38" t="s">
        <v>43</v>
      </c>
    </row>
    <row r="14" spans="1:15" x14ac:dyDescent="0.2">
      <c r="A14" s="1"/>
    </row>
    <row r="19" spans="1:15" x14ac:dyDescent="0.2">
      <c r="A19" s="78">
        <v>2017</v>
      </c>
      <c r="B19" s="78"/>
      <c r="C19" s="78"/>
      <c r="D19" s="78"/>
      <c r="E19" s="78"/>
      <c r="F19" s="78"/>
      <c r="G19" s="78"/>
      <c r="H19" s="78"/>
    </row>
    <row r="20" spans="1:15" x14ac:dyDescent="0.2">
      <c r="A20" s="25" t="s">
        <v>1</v>
      </c>
      <c r="B20" s="25" t="s">
        <v>2</v>
      </c>
      <c r="C20" s="25" t="s">
        <v>3</v>
      </c>
      <c r="D20" s="25" t="s">
        <v>4</v>
      </c>
      <c r="E20" s="25" t="s">
        <v>0</v>
      </c>
      <c r="F20" s="25" t="s">
        <v>11</v>
      </c>
      <c r="G20" s="25" t="s">
        <v>14</v>
      </c>
      <c r="H20" s="25" t="s">
        <v>40</v>
      </c>
      <c r="I20" s="25" t="s">
        <v>27</v>
      </c>
      <c r="J20" s="25" t="s">
        <v>28</v>
      </c>
      <c r="K20" s="25" t="s">
        <v>29</v>
      </c>
      <c r="L20" s="25" t="s">
        <v>30</v>
      </c>
      <c r="M20" s="25" t="s">
        <v>32</v>
      </c>
      <c r="N20" s="25" t="s">
        <v>31</v>
      </c>
    </row>
    <row r="21" spans="1:15" x14ac:dyDescent="0.2">
      <c r="A21" s="1" t="s">
        <v>5</v>
      </c>
      <c r="B21" s="2">
        <v>13</v>
      </c>
      <c r="C21" s="2" t="s">
        <v>10</v>
      </c>
      <c r="D21" s="2">
        <v>12212.3</v>
      </c>
      <c r="E21" s="2">
        <v>7515</v>
      </c>
      <c r="F21" s="2" t="s">
        <v>10</v>
      </c>
      <c r="G21" s="37">
        <f>D21/E21</f>
        <v>1.6250565535595474</v>
      </c>
      <c r="H21" s="2">
        <f>((I21+K21)/365)/B21</f>
        <v>2.1820864067439412</v>
      </c>
      <c r="I21" s="2">
        <v>2774</v>
      </c>
      <c r="J21" s="2">
        <v>552</v>
      </c>
      <c r="K21" s="2">
        <v>7580</v>
      </c>
      <c r="L21" s="2">
        <v>260</v>
      </c>
      <c r="M21" s="24">
        <f>'[1]Individual Truck Breakdown'!AF29</f>
        <v>34396.162000000004</v>
      </c>
      <c r="N21" s="1">
        <v>29.7</v>
      </c>
    </row>
    <row r="22" spans="1:15" ht="25.5" x14ac:dyDescent="0.2">
      <c r="A22" s="1" t="s">
        <v>7</v>
      </c>
      <c r="B22" s="2">
        <v>13</v>
      </c>
      <c r="C22" s="2">
        <v>169325.9</v>
      </c>
      <c r="D22" s="37">
        <v>31321.75</v>
      </c>
      <c r="E22" s="2" t="s">
        <v>10</v>
      </c>
      <c r="F22" s="37">
        <f>C22/D22</f>
        <v>5.4060165859187306</v>
      </c>
      <c r="G22" s="2" t="s">
        <v>10</v>
      </c>
      <c r="H22" s="2">
        <f>((I22+K22)/365)/B22</f>
        <v>1.1350895679662802</v>
      </c>
      <c r="I22" s="2">
        <f>434+1113+1+195+355+330+509+553+306</f>
        <v>3796</v>
      </c>
      <c r="J22" s="2">
        <v>413</v>
      </c>
      <c r="K22" s="2">
        <v>1590</v>
      </c>
      <c r="L22" s="2">
        <v>28</v>
      </c>
      <c r="M22" s="24">
        <f>'[1]Individual Truck Breakdown'!AF48</f>
        <v>1638.018</v>
      </c>
      <c r="N22" s="3">
        <v>29.7</v>
      </c>
      <c r="O22" s="39" t="s">
        <v>36</v>
      </c>
    </row>
    <row r="23" spans="1:15" x14ac:dyDescent="0.2">
      <c r="A23" s="1"/>
    </row>
    <row r="28" spans="1:15" x14ac:dyDescent="0.2">
      <c r="A28" s="78">
        <v>2018</v>
      </c>
      <c r="B28" s="78"/>
      <c r="C28" s="78"/>
      <c r="D28" s="78"/>
      <c r="E28" s="78"/>
      <c r="F28" s="78"/>
      <c r="G28" s="78"/>
      <c r="H28" s="78"/>
    </row>
    <row r="29" spans="1:15" x14ac:dyDescent="0.2">
      <c r="A29" s="25" t="s">
        <v>1</v>
      </c>
      <c r="B29" s="25" t="s">
        <v>2</v>
      </c>
      <c r="C29" s="25" t="s">
        <v>3</v>
      </c>
      <c r="D29" s="25" t="s">
        <v>4</v>
      </c>
      <c r="E29" s="25" t="s">
        <v>0</v>
      </c>
      <c r="F29" s="25" t="s">
        <v>11</v>
      </c>
      <c r="G29" s="25" t="s">
        <v>14</v>
      </c>
      <c r="H29" s="25" t="s">
        <v>40</v>
      </c>
      <c r="I29" s="25" t="s">
        <v>62</v>
      </c>
      <c r="J29" s="25" t="s">
        <v>28</v>
      </c>
      <c r="K29" s="25" t="s">
        <v>29</v>
      </c>
      <c r="L29" s="25" t="s">
        <v>30</v>
      </c>
      <c r="M29" s="25" t="s">
        <v>32</v>
      </c>
      <c r="N29" s="25" t="s">
        <v>31</v>
      </c>
    </row>
    <row r="30" spans="1:15" x14ac:dyDescent="0.2">
      <c r="A30" s="1" t="s">
        <v>5</v>
      </c>
      <c r="B30" s="2">
        <v>13</v>
      </c>
      <c r="D30" s="2">
        <v>17852</v>
      </c>
      <c r="E30" s="2">
        <v>36863</v>
      </c>
      <c r="G30" s="2">
        <f>D30/E30</f>
        <v>0.48427962998128204</v>
      </c>
      <c r="H30" s="2">
        <f>((I30+K30)/365)/B30</f>
        <v>1.6516332982086406</v>
      </c>
      <c r="I30" s="2">
        <f>'[1]Individual Truck Breakdown'!AM29</f>
        <v>1812</v>
      </c>
      <c r="J30" s="2">
        <f>'[1]Individual Truck Breakdown'!AN29</f>
        <v>354</v>
      </c>
      <c r="K30" s="2">
        <f>'[1]Individual Truck Breakdown'!AO29</f>
        <v>6025</v>
      </c>
      <c r="L30" s="2">
        <f>'[1]Individual Truck Breakdown'!AP29</f>
        <v>645</v>
      </c>
      <c r="M30" s="24">
        <f>'Individual Truck Breakdown'!AQ29</f>
        <v>10735.647000000001</v>
      </c>
      <c r="N30" s="1"/>
      <c r="O30" s="1" t="s">
        <v>37</v>
      </c>
    </row>
    <row r="31" spans="1:15" x14ac:dyDescent="0.2">
      <c r="A31" s="1" t="s">
        <v>7</v>
      </c>
      <c r="B31" s="2">
        <v>12</v>
      </c>
      <c r="C31" s="2">
        <v>236235</v>
      </c>
      <c r="D31" s="2">
        <v>41713</v>
      </c>
      <c r="F31" s="2">
        <f>C31/D31</f>
        <v>5.6633423632920197</v>
      </c>
      <c r="H31" s="2">
        <f>((I31+K31)/365)/B31</f>
        <v>0.87694063926940646</v>
      </c>
      <c r="I31" s="2">
        <f>'[1]Individual Truck Breakdown'!AM48</f>
        <v>2256</v>
      </c>
      <c r="J31" s="2">
        <f>'[1]Individual Truck Breakdown'!AN48</f>
        <v>464</v>
      </c>
      <c r="K31" s="2">
        <f>'[1]Individual Truck Breakdown'!AO48</f>
        <v>1585</v>
      </c>
      <c r="L31" s="2">
        <f>'[1]Individual Truck Breakdown'!AP48</f>
        <v>122</v>
      </c>
      <c r="M31" s="24">
        <f>'Individual Truck Breakdown'!AQ48</f>
        <v>5179.1790000000001</v>
      </c>
      <c r="N31" s="3"/>
      <c r="O31" s="40" t="s">
        <v>56</v>
      </c>
    </row>
    <row r="32" spans="1:15" x14ac:dyDescent="0.2">
      <c r="A32" s="1" t="s">
        <v>8</v>
      </c>
      <c r="B32" s="2">
        <v>13</v>
      </c>
      <c r="C32" s="2">
        <v>110258</v>
      </c>
      <c r="D32" s="2">
        <v>30222</v>
      </c>
      <c r="E32" s="2">
        <v>5315</v>
      </c>
      <c r="F32" s="2">
        <f>C32/D32</f>
        <v>3.6482694725696514</v>
      </c>
      <c r="G32" s="2">
        <f>D32/E32</f>
        <v>5.6861712135465661</v>
      </c>
      <c r="H32" s="2">
        <f>((I32+K32)/365)/B32</f>
        <v>1.8002107481559537</v>
      </c>
      <c r="I32" s="2">
        <f>'[1]Individual Truck Breakdown'!AM15</f>
        <v>3039</v>
      </c>
      <c r="J32" s="2">
        <f>'[1]Individual Truck Breakdown'!AN15</f>
        <v>365</v>
      </c>
      <c r="K32" s="2">
        <f>'[1]Individual Truck Breakdown'!AO15</f>
        <v>5503</v>
      </c>
      <c r="L32" s="2">
        <f>'[1]Individual Truck Breakdown'!AP15</f>
        <v>331</v>
      </c>
      <c r="M32" s="24">
        <f>'Individual Truck Breakdown'!AQ15</f>
        <v>11751.411000000002</v>
      </c>
    </row>
    <row r="37" spans="1:15" x14ac:dyDescent="0.2">
      <c r="A37" s="78">
        <v>2019</v>
      </c>
      <c r="B37" s="78"/>
      <c r="C37" s="78"/>
      <c r="D37" s="78"/>
      <c r="E37" s="78"/>
      <c r="F37" s="78"/>
      <c r="G37" s="78"/>
      <c r="H37" s="78"/>
    </row>
    <row r="38" spans="1:15" x14ac:dyDescent="0.2">
      <c r="A38" s="25" t="s">
        <v>1</v>
      </c>
      <c r="B38" s="25" t="s">
        <v>2</v>
      </c>
      <c r="C38" s="25" t="s">
        <v>3</v>
      </c>
      <c r="D38" s="25" t="s">
        <v>4</v>
      </c>
      <c r="E38" s="25" t="s">
        <v>0</v>
      </c>
      <c r="F38" s="25" t="s">
        <v>11</v>
      </c>
      <c r="G38" s="25" t="s">
        <v>14</v>
      </c>
      <c r="H38" s="25" t="s">
        <v>40</v>
      </c>
      <c r="I38" s="25" t="s">
        <v>27</v>
      </c>
      <c r="J38" s="25" t="s">
        <v>28</v>
      </c>
      <c r="K38" s="25" t="s">
        <v>29</v>
      </c>
      <c r="L38" s="25" t="s">
        <v>30</v>
      </c>
      <c r="M38" s="25" t="s">
        <v>32</v>
      </c>
      <c r="N38" s="25" t="s">
        <v>31</v>
      </c>
    </row>
    <row r="39" spans="1:15" x14ac:dyDescent="0.2">
      <c r="A39" s="1" t="s">
        <v>5</v>
      </c>
      <c r="B39" s="2">
        <v>13</v>
      </c>
      <c r="D39" s="2">
        <f>'Individual Truck Breakdown'!AS29</f>
        <v>16219</v>
      </c>
      <c r="E39" s="2">
        <f>'Individual Truck Breakdown'!AT29</f>
        <v>15024</v>
      </c>
      <c r="G39" s="2">
        <f>AVERAGE('Individual Truck Breakdown'!AV16:AV28)</f>
        <v>1.1950616580377813</v>
      </c>
      <c r="H39" s="2">
        <f>((I39+K39)/365)/B39</f>
        <v>1.4570038566912538</v>
      </c>
      <c r="I39" s="2">
        <f>'Individual Truck Breakdown'!AX29</f>
        <v>1427.6870000000001</v>
      </c>
      <c r="K39" s="2">
        <f>'Individual Truck Breakdown'!AZ29</f>
        <v>5485.7962999999991</v>
      </c>
      <c r="M39" s="24">
        <f>'Individual Truck Breakdown'!BB29</f>
        <v>9462.5250936999983</v>
      </c>
      <c r="N39" s="1">
        <v>37.4</v>
      </c>
    </row>
    <row r="40" spans="1:15" x14ac:dyDescent="0.2">
      <c r="A40" s="1" t="s">
        <v>7</v>
      </c>
      <c r="B40" s="2">
        <v>12</v>
      </c>
      <c r="C40" s="2">
        <f>'Individual Truck Breakdown'!AR48</f>
        <v>194634.6</v>
      </c>
      <c r="D40" s="2">
        <f>'Individual Truck Breakdown'!AS48</f>
        <v>38809.25</v>
      </c>
      <c r="F40" s="2">
        <f>C40/D40</f>
        <v>5.0151600456076837</v>
      </c>
      <c r="H40" s="2">
        <f>((I40+K40)/365)/B40</f>
        <v>4.5322716210045657</v>
      </c>
      <c r="I40" s="2">
        <f>'Individual Truck Breakdown'!AX48</f>
        <v>8212.5596999999998</v>
      </c>
      <c r="K40" s="2">
        <f>'Individual Truck Breakdown'!AZ48</f>
        <v>11638.79</v>
      </c>
      <c r="M40" s="24">
        <f>'Individual Truck Breakdown'!BB48</f>
        <v>27363.9745482</v>
      </c>
      <c r="N40" s="3"/>
    </row>
    <row r="41" spans="1:15" x14ac:dyDescent="0.2">
      <c r="A41" s="1" t="s">
        <v>8</v>
      </c>
      <c r="B41" s="2">
        <v>13</v>
      </c>
      <c r="C41" s="2">
        <f>'Individual Truck Breakdown'!AR15</f>
        <v>73035</v>
      </c>
      <c r="D41" s="2">
        <f>'Individual Truck Breakdown'!AS15</f>
        <v>27798.728000000003</v>
      </c>
      <c r="E41" s="2">
        <f>'Individual Truck Breakdown'!AT15</f>
        <v>6371</v>
      </c>
      <c r="F41" s="2">
        <f>C41/D41</f>
        <v>2.6272784855479716</v>
      </c>
      <c r="G41" s="2">
        <f>D41/E41</f>
        <v>4.3633225553288346</v>
      </c>
      <c r="H41" s="2">
        <f>((I41+K41)/365)/B41</f>
        <v>2.9657801896733407</v>
      </c>
      <c r="I41" s="2">
        <f>'Individual Truck Breakdown'!AX15</f>
        <v>7504.48</v>
      </c>
      <c r="K41" s="2">
        <f>'Individual Truck Breakdown'!AZ15</f>
        <v>6568.1469999999999</v>
      </c>
      <c r="M41" s="24">
        <f>'Individual Truck Breakdown'!BB15</f>
        <v>19477.410652999999</v>
      </c>
    </row>
    <row r="45" spans="1:15" x14ac:dyDescent="0.2">
      <c r="A45" s="78">
        <v>2020</v>
      </c>
      <c r="B45" s="78"/>
      <c r="C45" s="78"/>
      <c r="D45" s="78"/>
      <c r="E45" s="78"/>
      <c r="F45" s="78"/>
      <c r="G45" s="78"/>
      <c r="H45" s="78"/>
    </row>
    <row r="46" spans="1:15" x14ac:dyDescent="0.2">
      <c r="A46" s="25" t="s">
        <v>1</v>
      </c>
      <c r="B46" s="25" t="s">
        <v>2</v>
      </c>
      <c r="C46" s="25" t="s">
        <v>3</v>
      </c>
      <c r="D46" s="25" t="s">
        <v>4</v>
      </c>
      <c r="E46" s="25" t="s">
        <v>0</v>
      </c>
      <c r="F46" s="25" t="s">
        <v>11</v>
      </c>
      <c r="G46" s="25" t="s">
        <v>14</v>
      </c>
      <c r="H46" s="25" t="s">
        <v>40</v>
      </c>
      <c r="I46" s="25" t="s">
        <v>27</v>
      </c>
      <c r="J46" s="25" t="s">
        <v>28</v>
      </c>
      <c r="K46" s="25" t="s">
        <v>29</v>
      </c>
      <c r="L46" s="25" t="s">
        <v>30</v>
      </c>
      <c r="M46" s="25" t="s">
        <v>32</v>
      </c>
      <c r="N46" s="25" t="s">
        <v>31</v>
      </c>
    </row>
    <row r="47" spans="1:15" x14ac:dyDescent="0.2">
      <c r="A47" s="1"/>
      <c r="M47" s="24"/>
      <c r="N47" s="1">
        <v>26.9</v>
      </c>
      <c r="O47" s="2" t="s">
        <v>60</v>
      </c>
    </row>
    <row r="48" spans="1:15" x14ac:dyDescent="0.2">
      <c r="A48" s="1" t="s">
        <v>7</v>
      </c>
      <c r="B48" s="2">
        <v>11</v>
      </c>
      <c r="C48" s="2">
        <f>'Individual Truck Breakdown'!BC48</f>
        <v>154076</v>
      </c>
      <c r="D48" s="2">
        <f>'Individual Truck Breakdown'!BD48</f>
        <v>32102.309000000005</v>
      </c>
      <c r="F48" s="2">
        <f>C48/D48</f>
        <v>4.7995301521769038</v>
      </c>
      <c r="H48" s="2">
        <f>((I48+K48)/365)/B48</f>
        <v>6.3602733001245317</v>
      </c>
      <c r="I48" s="2">
        <f>'Individual Truck Breakdown'!BI48</f>
        <v>16863.267299999996</v>
      </c>
      <c r="K48" s="2">
        <f>'Individual Truck Breakdown'!BK48</f>
        <v>8673.23</v>
      </c>
      <c r="M48" s="24">
        <f>'Individual Truck Breakdown'!BM48</f>
        <v>35496.673393799996</v>
      </c>
      <c r="N48" s="3"/>
      <c r="O48" s="1" t="s">
        <v>61</v>
      </c>
    </row>
    <row r="49" spans="1:15" x14ac:dyDescent="0.2">
      <c r="A49" s="1" t="s">
        <v>8</v>
      </c>
      <c r="B49" s="2">
        <v>8</v>
      </c>
      <c r="C49" s="2">
        <f>'Individual Truck Breakdown'!BC15</f>
        <v>63476</v>
      </c>
      <c r="D49" s="2">
        <f>'Individual Truck Breakdown'!BD15</f>
        <v>16301</v>
      </c>
      <c r="F49" s="2">
        <f>C49/D49</f>
        <v>3.8939942334826085</v>
      </c>
      <c r="H49" s="2">
        <f>((I49+K49)/365)/B49</f>
        <v>4.4155671232876719</v>
      </c>
      <c r="I49" s="2">
        <f>'Individual Truck Breakdown'!BI15</f>
        <v>4736.7800000000007</v>
      </c>
      <c r="K49" s="2">
        <f>'Individual Truck Breakdown'!BK15</f>
        <v>8156.6760000000004</v>
      </c>
      <c r="M49" s="24">
        <f>'Individual Truck Breakdown'!BM15</f>
        <v>17744.835363999999</v>
      </c>
      <c r="O49" s="2" t="s">
        <v>59</v>
      </c>
    </row>
    <row r="52" spans="1:15" x14ac:dyDescent="0.2">
      <c r="A52" s="78">
        <v>2021</v>
      </c>
      <c r="B52" s="78"/>
      <c r="C52" s="78"/>
      <c r="D52" s="78"/>
      <c r="E52" s="78"/>
      <c r="F52" s="78"/>
      <c r="G52" s="78"/>
      <c r="H52" s="78"/>
    </row>
    <row r="53" spans="1:15" x14ac:dyDescent="0.2">
      <c r="A53" s="25" t="s">
        <v>1</v>
      </c>
      <c r="B53" s="25" t="s">
        <v>2</v>
      </c>
      <c r="C53" s="25" t="s">
        <v>3</v>
      </c>
      <c r="D53" s="25" t="s">
        <v>4</v>
      </c>
      <c r="E53" s="25" t="s">
        <v>0</v>
      </c>
      <c r="F53" s="25" t="s">
        <v>11</v>
      </c>
      <c r="G53" s="25" t="s">
        <v>14</v>
      </c>
      <c r="H53" s="25" t="s">
        <v>40</v>
      </c>
      <c r="I53" s="25" t="s">
        <v>27</v>
      </c>
      <c r="J53" s="25" t="s">
        <v>28</v>
      </c>
      <c r="K53" s="25" t="s">
        <v>29</v>
      </c>
      <c r="L53" s="25" t="s">
        <v>30</v>
      </c>
      <c r="M53" s="25" t="s">
        <v>32</v>
      </c>
      <c r="N53" s="25" t="s">
        <v>31</v>
      </c>
    </row>
    <row r="54" spans="1:15" x14ac:dyDescent="0.2">
      <c r="A54" s="1"/>
      <c r="M54" s="24"/>
      <c r="N54" s="1"/>
    </row>
    <row r="55" spans="1:15" x14ac:dyDescent="0.2">
      <c r="A55" s="1"/>
      <c r="M55" s="24"/>
      <c r="N55" s="3"/>
    </row>
    <row r="56" spans="1:15" x14ac:dyDescent="0.2">
      <c r="A56" s="1" t="s">
        <v>8</v>
      </c>
      <c r="B56" s="2">
        <v>8</v>
      </c>
      <c r="C56" s="2">
        <f>'Individual Truck Breakdown'!BN15</f>
        <v>52367</v>
      </c>
      <c r="D56" s="2">
        <f>'Individual Truck Breakdown'!BO15</f>
        <v>13499</v>
      </c>
      <c r="H56" s="2">
        <f>'Individual Truck Breakdown'!BS15</f>
        <v>1.3577671232876714</v>
      </c>
      <c r="I56" s="2">
        <f>'Individual Truck Breakdown'!BT15</f>
        <v>2410.3360000000002</v>
      </c>
      <c r="K56" s="2">
        <f>'Individual Truck Breakdown'!BV15</f>
        <v>3536.6839999999993</v>
      </c>
      <c r="M56" s="24">
        <f>'Individual Truck Breakdown'!BX15</f>
        <v>8195.2859719999997</v>
      </c>
      <c r="O56" s="2" t="s">
        <v>63</v>
      </c>
    </row>
    <row r="59" spans="1:15" x14ac:dyDescent="0.2">
      <c r="A59" s="41"/>
      <c r="B59" s="41"/>
      <c r="C59" s="41"/>
      <c r="D59" s="41"/>
      <c r="E59" s="41"/>
      <c r="F59" s="41"/>
      <c r="G59" s="41"/>
      <c r="H59" s="41"/>
    </row>
    <row r="62" spans="1:15" x14ac:dyDescent="0.2">
      <c r="N62" s="1" t="s">
        <v>39</v>
      </c>
      <c r="O62" s="1" t="s">
        <v>38</v>
      </c>
    </row>
    <row r="63" spans="1:15" x14ac:dyDescent="0.2">
      <c r="N63" s="2">
        <f>SUM(M12,M13,M21,M22,M30,M31,M32,M39,M40,M41,M47,M48,M49,M54,M55,M56)</f>
        <v>269367.40102470003</v>
      </c>
      <c r="O63" s="2">
        <f>N63*0.00220462</f>
        <v>593.85275964707421</v>
      </c>
    </row>
    <row r="64" spans="1:15" x14ac:dyDescent="0.2">
      <c r="O64" s="2" t="s">
        <v>55</v>
      </c>
    </row>
    <row r="65" spans="14:15" x14ac:dyDescent="0.2">
      <c r="N65" s="2" t="s">
        <v>58</v>
      </c>
      <c r="O65" s="2">
        <f>O63/2000</f>
        <v>0.29692637982353709</v>
      </c>
    </row>
    <row r="66" spans="14:15" x14ac:dyDescent="0.2">
      <c r="N66" s="2">
        <f>AVERAGE(M12,M13,M21,M22,M30,M31,M32,M39,M40,M41,M47,M48,M49,M54,M55,M56)</f>
        <v>20720.569309592309</v>
      </c>
    </row>
  </sheetData>
  <sheetProtection algorithmName="SHA-512" hashValue="VDIDoeYJp42ASmu8se0H4X/w60riICs3cW4lB77Sg1wV21uxKiVhoaz8jLTzhVjzG07nN74G8VKYFQ6D6AKxRA==" saltValue="92KqaGcsHo5c3XWblRvNBg==" spinCount="100000" sheet="1" objects="1" scenarios="1"/>
  <mergeCells count="7">
    <mergeCell ref="A45:H45"/>
    <mergeCell ref="A52:H52"/>
    <mergeCell ref="A1:H1"/>
    <mergeCell ref="A10:H10"/>
    <mergeCell ref="A19:H19"/>
    <mergeCell ref="A28:H28"/>
    <mergeCell ref="A37:H37"/>
  </mergeCells>
  <pageMargins left="0.7" right="0.7" top="0.75" bottom="0.75" header="0.3" footer="0.3"/>
  <pageSetup scale="4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X48"/>
  <sheetViews>
    <sheetView zoomScaleNormal="100" workbookViewId="0">
      <pane xSplit="2" topLeftCell="C1" activePane="topRight" state="frozen"/>
      <selection pane="topRight" activeCell="C3" sqref="C3"/>
    </sheetView>
  </sheetViews>
  <sheetFormatPr defaultColWidth="9.140625" defaultRowHeight="12.75" x14ac:dyDescent="0.2"/>
  <cols>
    <col min="1" max="1" width="10.85546875" style="13" bestFit="1" customWidth="1"/>
    <col min="2" max="2" width="12.85546875" style="13" bestFit="1" customWidth="1"/>
    <col min="3" max="3" width="14.85546875" style="13" customWidth="1"/>
    <col min="4" max="4" width="24.85546875" style="13" bestFit="1" customWidth="1"/>
    <col min="5" max="5" width="9" style="9" bestFit="1" customWidth="1"/>
    <col min="6" max="6" width="10.140625" style="6" customWidth="1"/>
    <col min="7" max="7" width="8" style="6" bestFit="1" customWidth="1"/>
    <col min="8" max="9" width="12" style="6" bestFit="1" customWidth="1"/>
    <col min="10" max="10" width="32" style="8" bestFit="1" customWidth="1"/>
    <col min="11" max="11" width="8" style="9" bestFit="1" customWidth="1"/>
    <col min="12" max="12" width="10.140625" style="6" customWidth="1"/>
    <col min="13" max="13" width="6.28515625" style="6" customWidth="1"/>
    <col min="14" max="15" width="12" style="6" bestFit="1" customWidth="1"/>
    <col min="16" max="16" width="26.42578125" style="6" bestFit="1" customWidth="1"/>
    <col min="17" max="17" width="14.85546875" style="6" customWidth="1"/>
    <col min="18" max="18" width="23.5703125" style="6" customWidth="1"/>
    <col min="19" max="19" width="15.140625" style="6" bestFit="1" customWidth="1"/>
    <col min="20" max="20" width="23.28515625" style="6" customWidth="1"/>
    <col min="21" max="21" width="22" style="8" customWidth="1"/>
    <col min="22" max="22" width="9" style="9" bestFit="1" customWidth="1"/>
    <col min="23" max="23" width="10.140625" style="6" customWidth="1"/>
    <col min="24" max="24" width="6.28515625" style="6" customWidth="1"/>
    <col min="25" max="26" width="12" style="6" bestFit="1" customWidth="1"/>
    <col min="27" max="27" width="26.42578125" style="6" bestFit="1" customWidth="1"/>
    <col min="28" max="28" width="14.85546875" style="6" customWidth="1"/>
    <col min="29" max="29" width="23.5703125" style="6" customWidth="1"/>
    <col min="30" max="30" width="15.140625" style="6" bestFit="1" customWidth="1"/>
    <col min="31" max="31" width="23.28515625" style="6" customWidth="1"/>
    <col min="32" max="32" width="22" style="8" customWidth="1"/>
    <col min="33" max="33" width="8.5703125" style="13" bestFit="1" customWidth="1"/>
    <col min="34" max="34" width="10.140625" style="13" bestFit="1" customWidth="1"/>
    <col min="35" max="35" width="6.28515625" style="13" bestFit="1" customWidth="1"/>
    <col min="36" max="36" width="12" style="13" bestFit="1" customWidth="1"/>
    <col min="37" max="37" width="8" style="13" bestFit="1" customWidth="1"/>
    <col min="38" max="38" width="26.42578125" style="13" bestFit="1" customWidth="1"/>
    <col min="39" max="39" width="14.85546875" style="13" bestFit="1" customWidth="1"/>
    <col min="40" max="40" width="23.5703125" style="13" bestFit="1" customWidth="1"/>
    <col min="41" max="41" width="15.140625" style="13" bestFit="1" customWidth="1"/>
    <col min="42" max="42" width="23.28515625" style="13" bestFit="1" customWidth="1"/>
    <col min="43" max="43" width="22" style="13" bestFit="1" customWidth="1"/>
    <col min="44" max="44" width="8.5703125" style="13" bestFit="1" customWidth="1"/>
    <col min="45" max="45" width="10.140625" style="13" bestFit="1" customWidth="1"/>
    <col min="46" max="46" width="6.28515625" style="13" bestFit="1" customWidth="1"/>
    <col min="47" max="47" width="7" style="13" bestFit="1" customWidth="1"/>
    <col min="48" max="48" width="8" style="13" bestFit="1" customWidth="1"/>
    <col min="49" max="49" width="26.42578125" style="13" bestFit="1" customWidth="1"/>
    <col min="50" max="50" width="14.85546875" style="13" bestFit="1" customWidth="1"/>
    <col min="51" max="51" width="23.5703125" style="13" bestFit="1" customWidth="1"/>
    <col min="52" max="52" width="15.140625" style="13" bestFit="1" customWidth="1"/>
    <col min="53" max="53" width="23.28515625" style="13" bestFit="1" customWidth="1"/>
    <col min="54" max="54" width="22" style="13" bestFit="1" customWidth="1"/>
    <col min="55" max="55" width="8.5703125" style="13" bestFit="1" customWidth="1"/>
    <col min="56" max="56" width="10.140625" style="13" bestFit="1" customWidth="1"/>
    <col min="57" max="57" width="6.28515625" style="13" bestFit="1" customWidth="1"/>
    <col min="58" max="58" width="7" style="13" bestFit="1" customWidth="1"/>
    <col min="59" max="59" width="8" style="13" bestFit="1" customWidth="1"/>
    <col min="60" max="60" width="26.42578125" style="13" bestFit="1" customWidth="1"/>
    <col min="61" max="61" width="14.85546875" style="13" bestFit="1" customWidth="1"/>
    <col min="62" max="62" width="23.5703125" style="13" bestFit="1" customWidth="1"/>
    <col min="63" max="63" width="15.140625" style="13" bestFit="1" customWidth="1"/>
    <col min="64" max="64" width="23.28515625" style="13" bestFit="1" customWidth="1"/>
    <col min="65" max="65" width="22" style="13" bestFit="1" customWidth="1"/>
    <col min="66" max="70" width="9.140625" style="13"/>
    <col min="71" max="71" width="26.42578125" style="13" bestFit="1" customWidth="1"/>
    <col min="72" max="72" width="14.85546875" style="13" bestFit="1" customWidth="1"/>
    <col min="73" max="73" width="23.5703125" style="13" bestFit="1" customWidth="1"/>
    <col min="74" max="74" width="15.140625" style="13" bestFit="1" customWidth="1"/>
    <col min="75" max="75" width="23.28515625" style="13" bestFit="1" customWidth="1"/>
    <col min="76" max="76" width="22" style="13" bestFit="1" customWidth="1"/>
    <col min="77" max="16384" width="9.140625" style="13"/>
  </cols>
  <sheetData>
    <row r="1" spans="1:76" x14ac:dyDescent="0.2">
      <c r="E1" s="79" t="s">
        <v>51</v>
      </c>
      <c r="F1" s="80"/>
      <c r="G1" s="80"/>
      <c r="H1" s="80"/>
      <c r="I1" s="80"/>
      <c r="J1" s="81"/>
      <c r="K1" s="79">
        <v>2016</v>
      </c>
      <c r="L1" s="80"/>
      <c r="M1" s="80"/>
      <c r="N1" s="80"/>
      <c r="O1" s="80"/>
      <c r="P1" s="80"/>
      <c r="Q1" s="80"/>
      <c r="R1" s="80"/>
      <c r="S1" s="80"/>
      <c r="T1" s="80"/>
      <c r="U1" s="81"/>
      <c r="V1" s="79">
        <v>2017</v>
      </c>
      <c r="W1" s="80"/>
      <c r="X1" s="80"/>
      <c r="Y1" s="80"/>
      <c r="Z1" s="80"/>
      <c r="AA1" s="80"/>
      <c r="AB1" s="80"/>
      <c r="AC1" s="80"/>
      <c r="AD1" s="80"/>
      <c r="AE1" s="80"/>
      <c r="AF1" s="81"/>
      <c r="AG1" s="79">
        <v>2018</v>
      </c>
      <c r="AH1" s="80"/>
      <c r="AI1" s="80"/>
      <c r="AJ1" s="80"/>
      <c r="AK1" s="80"/>
      <c r="AL1" s="80"/>
      <c r="AM1" s="80"/>
      <c r="AN1" s="80"/>
      <c r="AO1" s="80"/>
      <c r="AP1" s="80"/>
      <c r="AQ1" s="80"/>
      <c r="AR1" s="79">
        <v>2019</v>
      </c>
      <c r="AS1" s="80"/>
      <c r="AT1" s="80"/>
      <c r="AU1" s="80"/>
      <c r="AV1" s="80"/>
      <c r="AW1" s="80"/>
      <c r="AX1" s="80"/>
      <c r="AY1" s="80"/>
      <c r="AZ1" s="80"/>
      <c r="BA1" s="80"/>
      <c r="BB1" s="80"/>
      <c r="BC1" s="79">
        <v>2020</v>
      </c>
      <c r="BD1" s="80"/>
      <c r="BE1" s="80"/>
      <c r="BF1" s="80"/>
      <c r="BG1" s="80"/>
      <c r="BH1" s="80"/>
      <c r="BI1" s="80"/>
      <c r="BJ1" s="80"/>
      <c r="BK1" s="80"/>
      <c r="BL1" s="80"/>
      <c r="BM1" s="80"/>
      <c r="BN1" s="79">
        <v>2021</v>
      </c>
      <c r="BO1" s="80"/>
      <c r="BP1" s="80"/>
      <c r="BQ1" s="80"/>
      <c r="BR1" s="80"/>
      <c r="BS1" s="80"/>
      <c r="BT1" s="80"/>
      <c r="BU1" s="80"/>
      <c r="BV1" s="80"/>
      <c r="BW1" s="80"/>
      <c r="BX1" s="80"/>
    </row>
    <row r="2" spans="1:76" x14ac:dyDescent="0.2">
      <c r="A2" s="22" t="s">
        <v>44</v>
      </c>
      <c r="B2" s="22" t="s">
        <v>45</v>
      </c>
      <c r="C2" s="22" t="s">
        <v>127</v>
      </c>
      <c r="D2" s="25" t="s">
        <v>35</v>
      </c>
      <c r="E2" s="26" t="s">
        <v>3</v>
      </c>
      <c r="F2" s="25" t="s">
        <v>4</v>
      </c>
      <c r="G2" s="25" t="s">
        <v>0</v>
      </c>
      <c r="H2" s="25" t="s">
        <v>11</v>
      </c>
      <c r="I2" s="25" t="s">
        <v>14</v>
      </c>
      <c r="J2" s="27" t="s">
        <v>64</v>
      </c>
      <c r="K2" s="26" t="s">
        <v>3</v>
      </c>
      <c r="L2" s="25" t="s">
        <v>4</v>
      </c>
      <c r="M2" s="25" t="s">
        <v>0</v>
      </c>
      <c r="N2" s="25" t="s">
        <v>11</v>
      </c>
      <c r="O2" s="25" t="s">
        <v>14</v>
      </c>
      <c r="P2" s="25" t="s">
        <v>50</v>
      </c>
      <c r="Q2" s="25" t="s">
        <v>27</v>
      </c>
      <c r="R2" s="25" t="s">
        <v>49</v>
      </c>
      <c r="S2" s="25" t="s">
        <v>29</v>
      </c>
      <c r="T2" s="25" t="s">
        <v>48</v>
      </c>
      <c r="U2" s="27" t="s">
        <v>47</v>
      </c>
      <c r="V2" s="26" t="s">
        <v>3</v>
      </c>
      <c r="W2" s="25" t="s">
        <v>4</v>
      </c>
      <c r="X2" s="25" t="s">
        <v>0</v>
      </c>
      <c r="Y2" s="25" t="s">
        <v>11</v>
      </c>
      <c r="Z2" s="25" t="s">
        <v>14</v>
      </c>
      <c r="AA2" s="25" t="s">
        <v>50</v>
      </c>
      <c r="AB2" s="25" t="s">
        <v>27</v>
      </c>
      <c r="AC2" s="25" t="s">
        <v>49</v>
      </c>
      <c r="AD2" s="25" t="s">
        <v>29</v>
      </c>
      <c r="AE2" s="25" t="s">
        <v>48</v>
      </c>
      <c r="AF2" s="27" t="s">
        <v>47</v>
      </c>
      <c r="AG2" s="26" t="s">
        <v>3</v>
      </c>
      <c r="AH2" s="25" t="s">
        <v>4</v>
      </c>
      <c r="AI2" s="25" t="s">
        <v>0</v>
      </c>
      <c r="AJ2" s="25" t="s">
        <v>11</v>
      </c>
      <c r="AK2" s="25" t="s">
        <v>14</v>
      </c>
      <c r="AL2" s="25" t="s">
        <v>50</v>
      </c>
      <c r="AM2" s="25" t="s">
        <v>27</v>
      </c>
      <c r="AN2" s="25" t="s">
        <v>49</v>
      </c>
      <c r="AO2" s="25" t="s">
        <v>29</v>
      </c>
      <c r="AP2" s="25" t="s">
        <v>48</v>
      </c>
      <c r="AQ2" s="27" t="s">
        <v>47</v>
      </c>
      <c r="AR2" s="26" t="s">
        <v>3</v>
      </c>
      <c r="AS2" s="25" t="s">
        <v>4</v>
      </c>
      <c r="AT2" s="25" t="s">
        <v>0</v>
      </c>
      <c r="AU2" s="25" t="s">
        <v>11</v>
      </c>
      <c r="AV2" s="25" t="s">
        <v>14</v>
      </c>
      <c r="AW2" s="25" t="s">
        <v>50</v>
      </c>
      <c r="AX2" s="25" t="s">
        <v>27</v>
      </c>
      <c r="AY2" s="25" t="s">
        <v>49</v>
      </c>
      <c r="AZ2" s="25" t="s">
        <v>29</v>
      </c>
      <c r="BA2" s="25" t="s">
        <v>48</v>
      </c>
      <c r="BB2" s="27" t="s">
        <v>47</v>
      </c>
      <c r="BC2" s="26" t="s">
        <v>3</v>
      </c>
      <c r="BD2" s="25" t="s">
        <v>4</v>
      </c>
      <c r="BE2" s="25" t="s">
        <v>0</v>
      </c>
      <c r="BF2" s="25" t="s">
        <v>11</v>
      </c>
      <c r="BG2" s="25" t="s">
        <v>14</v>
      </c>
      <c r="BH2" s="25" t="s">
        <v>50</v>
      </c>
      <c r="BI2" s="25" t="s">
        <v>27</v>
      </c>
      <c r="BJ2" s="25" t="s">
        <v>49</v>
      </c>
      <c r="BK2" s="25" t="s">
        <v>29</v>
      </c>
      <c r="BL2" s="25" t="s">
        <v>48</v>
      </c>
      <c r="BM2" s="27" t="s">
        <v>47</v>
      </c>
      <c r="BN2" s="26" t="s">
        <v>3</v>
      </c>
      <c r="BO2" s="25" t="s">
        <v>4</v>
      </c>
      <c r="BP2" s="25" t="s">
        <v>0</v>
      </c>
      <c r="BQ2" s="25" t="s">
        <v>11</v>
      </c>
      <c r="BR2" s="25" t="s">
        <v>14</v>
      </c>
      <c r="BS2" s="25" t="s">
        <v>50</v>
      </c>
      <c r="BT2" s="25" t="s">
        <v>27</v>
      </c>
      <c r="BU2" s="25" t="s">
        <v>49</v>
      </c>
      <c r="BV2" s="25" t="s">
        <v>29</v>
      </c>
      <c r="BW2" s="25" t="s">
        <v>48</v>
      </c>
      <c r="BX2" s="27" t="s">
        <v>47</v>
      </c>
    </row>
    <row r="3" spans="1:76" x14ac:dyDescent="0.2">
      <c r="A3" s="12" t="s">
        <v>8</v>
      </c>
      <c r="B3" s="6">
        <v>493</v>
      </c>
      <c r="C3" s="13">
        <v>1.4179999999999999</v>
      </c>
      <c r="D3" s="13">
        <v>3</v>
      </c>
      <c r="E3" s="7">
        <v>11654</v>
      </c>
      <c r="F3" s="4">
        <v>3192</v>
      </c>
      <c r="G3" s="4" t="s">
        <v>46</v>
      </c>
      <c r="H3" s="4">
        <f>E3/F3</f>
        <v>3.6510025062656641</v>
      </c>
      <c r="I3" s="4"/>
      <c r="J3" s="8">
        <f t="shared" ref="J3:J14" si="0">D3*365*C3</f>
        <v>1552.7099999999998</v>
      </c>
      <c r="K3" s="12" t="s">
        <v>46</v>
      </c>
      <c r="M3" s="9"/>
      <c r="N3" s="4"/>
      <c r="O3" s="4"/>
      <c r="P3" s="2"/>
      <c r="U3" s="10">
        <f t="shared" ref="U3:U10" si="1">((Q3+S3)*C3)-((S3*0.059)+(Q3*0.012))</f>
        <v>0</v>
      </c>
      <c r="V3" s="12"/>
      <c r="X3" s="9"/>
      <c r="Y3" s="4"/>
      <c r="Z3" s="4"/>
      <c r="AA3" s="2"/>
      <c r="AF3" s="11">
        <f>((AB3+AD3)*3.68)-((AD3*0.059)+(AB3*0.012))</f>
        <v>0</v>
      </c>
      <c r="AG3" s="12">
        <v>10123</v>
      </c>
      <c r="AH3" s="6">
        <v>3528</v>
      </c>
      <c r="AI3" s="9"/>
      <c r="AJ3" s="4">
        <f t="shared" ref="AJ3:AJ8" si="2">AG3/AH3</f>
        <v>2.8693310657596371</v>
      </c>
      <c r="AK3" s="4"/>
      <c r="AL3" s="2">
        <f>((AM3+AO3)/365)</f>
        <v>0</v>
      </c>
      <c r="AM3" s="6"/>
      <c r="AN3" s="6"/>
      <c r="AO3" s="6"/>
      <c r="AP3" s="6"/>
      <c r="AQ3" s="10">
        <f t="shared" ref="AQ3:AQ14" si="3">((AM3+AO3)*C3)-((AO3*0.059)+(AM3*0.012))</f>
        <v>0</v>
      </c>
      <c r="AR3" s="12">
        <v>9528</v>
      </c>
      <c r="AS3" s="6">
        <v>3449</v>
      </c>
      <c r="AT3" s="9"/>
      <c r="AU3" s="4">
        <f t="shared" ref="AU3:AU8" si="4">AR3/AS3</f>
        <v>2.7625398666280083</v>
      </c>
      <c r="AV3" s="4"/>
      <c r="AW3" s="2">
        <f>((AX3+AZ3)/365)</f>
        <v>5.6276986301369867</v>
      </c>
      <c r="AX3" s="6">
        <v>686.48</v>
      </c>
      <c r="AY3" s="6"/>
      <c r="AZ3" s="6">
        <v>1367.63</v>
      </c>
      <c r="BA3" s="6"/>
      <c r="BB3" s="11">
        <f t="shared" ref="BB3:BB14" si="5">((AX3+AZ3)*C3)-((AZ3*0.059)+(AX3*0.012))</f>
        <v>2823.8000500000003</v>
      </c>
      <c r="BC3" s="12">
        <v>11124</v>
      </c>
      <c r="BD3" s="6">
        <v>2144</v>
      </c>
      <c r="BE3" s="9"/>
      <c r="BF3" s="4">
        <f t="shared" ref="BF3:BF8" si="6">BC3/BD3</f>
        <v>5.1884328358208958</v>
      </c>
      <c r="BG3" s="4"/>
      <c r="BH3" s="2">
        <f>((BI3+BK3)/365)</f>
        <v>4.8405205479452045</v>
      </c>
      <c r="BI3" s="6">
        <f>1105.32-AX3-AM3</f>
        <v>418.83999999999992</v>
      </c>
      <c r="BJ3" s="6"/>
      <c r="BK3" s="6">
        <f>2715.58-AZ3-AP3</f>
        <v>1347.9499999999998</v>
      </c>
      <c r="BL3" s="6"/>
      <c r="BM3" s="28">
        <f>((BI3+BK3)*C3)-((BK3*0.059)+(BI3*0.012))</f>
        <v>2420.7530899999992</v>
      </c>
      <c r="BN3" s="12">
        <v>15221</v>
      </c>
      <c r="BO3" s="6">
        <v>3325</v>
      </c>
      <c r="BP3" s="9"/>
      <c r="BQ3" s="4">
        <f t="shared" ref="BQ3:BQ8" si="7">BN3/BO3</f>
        <v>4.5777443609022557</v>
      </c>
      <c r="BR3" s="4"/>
      <c r="BS3" s="2">
        <f>((BT3+BV3)/365)</f>
        <v>4.3864383561643834</v>
      </c>
      <c r="BT3" s="6">
        <f>1782.1-BI3-AX3-AM3</f>
        <v>676.78</v>
      </c>
      <c r="BU3" s="6"/>
      <c r="BV3" s="6">
        <f>3639.85-BK3-AZ3-AP3</f>
        <v>924.27</v>
      </c>
      <c r="BW3" s="6"/>
      <c r="BX3" s="28">
        <f>((BT3+BV3)*C3)-((BV3*0.059)+(BT3*0.012))</f>
        <v>2207.6356099999998</v>
      </c>
    </row>
    <row r="4" spans="1:76" x14ac:dyDescent="0.2">
      <c r="A4" s="12" t="s">
        <v>8</v>
      </c>
      <c r="B4" s="6">
        <v>574</v>
      </c>
      <c r="C4" s="13">
        <v>1.4179999999999999</v>
      </c>
      <c r="D4" s="13">
        <v>3</v>
      </c>
      <c r="E4" s="7">
        <v>10278</v>
      </c>
      <c r="F4" s="6">
        <v>2785</v>
      </c>
      <c r="H4" s="4">
        <f t="shared" ref="H4:I14" si="8">E4/F4</f>
        <v>3.6904847396768403</v>
      </c>
      <c r="I4" s="4"/>
      <c r="J4" s="8">
        <f t="shared" si="0"/>
        <v>1552.7099999999998</v>
      </c>
      <c r="K4" s="12" t="s">
        <v>46</v>
      </c>
      <c r="M4" s="7"/>
      <c r="N4" s="4"/>
      <c r="O4" s="4"/>
      <c r="P4" s="2"/>
      <c r="U4" s="10">
        <f t="shared" si="1"/>
        <v>0</v>
      </c>
      <c r="V4" s="12"/>
      <c r="X4" s="7"/>
      <c r="Y4" s="4"/>
      <c r="Z4" s="4"/>
      <c r="AA4" s="2"/>
      <c r="AF4" s="10">
        <f t="shared" ref="AF4:AF14" si="9">((AB4+AD4)*3.68)-((AD4*0.059)+(AB4*0.012))</f>
        <v>0</v>
      </c>
      <c r="AG4" s="12">
        <v>8950</v>
      </c>
      <c r="AH4" s="6">
        <v>3154</v>
      </c>
      <c r="AI4" s="7"/>
      <c r="AJ4" s="4">
        <f t="shared" si="2"/>
        <v>2.8376664552948636</v>
      </c>
      <c r="AK4" s="4"/>
      <c r="AL4" s="2">
        <f t="shared" ref="AL4:AL14" si="10">((AM4+AO4)/365)</f>
        <v>2.4986301369863013</v>
      </c>
      <c r="AM4" s="6"/>
      <c r="AN4" s="6"/>
      <c r="AO4" s="6">
        <v>912</v>
      </c>
      <c r="AP4" s="6">
        <v>55</v>
      </c>
      <c r="AQ4" s="10">
        <f t="shared" si="3"/>
        <v>1239.4079999999999</v>
      </c>
      <c r="AR4" s="12">
        <v>10151</v>
      </c>
      <c r="AS4" s="6">
        <v>2706</v>
      </c>
      <c r="AT4" s="7"/>
      <c r="AU4" s="4">
        <f t="shared" si="4"/>
        <v>3.7512934220251295</v>
      </c>
      <c r="AV4" s="4"/>
      <c r="AW4" s="2">
        <f t="shared" ref="AW4:AW14" si="11">((AX4+AZ4)/365)</f>
        <v>5.8278273972602745</v>
      </c>
      <c r="AX4" s="6">
        <v>1351.29</v>
      </c>
      <c r="AY4" s="6"/>
      <c r="AZ4" s="6">
        <f>1687.867-AO4</f>
        <v>775.86699999999996</v>
      </c>
      <c r="BA4" s="6"/>
      <c r="BB4" s="11">
        <f>((AX4+AZ4)*C4)-((AZ4*0.059)+(AX4*0.012))</f>
        <v>2954.3169929999999</v>
      </c>
      <c r="BC4" s="12"/>
      <c r="BD4" s="6"/>
      <c r="BE4" s="7"/>
      <c r="BF4" s="4" t="e">
        <f t="shared" si="6"/>
        <v>#DIV/0!</v>
      </c>
      <c r="BG4" s="4"/>
      <c r="BH4" s="2">
        <f t="shared" ref="BH4:BH14" si="12">((BI4+BK4)/365)</f>
        <v>0</v>
      </c>
      <c r="BI4" s="6"/>
      <c r="BJ4" s="6"/>
      <c r="BK4" s="6"/>
      <c r="BL4" s="6"/>
      <c r="BM4" s="28">
        <f t="shared" ref="BM4:BM14" si="13">((BI4+BK4)*C4)-((BK4*0.059)+(BI4*0.012))</f>
        <v>0</v>
      </c>
      <c r="BN4" s="12"/>
      <c r="BO4" s="6"/>
      <c r="BP4" s="7"/>
      <c r="BQ4" s="4" t="e">
        <f t="shared" si="7"/>
        <v>#DIV/0!</v>
      </c>
      <c r="BR4" s="4"/>
      <c r="BS4" s="2">
        <f t="shared" ref="BS4:BS14" si="14">((BT4+BV4)/365)</f>
        <v>0</v>
      </c>
      <c r="BT4" s="6"/>
      <c r="BU4" s="6"/>
      <c r="BV4" s="6"/>
      <c r="BW4" s="6"/>
      <c r="BX4" s="28">
        <f t="shared" ref="BX4:BX14" si="15">((BT4+BV4)*C4)-((BV4*0.059)+(BT4*0.012))</f>
        <v>0</v>
      </c>
    </row>
    <row r="5" spans="1:76" x14ac:dyDescent="0.2">
      <c r="A5" s="12" t="s">
        <v>8</v>
      </c>
      <c r="B5" s="6">
        <v>605</v>
      </c>
      <c r="C5" s="13">
        <v>1.4179999999999999</v>
      </c>
      <c r="D5" s="13">
        <v>3</v>
      </c>
      <c r="E5" s="9">
        <v>24879</v>
      </c>
      <c r="F5" s="7">
        <v>6315</v>
      </c>
      <c r="G5" s="4" t="s">
        <v>46</v>
      </c>
      <c r="H5" s="4">
        <f>E5/F5</f>
        <v>3.9396674584323041</v>
      </c>
      <c r="I5" s="4"/>
      <c r="J5" s="8">
        <f t="shared" si="0"/>
        <v>1552.7099999999998</v>
      </c>
      <c r="K5" s="12" t="s">
        <v>46</v>
      </c>
      <c r="M5" s="9"/>
      <c r="N5" s="4"/>
      <c r="O5" s="4"/>
      <c r="P5" s="2"/>
      <c r="U5" s="10">
        <f t="shared" si="1"/>
        <v>0</v>
      </c>
      <c r="V5" s="12"/>
      <c r="X5" s="9"/>
      <c r="Y5" s="4"/>
      <c r="Z5" s="4"/>
      <c r="AA5" s="2"/>
      <c r="AF5" s="10">
        <f t="shared" si="9"/>
        <v>0</v>
      </c>
      <c r="AG5" s="12">
        <v>27289</v>
      </c>
      <c r="AH5" s="6">
        <v>6438</v>
      </c>
      <c r="AI5" s="9"/>
      <c r="AJ5" s="4">
        <f t="shared" si="2"/>
        <v>4.2387387387387383</v>
      </c>
      <c r="AK5" s="4"/>
      <c r="AL5" s="2">
        <f t="shared" si="10"/>
        <v>2.495890410958904</v>
      </c>
      <c r="AM5" s="6">
        <v>322</v>
      </c>
      <c r="AN5" s="6">
        <v>39</v>
      </c>
      <c r="AO5" s="6">
        <v>589</v>
      </c>
      <c r="AP5" s="6">
        <v>35</v>
      </c>
      <c r="AQ5" s="10">
        <f t="shared" si="3"/>
        <v>1253.183</v>
      </c>
      <c r="AR5" s="12">
        <v>17890</v>
      </c>
      <c r="AS5" s="6">
        <v>5473</v>
      </c>
      <c r="AT5" s="9"/>
      <c r="AU5" s="4">
        <f t="shared" si="4"/>
        <v>3.2687739813630552</v>
      </c>
      <c r="AV5" s="4"/>
      <c r="AW5" s="2">
        <f t="shared" si="11"/>
        <v>2.4714520547945207</v>
      </c>
      <c r="AX5" s="6">
        <f>906.5-322</f>
        <v>584.5</v>
      </c>
      <c r="AY5" s="6"/>
      <c r="AZ5" s="6">
        <f>906.58-AO5</f>
        <v>317.58000000000004</v>
      </c>
      <c r="BA5" s="6"/>
      <c r="BB5" s="11">
        <f t="shared" si="5"/>
        <v>1253.3982199999998</v>
      </c>
      <c r="BC5" s="12">
        <v>22373</v>
      </c>
      <c r="BD5" s="6">
        <v>5718</v>
      </c>
      <c r="BE5" s="9"/>
      <c r="BF5" s="4">
        <f t="shared" si="6"/>
        <v>3.9127317243791535</v>
      </c>
      <c r="BG5" s="4"/>
      <c r="BH5" s="2">
        <f t="shared" si="12"/>
        <v>6.5489589041095897</v>
      </c>
      <c r="BI5" s="6">
        <f>1473.65-AX5-AM5</f>
        <v>567.15000000000009</v>
      </c>
      <c r="BJ5" s="6"/>
      <c r="BK5" s="6">
        <f>2175.8-AZ5-AP5</f>
        <v>1823.2200000000003</v>
      </c>
      <c r="BL5" s="6"/>
      <c r="BM5" s="28">
        <f t="shared" si="13"/>
        <v>3275.1688800000006</v>
      </c>
      <c r="BN5" s="12">
        <v>19794</v>
      </c>
      <c r="BO5" s="6">
        <v>5392</v>
      </c>
      <c r="BP5" s="9"/>
      <c r="BQ5" s="4">
        <f t="shared" si="7"/>
        <v>3.6709940652818993</v>
      </c>
      <c r="BR5" s="4"/>
      <c r="BS5" s="2">
        <f t="shared" si="14"/>
        <v>4.2319178082191771</v>
      </c>
      <c r="BT5" s="6">
        <f>2135-BI5-AX5-AM5</f>
        <v>661.34999999999991</v>
      </c>
      <c r="BU5" s="6"/>
      <c r="BV5" s="6">
        <f>3059.1-BK5-AZ5-AP5</f>
        <v>883.29999999999961</v>
      </c>
      <c r="BW5" s="6"/>
      <c r="BX5" s="28">
        <f t="shared" si="15"/>
        <v>2130.2627999999991</v>
      </c>
    </row>
    <row r="6" spans="1:76" x14ac:dyDescent="0.2">
      <c r="A6" s="12" t="s">
        <v>8</v>
      </c>
      <c r="B6" s="6">
        <v>492</v>
      </c>
      <c r="C6" s="13">
        <v>1.4179999999999999</v>
      </c>
      <c r="D6" s="13">
        <v>3</v>
      </c>
      <c r="E6" s="7">
        <v>10359</v>
      </c>
      <c r="F6" s="7">
        <v>3826.19</v>
      </c>
      <c r="G6" s="4" t="s">
        <v>46</v>
      </c>
      <c r="H6" s="4">
        <f t="shared" si="8"/>
        <v>2.7073929940750459</v>
      </c>
      <c r="I6" s="4"/>
      <c r="J6" s="8">
        <f t="shared" si="0"/>
        <v>1552.7099999999998</v>
      </c>
      <c r="K6" s="12" t="s">
        <v>46</v>
      </c>
      <c r="M6" s="9"/>
      <c r="N6" s="4"/>
      <c r="O6" s="4"/>
      <c r="P6" s="2"/>
      <c r="U6" s="10">
        <f t="shared" si="1"/>
        <v>0</v>
      </c>
      <c r="V6" s="12"/>
      <c r="X6" s="9"/>
      <c r="Y6" s="4"/>
      <c r="Z6" s="4"/>
      <c r="AA6" s="2"/>
      <c r="AF6" s="10">
        <f t="shared" si="9"/>
        <v>0</v>
      </c>
      <c r="AG6" s="12">
        <v>13846</v>
      </c>
      <c r="AH6" s="6">
        <v>2744</v>
      </c>
      <c r="AI6" s="9"/>
      <c r="AJ6" s="4">
        <f t="shared" si="2"/>
        <v>5.045918367346939</v>
      </c>
      <c r="AK6" s="4"/>
      <c r="AL6" s="2">
        <f t="shared" si="10"/>
        <v>2.2000000000000002</v>
      </c>
      <c r="AM6" s="6"/>
      <c r="AN6" s="6"/>
      <c r="AO6" s="6">
        <v>803</v>
      </c>
      <c r="AP6" s="6">
        <v>48</v>
      </c>
      <c r="AQ6" s="10">
        <f t="shared" si="3"/>
        <v>1091.277</v>
      </c>
      <c r="AR6" s="12">
        <v>14707</v>
      </c>
      <c r="AS6" s="6">
        <v>3687</v>
      </c>
      <c r="AT6" s="9"/>
      <c r="AU6" s="4">
        <f t="shared" si="4"/>
        <v>3.9888798481149985</v>
      </c>
      <c r="AV6" s="4"/>
      <c r="AW6" s="2">
        <f t="shared" si="11"/>
        <v>7.6619999999999999</v>
      </c>
      <c r="AX6" s="6">
        <v>1801.5</v>
      </c>
      <c r="AY6" s="6"/>
      <c r="AZ6" s="6">
        <f>1798.13-AO6</f>
        <v>995.13000000000011</v>
      </c>
      <c r="BA6" s="6"/>
      <c r="BB6" s="11">
        <f t="shared" si="5"/>
        <v>3885.2906700000003</v>
      </c>
      <c r="BC6" s="12">
        <v>20853</v>
      </c>
      <c r="BD6" s="6">
        <v>4813</v>
      </c>
      <c r="BE6" s="9"/>
      <c r="BF6" s="4">
        <f t="shared" si="6"/>
        <v>4.3326407645958858</v>
      </c>
      <c r="BG6" s="4"/>
      <c r="BH6" s="2">
        <f t="shared" si="12"/>
        <v>5.6866849315068491</v>
      </c>
      <c r="BI6" s="6">
        <f>2457.47-AX6-AM6</f>
        <v>655.9699999999998</v>
      </c>
      <c r="BJ6" s="6"/>
      <c r="BK6" s="6">
        <f>2462.8-AZ6-AP6</f>
        <v>1419.67</v>
      </c>
      <c r="BL6" s="6"/>
      <c r="BM6" s="28">
        <f t="shared" si="13"/>
        <v>2851.6253499999998</v>
      </c>
      <c r="BN6" s="12">
        <v>7832</v>
      </c>
      <c r="BO6" s="6">
        <v>2268</v>
      </c>
      <c r="BP6" s="9"/>
      <c r="BQ6" s="4">
        <f t="shared" si="7"/>
        <v>3.4532627865961198</v>
      </c>
      <c r="BR6" s="4"/>
      <c r="BS6" s="2">
        <f t="shared" si="14"/>
        <v>3.711295890410959</v>
      </c>
      <c r="BT6" s="6">
        <f>3022.56-BI6-AX6-AM6</f>
        <v>565.09000000000015</v>
      </c>
      <c r="BU6" s="6"/>
      <c r="BV6" s="6">
        <f>3252.333-BK6-AZ6-AP6</f>
        <v>789.5329999999999</v>
      </c>
      <c r="BW6" s="6"/>
      <c r="BX6" s="28">
        <f t="shared" si="15"/>
        <v>1867.4918869999999</v>
      </c>
    </row>
    <row r="7" spans="1:76" x14ac:dyDescent="0.2">
      <c r="A7" s="12" t="s">
        <v>8</v>
      </c>
      <c r="B7" s="6">
        <v>448</v>
      </c>
      <c r="C7" s="13">
        <v>1.4179999999999999</v>
      </c>
      <c r="D7" s="13">
        <v>3</v>
      </c>
      <c r="E7" s="7">
        <v>31474</v>
      </c>
      <c r="F7" s="6">
        <v>5959.51</v>
      </c>
      <c r="H7" s="4">
        <f t="shared" si="8"/>
        <v>5.2813066846099765</v>
      </c>
      <c r="I7" s="4"/>
      <c r="J7" s="8">
        <f t="shared" si="0"/>
        <v>1552.7099999999998</v>
      </c>
      <c r="K7" s="12" t="s">
        <v>46</v>
      </c>
      <c r="M7" s="9"/>
      <c r="N7" s="4"/>
      <c r="O7" s="4"/>
      <c r="P7" s="2"/>
      <c r="U7" s="10">
        <f t="shared" si="1"/>
        <v>0</v>
      </c>
      <c r="V7" s="12"/>
      <c r="X7" s="9"/>
      <c r="Y7" s="4"/>
      <c r="Z7" s="4"/>
      <c r="AA7" s="2"/>
      <c r="AF7" s="10">
        <f t="shared" si="9"/>
        <v>0</v>
      </c>
      <c r="AG7" s="12">
        <v>30394</v>
      </c>
      <c r="AH7" s="6">
        <v>5863</v>
      </c>
      <c r="AI7" s="9"/>
      <c r="AJ7" s="4">
        <f t="shared" si="2"/>
        <v>5.1840354767184031</v>
      </c>
      <c r="AK7" s="4"/>
      <c r="AL7" s="2">
        <f t="shared" si="10"/>
        <v>3.2904109589041095</v>
      </c>
      <c r="AM7" s="6">
        <v>413</v>
      </c>
      <c r="AN7" s="6">
        <v>50</v>
      </c>
      <c r="AO7" s="6">
        <v>788</v>
      </c>
      <c r="AP7" s="6">
        <v>47</v>
      </c>
      <c r="AQ7" s="10">
        <f t="shared" si="3"/>
        <v>1651.5699999999997</v>
      </c>
      <c r="AR7" s="12">
        <v>10697</v>
      </c>
      <c r="AS7" s="6">
        <v>2515</v>
      </c>
      <c r="AT7" s="9"/>
      <c r="AU7" s="4">
        <f t="shared" si="4"/>
        <v>4.2532803180914511</v>
      </c>
      <c r="AV7" s="4"/>
      <c r="AW7" s="2">
        <f t="shared" si="11"/>
        <v>3.2732328767123287</v>
      </c>
      <c r="AX7" s="6">
        <f>865.9-413</f>
        <v>452.9</v>
      </c>
      <c r="AY7" s="6"/>
      <c r="AZ7" s="6">
        <f>1529.83-AO7</f>
        <v>741.82999999999993</v>
      </c>
      <c r="BA7" s="6"/>
      <c r="BB7" s="11">
        <f t="shared" si="5"/>
        <v>1644.9243699999997</v>
      </c>
      <c r="BC7" s="12"/>
      <c r="BD7" s="6"/>
      <c r="BE7" s="9"/>
      <c r="BF7" s="4" t="e">
        <f t="shared" si="6"/>
        <v>#DIV/0!</v>
      </c>
      <c r="BG7" s="4"/>
      <c r="BH7" s="2">
        <f t="shared" si="12"/>
        <v>0</v>
      </c>
      <c r="BI7" s="6"/>
      <c r="BJ7" s="6"/>
      <c r="BK7" s="6"/>
      <c r="BL7" s="6"/>
      <c r="BM7" s="28">
        <f t="shared" si="13"/>
        <v>0</v>
      </c>
      <c r="BN7" s="12"/>
      <c r="BO7" s="6"/>
      <c r="BP7" s="9"/>
      <c r="BQ7" s="4" t="e">
        <f t="shared" si="7"/>
        <v>#DIV/0!</v>
      </c>
      <c r="BR7" s="4"/>
      <c r="BS7" s="2">
        <f t="shared" si="14"/>
        <v>0</v>
      </c>
      <c r="BT7" s="6"/>
      <c r="BU7" s="6"/>
      <c r="BV7" s="6"/>
      <c r="BW7" s="6"/>
      <c r="BX7" s="28">
        <f t="shared" si="15"/>
        <v>0</v>
      </c>
    </row>
    <row r="8" spans="1:76" x14ac:dyDescent="0.2">
      <c r="A8" s="12" t="s">
        <v>8</v>
      </c>
      <c r="B8" s="6">
        <v>419</v>
      </c>
      <c r="C8" s="13">
        <v>1.4179999999999999</v>
      </c>
      <c r="D8" s="13">
        <v>3</v>
      </c>
      <c r="E8" s="9">
        <v>21648</v>
      </c>
      <c r="F8" s="6">
        <v>4527</v>
      </c>
      <c r="H8" s="4">
        <f t="shared" si="8"/>
        <v>4.7819748177601058</v>
      </c>
      <c r="I8" s="4"/>
      <c r="J8" s="8">
        <f t="shared" si="0"/>
        <v>1552.7099999999998</v>
      </c>
      <c r="K8" s="12" t="s">
        <v>46</v>
      </c>
      <c r="M8" s="9"/>
      <c r="N8" s="4"/>
      <c r="O8" s="4"/>
      <c r="P8" s="2"/>
      <c r="S8" s="4"/>
      <c r="T8" s="4"/>
      <c r="U8" s="10">
        <f t="shared" si="1"/>
        <v>0</v>
      </c>
      <c r="V8" s="12"/>
      <c r="X8" s="9"/>
      <c r="Y8" s="4"/>
      <c r="Z8" s="4"/>
      <c r="AA8" s="2"/>
      <c r="AD8" s="4"/>
      <c r="AE8" s="4"/>
      <c r="AF8" s="10">
        <f t="shared" si="9"/>
        <v>0</v>
      </c>
      <c r="AG8" s="12">
        <v>19656</v>
      </c>
      <c r="AH8" s="6">
        <v>4471</v>
      </c>
      <c r="AI8" s="9"/>
      <c r="AJ8" s="4">
        <f t="shared" si="2"/>
        <v>4.3963319167971369</v>
      </c>
      <c r="AK8" s="4"/>
      <c r="AL8" s="2">
        <f t="shared" si="10"/>
        <v>5.6630136986301371</v>
      </c>
      <c r="AM8" s="6">
        <v>770</v>
      </c>
      <c r="AN8" s="6">
        <v>92</v>
      </c>
      <c r="AO8" s="4">
        <v>1297</v>
      </c>
      <c r="AP8" s="4">
        <v>78</v>
      </c>
      <c r="AQ8" s="10">
        <f t="shared" si="3"/>
        <v>2845.2429999999999</v>
      </c>
      <c r="AR8" s="12">
        <v>10062</v>
      </c>
      <c r="AS8" s="6">
        <v>2916</v>
      </c>
      <c r="AT8" s="9"/>
      <c r="AU8" s="4">
        <f t="shared" si="4"/>
        <v>3.4506172839506171</v>
      </c>
      <c r="AV8" s="4"/>
      <c r="AW8" s="2">
        <f t="shared" si="11"/>
        <v>3.1099452054794523</v>
      </c>
      <c r="AX8" s="6">
        <f>1260-770</f>
        <v>490</v>
      </c>
      <c r="AY8" s="6"/>
      <c r="AZ8" s="4">
        <f>1942.13-AO8</f>
        <v>645.13000000000011</v>
      </c>
      <c r="BA8" s="4"/>
      <c r="BB8" s="11">
        <f t="shared" si="5"/>
        <v>1565.6716700000002</v>
      </c>
      <c r="BC8" s="12">
        <v>9126</v>
      </c>
      <c r="BD8" s="6">
        <v>2322</v>
      </c>
      <c r="BE8" s="9"/>
      <c r="BF8" s="4">
        <f t="shared" si="6"/>
        <v>3.9302325581395348</v>
      </c>
      <c r="BG8" s="4"/>
      <c r="BH8" s="2">
        <f t="shared" si="12"/>
        <v>8.1540273972602755</v>
      </c>
      <c r="BI8" s="6">
        <f>1915.78-AX8-AM7</f>
        <v>1012.78</v>
      </c>
      <c r="BJ8" s="6"/>
      <c r="BK8" s="4">
        <f>2686.57-AZ8-AP8</f>
        <v>1963.44</v>
      </c>
      <c r="BL8" s="4"/>
      <c r="BM8" s="28">
        <f t="shared" si="13"/>
        <v>4092.2836399999997</v>
      </c>
      <c r="BN8" s="12">
        <v>9520</v>
      </c>
      <c r="BO8" s="6">
        <v>2284</v>
      </c>
      <c r="BP8" s="9"/>
      <c r="BQ8" s="4">
        <f t="shared" si="7"/>
        <v>4.168126094570928</v>
      </c>
      <c r="BR8" s="4"/>
      <c r="BS8" s="2">
        <f t="shared" si="14"/>
        <v>3.8603643835616444</v>
      </c>
      <c r="BT8" s="6">
        <f>2747.916-BI8-AX8-AM8</f>
        <v>475.13600000000019</v>
      </c>
      <c r="BU8" s="6"/>
      <c r="BV8" s="6">
        <f>3620.467-BK8-AZ8-AP8</f>
        <v>933.89699999999993</v>
      </c>
      <c r="BW8" s="4"/>
      <c r="BX8" s="28">
        <f t="shared" si="15"/>
        <v>1937.2072390000001</v>
      </c>
    </row>
    <row r="9" spans="1:76" x14ac:dyDescent="0.2">
      <c r="A9" s="12" t="s">
        <v>8</v>
      </c>
      <c r="B9" s="6">
        <v>563</v>
      </c>
      <c r="C9" s="13">
        <v>1.4179999999999999</v>
      </c>
      <c r="D9" s="13">
        <v>3</v>
      </c>
      <c r="E9" s="7">
        <v>12000</v>
      </c>
      <c r="F9" s="6">
        <v>1094</v>
      </c>
      <c r="G9" s="4">
        <v>824</v>
      </c>
      <c r="H9" s="4">
        <f t="shared" si="8"/>
        <v>10.968921389396709</v>
      </c>
      <c r="I9" s="4">
        <f t="shared" si="8"/>
        <v>1.3276699029126213</v>
      </c>
      <c r="J9" s="8">
        <f t="shared" si="0"/>
        <v>1552.7099999999998</v>
      </c>
      <c r="K9" s="12" t="s">
        <v>46</v>
      </c>
      <c r="M9" s="9"/>
      <c r="N9" s="4"/>
      <c r="O9" s="4"/>
      <c r="P9" s="2"/>
      <c r="S9" s="4"/>
      <c r="U9" s="10">
        <f t="shared" si="1"/>
        <v>0</v>
      </c>
      <c r="V9" s="12"/>
      <c r="X9" s="9"/>
      <c r="Y9" s="4"/>
      <c r="Z9" s="4"/>
      <c r="AA9" s="2"/>
      <c r="AD9" s="4"/>
      <c r="AF9" s="10">
        <f t="shared" si="9"/>
        <v>0</v>
      </c>
      <c r="AG9" s="12"/>
      <c r="AH9" s="6">
        <v>743.4</v>
      </c>
      <c r="AI9" s="9">
        <v>880</v>
      </c>
      <c r="AJ9" s="4"/>
      <c r="AK9" s="4">
        <f t="shared" ref="AK9:AK28" si="16">AH9/AI9</f>
        <v>0.84477272727272723</v>
      </c>
      <c r="AL9" s="2">
        <f t="shared" si="10"/>
        <v>0</v>
      </c>
      <c r="AM9" s="6"/>
      <c r="AN9" s="6"/>
      <c r="AO9" s="4"/>
      <c r="AP9" s="6"/>
      <c r="AQ9" s="10">
        <f t="shared" si="3"/>
        <v>0</v>
      </c>
      <c r="AR9" s="12"/>
      <c r="AS9" s="6">
        <v>876.221</v>
      </c>
      <c r="AT9" s="9">
        <v>959</v>
      </c>
      <c r="AU9" s="4"/>
      <c r="AV9" s="4">
        <f t="shared" ref="AV9:AV14" si="17">AS9/AT9</f>
        <v>0.91368196037539107</v>
      </c>
      <c r="AW9" s="2">
        <f t="shared" si="11"/>
        <v>1.6766575342465755</v>
      </c>
      <c r="AX9" s="6">
        <v>427.75</v>
      </c>
      <c r="AY9" s="6"/>
      <c r="AZ9" s="4">
        <v>184.23</v>
      </c>
      <c r="BA9" s="6"/>
      <c r="BB9" s="11">
        <f t="shared" si="5"/>
        <v>851.78507000000002</v>
      </c>
      <c r="BC9" s="12"/>
      <c r="BD9" s="6"/>
      <c r="BE9" s="9"/>
      <c r="BF9" s="4"/>
      <c r="BG9" s="4" t="e">
        <f t="shared" ref="BG9:BG14" si="18">BD9/BE9</f>
        <v>#DIV/0!</v>
      </c>
      <c r="BH9" s="2">
        <f t="shared" si="12"/>
        <v>0</v>
      </c>
      <c r="BI9" s="6"/>
      <c r="BJ9" s="6"/>
      <c r="BK9" s="4"/>
      <c r="BL9" s="6"/>
      <c r="BM9" s="28">
        <f t="shared" si="13"/>
        <v>0</v>
      </c>
      <c r="BN9" s="12"/>
      <c r="BO9" s="6"/>
      <c r="BP9" s="9"/>
      <c r="BQ9" s="4"/>
      <c r="BR9" s="4" t="e">
        <f t="shared" ref="BR9:BR14" si="19">BO9/BP9</f>
        <v>#DIV/0!</v>
      </c>
      <c r="BS9" s="2">
        <f t="shared" si="14"/>
        <v>0</v>
      </c>
      <c r="BT9" s="6"/>
      <c r="BU9" s="6"/>
      <c r="BV9" s="4"/>
      <c r="BW9" s="6"/>
      <c r="BX9" s="28">
        <f t="shared" si="15"/>
        <v>0</v>
      </c>
    </row>
    <row r="10" spans="1:76" x14ac:dyDescent="0.2">
      <c r="A10" s="12" t="s">
        <v>8</v>
      </c>
      <c r="B10" s="6">
        <v>559</v>
      </c>
      <c r="C10" s="13">
        <v>1.4179999999999999</v>
      </c>
      <c r="D10" s="13">
        <v>3</v>
      </c>
      <c r="E10" s="7">
        <v>18000</v>
      </c>
      <c r="F10" s="6">
        <v>1082</v>
      </c>
      <c r="G10" s="6">
        <v>1199</v>
      </c>
      <c r="H10" s="4">
        <f t="shared" si="8"/>
        <v>16.635859519408502</v>
      </c>
      <c r="I10" s="4">
        <f t="shared" si="8"/>
        <v>0.90241868223519595</v>
      </c>
      <c r="J10" s="8">
        <f t="shared" si="0"/>
        <v>1552.7099999999998</v>
      </c>
      <c r="K10" s="12" t="s">
        <v>46</v>
      </c>
      <c r="M10" s="9"/>
      <c r="N10" s="4"/>
      <c r="O10" s="4"/>
      <c r="P10" s="2"/>
      <c r="U10" s="10">
        <f t="shared" si="1"/>
        <v>0</v>
      </c>
      <c r="V10" s="12"/>
      <c r="X10" s="9"/>
      <c r="Y10" s="4"/>
      <c r="Z10" s="4"/>
      <c r="AA10" s="2"/>
      <c r="AF10" s="10">
        <f t="shared" si="9"/>
        <v>0</v>
      </c>
      <c r="AG10" s="12"/>
      <c r="AH10" s="6">
        <v>455.7</v>
      </c>
      <c r="AI10" s="9">
        <v>1052</v>
      </c>
      <c r="AJ10" s="4"/>
      <c r="AK10" s="4">
        <f t="shared" si="16"/>
        <v>0.43317490494296579</v>
      </c>
      <c r="AL10" s="2">
        <f t="shared" si="10"/>
        <v>0.84931506849315064</v>
      </c>
      <c r="AM10" s="6"/>
      <c r="AN10" s="6"/>
      <c r="AO10" s="6">
        <v>310</v>
      </c>
      <c r="AP10" s="6">
        <v>19</v>
      </c>
      <c r="AQ10" s="10">
        <f t="shared" si="3"/>
        <v>421.28999999999996</v>
      </c>
      <c r="AR10" s="12"/>
      <c r="AS10" s="6">
        <v>1257.2529999999999</v>
      </c>
      <c r="AT10" s="9">
        <v>1202</v>
      </c>
      <c r="AU10" s="4"/>
      <c r="AV10" s="4">
        <f t="shared" si="17"/>
        <v>1.045967554076539</v>
      </c>
      <c r="AW10" s="2">
        <f t="shared" si="11"/>
        <v>2.1824109589041099</v>
      </c>
      <c r="AX10" s="6">
        <v>503.63</v>
      </c>
      <c r="AY10" s="6"/>
      <c r="AZ10" s="6">
        <f>602.95-AO10</f>
        <v>292.95000000000005</v>
      </c>
      <c r="BA10" s="6"/>
      <c r="BB10" s="11">
        <f t="shared" si="5"/>
        <v>1106.2228299999999</v>
      </c>
      <c r="BC10" s="12"/>
      <c r="BD10" s="6">
        <v>150</v>
      </c>
      <c r="BE10" s="9">
        <v>12</v>
      </c>
      <c r="BF10" s="4"/>
      <c r="BG10" s="4">
        <f t="shared" si="18"/>
        <v>12.5</v>
      </c>
      <c r="BH10" s="2">
        <f t="shared" si="12"/>
        <v>2.0042082191780821</v>
      </c>
      <c r="BI10" s="6">
        <f>807.5-AX10-AM10</f>
        <v>303.87</v>
      </c>
      <c r="BJ10" s="6"/>
      <c r="BK10" s="4">
        <f>739.616-AZ10-AP10</f>
        <v>427.66599999999994</v>
      </c>
      <c r="BL10" s="6"/>
      <c r="BM10" s="28">
        <f t="shared" si="13"/>
        <v>1008.4393139999999</v>
      </c>
      <c r="BN10" s="12"/>
      <c r="BO10" s="6"/>
      <c r="BP10" s="9"/>
      <c r="BQ10" s="4"/>
      <c r="BR10" s="4" t="e">
        <f t="shared" si="19"/>
        <v>#DIV/0!</v>
      </c>
      <c r="BS10" s="2">
        <f t="shared" si="14"/>
        <v>0.10318904109589037</v>
      </c>
      <c r="BT10" s="6">
        <f>839.48-BI10-AX10-AM10</f>
        <v>31.980000000000018</v>
      </c>
      <c r="BU10" s="6"/>
      <c r="BV10" s="6">
        <f>745.3-BK10-AZ10-AP10</f>
        <v>5.6839999999999691</v>
      </c>
      <c r="BW10" s="6"/>
      <c r="BX10" s="28">
        <f t="shared" si="15"/>
        <v>52.688435999999982</v>
      </c>
    </row>
    <row r="11" spans="1:76" x14ac:dyDescent="0.2">
      <c r="A11" s="12" t="s">
        <v>8</v>
      </c>
      <c r="B11" s="6">
        <v>548</v>
      </c>
      <c r="C11" s="13">
        <v>1.4179999999999999</v>
      </c>
      <c r="D11" s="13">
        <v>3</v>
      </c>
      <c r="E11" s="7">
        <v>18000</v>
      </c>
      <c r="F11" s="6">
        <v>1088</v>
      </c>
      <c r="G11" s="4">
        <v>989</v>
      </c>
      <c r="H11" s="4">
        <f t="shared" si="8"/>
        <v>16.544117647058822</v>
      </c>
      <c r="I11" s="4">
        <f t="shared" si="8"/>
        <v>1.1001011122345803</v>
      </c>
      <c r="J11" s="8">
        <f t="shared" si="0"/>
        <v>1552.7099999999998</v>
      </c>
      <c r="K11" s="12" t="s">
        <v>46</v>
      </c>
      <c r="L11" s="8"/>
      <c r="N11" s="4"/>
      <c r="O11" s="4"/>
      <c r="P11" s="2"/>
      <c r="Q11" s="4"/>
      <c r="R11" s="4"/>
      <c r="S11" s="4"/>
      <c r="T11" s="4"/>
      <c r="U11" s="10">
        <f>((Q11+S11)*C11)-((S11*0.059)+(Q11*0.012))</f>
        <v>0</v>
      </c>
      <c r="V11" s="12"/>
      <c r="W11" s="8"/>
      <c r="Y11" s="4"/>
      <c r="Z11" s="4"/>
      <c r="AA11" s="2"/>
      <c r="AB11" s="4"/>
      <c r="AC11" s="4"/>
      <c r="AD11" s="4"/>
      <c r="AE11" s="4"/>
      <c r="AF11" s="10">
        <f t="shared" si="9"/>
        <v>0</v>
      </c>
      <c r="AG11" s="12"/>
      <c r="AH11" s="8">
        <v>736.4</v>
      </c>
      <c r="AI11" s="6">
        <v>874</v>
      </c>
      <c r="AJ11" s="4"/>
      <c r="AK11" s="4">
        <f t="shared" si="16"/>
        <v>0.84256292906178487</v>
      </c>
      <c r="AL11" s="2">
        <f t="shared" si="10"/>
        <v>2.0986301369863014</v>
      </c>
      <c r="AM11" s="4">
        <v>419</v>
      </c>
      <c r="AN11" s="4">
        <v>50</v>
      </c>
      <c r="AO11" s="4">
        <v>347</v>
      </c>
      <c r="AP11" s="4">
        <v>21</v>
      </c>
      <c r="AQ11" s="10">
        <f t="shared" si="3"/>
        <v>1060.6869999999999</v>
      </c>
      <c r="AR11" s="12"/>
      <c r="AS11" s="8">
        <v>825.30399999999997</v>
      </c>
      <c r="AT11" s="6">
        <v>992</v>
      </c>
      <c r="AU11" s="4"/>
      <c r="AV11" s="4">
        <f t="shared" si="17"/>
        <v>0.83195967741935484</v>
      </c>
      <c r="AW11" s="2">
        <f t="shared" si="11"/>
        <v>0</v>
      </c>
      <c r="AX11" s="4"/>
      <c r="AY11" s="4"/>
      <c r="AZ11" s="4"/>
      <c r="BA11" s="4"/>
      <c r="BB11" s="11">
        <f t="shared" si="5"/>
        <v>0</v>
      </c>
      <c r="BC11" s="12"/>
      <c r="BD11" s="8"/>
      <c r="BE11" s="6"/>
      <c r="BF11" s="4"/>
      <c r="BG11" s="4" t="e">
        <f t="shared" si="18"/>
        <v>#DIV/0!</v>
      </c>
      <c r="BH11" s="2">
        <f t="shared" si="12"/>
        <v>0</v>
      </c>
      <c r="BI11" s="4"/>
      <c r="BJ11" s="4"/>
      <c r="BK11" s="4"/>
      <c r="BL11" s="4"/>
      <c r="BM11" s="28">
        <f t="shared" si="13"/>
        <v>0</v>
      </c>
      <c r="BN11" s="12"/>
      <c r="BO11" s="8"/>
      <c r="BP11" s="6"/>
      <c r="BQ11" s="4"/>
      <c r="BR11" s="4" t="e">
        <f t="shared" si="19"/>
        <v>#DIV/0!</v>
      </c>
      <c r="BS11" s="2">
        <f t="shared" si="14"/>
        <v>0</v>
      </c>
      <c r="BT11" s="4"/>
      <c r="BU11" s="4"/>
      <c r="BV11" s="4"/>
      <c r="BW11" s="4"/>
      <c r="BX11" s="28">
        <f t="shared" si="15"/>
        <v>0</v>
      </c>
    </row>
    <row r="12" spans="1:76" x14ac:dyDescent="0.2">
      <c r="A12" s="12" t="s">
        <v>8</v>
      </c>
      <c r="B12" s="6">
        <v>506</v>
      </c>
      <c r="C12" s="13">
        <v>1.4179999999999999</v>
      </c>
      <c r="D12" s="13">
        <v>3</v>
      </c>
      <c r="E12" s="7">
        <v>18000</v>
      </c>
      <c r="F12" s="6">
        <v>1099</v>
      </c>
      <c r="G12" s="4">
        <v>1009</v>
      </c>
      <c r="H12" s="4">
        <f t="shared" si="8"/>
        <v>16.378525932666061</v>
      </c>
      <c r="I12" s="4">
        <f t="shared" si="8"/>
        <v>1.0891972249752231</v>
      </c>
      <c r="J12" s="8">
        <f t="shared" si="0"/>
        <v>1552.7099999999998</v>
      </c>
      <c r="K12" s="12" t="s">
        <v>46</v>
      </c>
      <c r="L12" s="8"/>
      <c r="N12" s="4"/>
      <c r="O12" s="4"/>
      <c r="P12" s="2"/>
      <c r="U12" s="10">
        <f t="shared" ref="U12:U14" si="20">((Q12+S12)*C12)-((S12*0.059)+(Q12*0.012))</f>
        <v>0</v>
      </c>
      <c r="V12" s="12"/>
      <c r="W12" s="8"/>
      <c r="Y12" s="4"/>
      <c r="Z12" s="4"/>
      <c r="AA12" s="2"/>
      <c r="AF12" s="10">
        <f t="shared" si="9"/>
        <v>0</v>
      </c>
      <c r="AG12" s="12"/>
      <c r="AH12" s="8">
        <v>890.5</v>
      </c>
      <c r="AI12" s="6">
        <v>1003</v>
      </c>
      <c r="AJ12" s="4"/>
      <c r="AK12" s="4">
        <f t="shared" si="16"/>
        <v>0.88783649052841473</v>
      </c>
      <c r="AL12" s="2">
        <f t="shared" si="10"/>
        <v>2.6904109589041094</v>
      </c>
      <c r="AM12" s="6">
        <v>700</v>
      </c>
      <c r="AN12" s="6">
        <v>84</v>
      </c>
      <c r="AO12" s="6">
        <v>282</v>
      </c>
      <c r="AP12" s="6">
        <v>17</v>
      </c>
      <c r="AQ12" s="10">
        <f t="shared" si="3"/>
        <v>1367.4379999999999</v>
      </c>
      <c r="AR12" s="12"/>
      <c r="AS12" s="8">
        <v>1297.3779999999999</v>
      </c>
      <c r="AT12" s="6">
        <v>1151</v>
      </c>
      <c r="AU12" s="4"/>
      <c r="AV12" s="4">
        <f t="shared" si="17"/>
        <v>1.1271746307558643</v>
      </c>
      <c r="AW12" s="2">
        <f t="shared" si="11"/>
        <v>1.8762931506849314</v>
      </c>
      <c r="AX12" s="6">
        <f>1060.53-700</f>
        <v>360.53</v>
      </c>
      <c r="AY12" s="6"/>
      <c r="AZ12" s="6">
        <f>606.317-AO12</f>
        <v>324.31700000000001</v>
      </c>
      <c r="BA12" s="6"/>
      <c r="BB12" s="11">
        <f t="shared" si="5"/>
        <v>947.65198299999997</v>
      </c>
      <c r="BC12" s="12"/>
      <c r="BD12" s="8">
        <v>762</v>
      </c>
      <c r="BE12" s="6">
        <v>45</v>
      </c>
      <c r="BF12" s="4"/>
      <c r="BG12" s="4">
        <f t="shared" si="18"/>
        <v>16.933333333333334</v>
      </c>
      <c r="BH12" s="2">
        <f t="shared" si="12"/>
        <v>4.4824739726027403</v>
      </c>
      <c r="BI12" s="6">
        <f>2063.75-AX12-AM12</f>
        <v>1003.22</v>
      </c>
      <c r="BJ12" s="6"/>
      <c r="BK12" s="4">
        <f>974.2-AZ12-AP12</f>
        <v>632.88300000000004</v>
      </c>
      <c r="BL12" s="6"/>
      <c r="BM12" s="28">
        <f t="shared" si="13"/>
        <v>2270.6153169999998</v>
      </c>
      <c r="BN12" s="12"/>
      <c r="BO12" s="8">
        <v>140</v>
      </c>
      <c r="BP12" s="6">
        <v>13</v>
      </c>
      <c r="BQ12" s="4"/>
      <c r="BR12" s="4">
        <f t="shared" si="19"/>
        <v>10.76923076923077</v>
      </c>
      <c r="BS12" s="2">
        <f t="shared" si="14"/>
        <v>0</v>
      </c>
      <c r="BT12" s="6"/>
      <c r="BU12" s="6"/>
      <c r="BV12" s="6"/>
      <c r="BW12" s="6"/>
      <c r="BX12" s="28">
        <f t="shared" si="15"/>
        <v>0</v>
      </c>
    </row>
    <row r="13" spans="1:76" x14ac:dyDescent="0.2">
      <c r="A13" s="12" t="s">
        <v>8</v>
      </c>
      <c r="B13" s="13">
        <v>514</v>
      </c>
      <c r="C13" s="13">
        <v>1.4179999999999999</v>
      </c>
      <c r="D13" s="13">
        <v>3</v>
      </c>
      <c r="E13" s="7">
        <v>12000</v>
      </c>
      <c r="F13" s="6">
        <v>1093</v>
      </c>
      <c r="G13" s="6">
        <v>1111</v>
      </c>
      <c r="H13" s="4">
        <f t="shared" si="8"/>
        <v>10.978956999085087</v>
      </c>
      <c r="I13" s="4">
        <f t="shared" si="8"/>
        <v>0.98379837983798379</v>
      </c>
      <c r="J13" s="8">
        <f t="shared" si="0"/>
        <v>1552.7099999999998</v>
      </c>
      <c r="K13" s="12" t="s">
        <v>46</v>
      </c>
      <c r="L13" s="8"/>
      <c r="N13" s="4"/>
      <c r="O13" s="4"/>
      <c r="P13" s="2"/>
      <c r="U13" s="10">
        <f t="shared" si="20"/>
        <v>0</v>
      </c>
      <c r="V13" s="12"/>
      <c r="W13" s="8"/>
      <c r="Y13" s="4"/>
      <c r="Z13" s="4"/>
      <c r="AA13" s="2"/>
      <c r="AF13" s="10">
        <f t="shared" si="9"/>
        <v>0</v>
      </c>
      <c r="AG13" s="12"/>
      <c r="AH13" s="8">
        <v>715</v>
      </c>
      <c r="AI13" s="6">
        <v>928</v>
      </c>
      <c r="AJ13" s="4"/>
      <c r="AK13" s="4">
        <f t="shared" si="16"/>
        <v>0.77047413793103448</v>
      </c>
      <c r="AL13" s="2">
        <f t="shared" si="10"/>
        <v>0</v>
      </c>
      <c r="AM13" s="6"/>
      <c r="AN13" s="6"/>
      <c r="AO13" s="6"/>
      <c r="AP13" s="6"/>
      <c r="AQ13" s="10">
        <f t="shared" si="3"/>
        <v>0</v>
      </c>
      <c r="AR13" s="12"/>
      <c r="AS13" s="8">
        <v>1201.153</v>
      </c>
      <c r="AT13" s="6">
        <v>1147</v>
      </c>
      <c r="AU13" s="4"/>
      <c r="AV13" s="4">
        <f t="shared" si="17"/>
        <v>1.0472127288578901</v>
      </c>
      <c r="AW13" s="2">
        <f t="shared" si="11"/>
        <v>4.1681726027397259</v>
      </c>
      <c r="AX13" s="6">
        <v>718.2</v>
      </c>
      <c r="AY13" s="6"/>
      <c r="AZ13" s="6">
        <v>803.18299999999999</v>
      </c>
      <c r="BA13" s="6"/>
      <c r="BB13" s="11">
        <f t="shared" si="5"/>
        <v>2101.3148969999997</v>
      </c>
      <c r="BC13" s="12"/>
      <c r="BD13" s="8">
        <v>392</v>
      </c>
      <c r="BE13" s="6">
        <v>252</v>
      </c>
      <c r="BF13" s="4"/>
      <c r="BG13" s="4">
        <f t="shared" si="18"/>
        <v>1.5555555555555556</v>
      </c>
      <c r="BH13" s="2">
        <f t="shared" si="12"/>
        <v>2.9677726027397262</v>
      </c>
      <c r="BI13" s="6">
        <f>1445.72-AX13-AM13</f>
        <v>727.52</v>
      </c>
      <c r="BJ13" s="6"/>
      <c r="BK13" s="4">
        <f>1158.9-AZ13-AP13</f>
        <v>355.7170000000001</v>
      </c>
      <c r="BL13" s="6"/>
      <c r="BM13" s="28">
        <f t="shared" si="13"/>
        <v>1506.3125230000001</v>
      </c>
      <c r="BN13" s="12"/>
      <c r="BO13" s="8">
        <v>90</v>
      </c>
      <c r="BP13" s="6">
        <v>8</v>
      </c>
      <c r="BQ13" s="4"/>
      <c r="BR13" s="4">
        <f t="shared" si="19"/>
        <v>11.25</v>
      </c>
      <c r="BS13" s="2">
        <f t="shared" si="14"/>
        <v>0</v>
      </c>
      <c r="BT13" s="6"/>
      <c r="BU13" s="6"/>
      <c r="BV13" s="6"/>
      <c r="BW13" s="6"/>
      <c r="BX13" s="28">
        <f t="shared" si="15"/>
        <v>0</v>
      </c>
    </row>
    <row r="14" spans="1:76" s="6" customFormat="1" x14ac:dyDescent="0.2">
      <c r="A14" s="4" t="s">
        <v>8</v>
      </c>
      <c r="B14" s="6">
        <v>471</v>
      </c>
      <c r="C14" s="13">
        <v>1.4179999999999999</v>
      </c>
      <c r="D14" s="6">
        <v>3</v>
      </c>
      <c r="E14" s="7">
        <v>24000</v>
      </c>
      <c r="F14" s="6">
        <v>1616</v>
      </c>
      <c r="G14" s="6">
        <v>1162</v>
      </c>
      <c r="H14" s="4">
        <f t="shared" si="8"/>
        <v>14.851485148514852</v>
      </c>
      <c r="I14" s="4">
        <f t="shared" si="8"/>
        <v>1.3907056798623063</v>
      </c>
      <c r="J14" s="8">
        <f t="shared" si="0"/>
        <v>1552.7099999999998</v>
      </c>
      <c r="K14" s="4" t="s">
        <v>46</v>
      </c>
      <c r="L14" s="8"/>
      <c r="N14" s="4"/>
      <c r="O14" s="4"/>
      <c r="P14" s="3"/>
      <c r="U14" s="10">
        <f t="shared" si="20"/>
        <v>0</v>
      </c>
      <c r="V14" s="4"/>
      <c r="W14" s="8"/>
      <c r="Y14" s="4"/>
      <c r="Z14" s="4"/>
      <c r="AA14" s="3"/>
      <c r="AF14" s="10">
        <f t="shared" si="9"/>
        <v>0</v>
      </c>
      <c r="AG14" s="4"/>
      <c r="AH14" s="8">
        <v>483.9</v>
      </c>
      <c r="AI14" s="6">
        <v>578</v>
      </c>
      <c r="AJ14" s="4"/>
      <c r="AK14" s="4">
        <f t="shared" si="16"/>
        <v>0.83719723183391004</v>
      </c>
      <c r="AL14" s="3">
        <f t="shared" si="10"/>
        <v>1.6164383561643836</v>
      </c>
      <c r="AM14" s="6">
        <v>415</v>
      </c>
      <c r="AN14" s="6">
        <v>50</v>
      </c>
      <c r="AO14" s="6">
        <v>175</v>
      </c>
      <c r="AP14" s="6">
        <v>11</v>
      </c>
      <c r="AQ14" s="10">
        <f t="shared" si="3"/>
        <v>821.31500000000005</v>
      </c>
      <c r="AR14" s="7"/>
      <c r="AS14" s="8">
        <v>1595.4190000000001</v>
      </c>
      <c r="AT14" s="6">
        <v>920</v>
      </c>
      <c r="AU14" s="4"/>
      <c r="AV14" s="4">
        <f t="shared" si="17"/>
        <v>1.7341510869565218</v>
      </c>
      <c r="AW14" s="3">
        <f t="shared" si="11"/>
        <v>0.67945205479452075</v>
      </c>
      <c r="AX14" s="6">
        <f>542.7-415</f>
        <v>127.70000000000005</v>
      </c>
      <c r="AZ14" s="6">
        <f>295.3-AO14</f>
        <v>120.30000000000001</v>
      </c>
      <c r="BB14" s="11">
        <f t="shared" si="5"/>
        <v>343.03390000000002</v>
      </c>
      <c r="BC14" s="4"/>
      <c r="BD14" s="8">
        <v>0</v>
      </c>
      <c r="BE14" s="6">
        <v>0</v>
      </c>
      <c r="BF14" s="4"/>
      <c r="BG14" s="4" t="e">
        <f t="shared" si="18"/>
        <v>#DIV/0!</v>
      </c>
      <c r="BH14" s="3">
        <f t="shared" si="12"/>
        <v>0.63989041095890398</v>
      </c>
      <c r="BI14" s="6">
        <f>590.13-AX14-AM14</f>
        <v>47.42999999999995</v>
      </c>
      <c r="BK14" s="4">
        <f>317.43-AZ14-AP14</f>
        <v>186.13</v>
      </c>
      <c r="BM14" s="28">
        <f t="shared" si="13"/>
        <v>319.63724999999988</v>
      </c>
      <c r="BN14" s="4"/>
      <c r="BO14" s="8"/>
      <c r="BQ14" s="4"/>
      <c r="BR14" s="4" t="e">
        <f t="shared" si="19"/>
        <v>#DIV/0!</v>
      </c>
      <c r="BS14" s="3">
        <f t="shared" si="14"/>
        <v>0</v>
      </c>
      <c r="BX14" s="28">
        <f t="shared" si="15"/>
        <v>0</v>
      </c>
    </row>
    <row r="15" spans="1:76" s="29" customFormat="1" x14ac:dyDescent="0.2">
      <c r="A15" s="21" t="s">
        <v>52</v>
      </c>
      <c r="D15" s="30"/>
      <c r="E15" s="31">
        <f>SUM(E3:E14)</f>
        <v>212292</v>
      </c>
      <c r="F15" s="31">
        <f>SUM(F3:F14)</f>
        <v>33676.699999999997</v>
      </c>
      <c r="G15" s="31">
        <f>SUM(G3:G14)</f>
        <v>6294</v>
      </c>
      <c r="H15" s="31"/>
      <c r="I15" s="31"/>
      <c r="J15" s="23">
        <f>SUM(J3:J14)</f>
        <v>18632.519999999993</v>
      </c>
      <c r="K15" s="31"/>
      <c r="L15" s="31">
        <f>SUM(L3:L14)</f>
        <v>0</v>
      </c>
      <c r="M15" s="31">
        <f>SUM(M3:M14)</f>
        <v>0</v>
      </c>
      <c r="N15" s="31"/>
      <c r="O15" s="31"/>
      <c r="P15" s="31"/>
      <c r="Q15" s="31">
        <f>SUM(Q3:Q14)</f>
        <v>0</v>
      </c>
      <c r="R15" s="31">
        <f>SUM(R3:R14)</f>
        <v>0</v>
      </c>
      <c r="S15" s="31">
        <f>SUM(S3:S14)</f>
        <v>0</v>
      </c>
      <c r="T15" s="31">
        <f>SUM(T3:T14)</f>
        <v>0</v>
      </c>
      <c r="U15" s="23">
        <f>SUM(U3:U14)</f>
        <v>0</v>
      </c>
      <c r="V15" s="31"/>
      <c r="W15" s="31">
        <f>SUM(W3:W14)</f>
        <v>0</v>
      </c>
      <c r="X15" s="31">
        <f>SUM(X3:X14)</f>
        <v>0</v>
      </c>
      <c r="Y15" s="31"/>
      <c r="Z15" s="31"/>
      <c r="AA15" s="31"/>
      <c r="AB15" s="31">
        <f>SUM(AB3:AB14)</f>
        <v>0</v>
      </c>
      <c r="AC15" s="31">
        <f>SUM(AC3:AC14)</f>
        <v>0</v>
      </c>
      <c r="AD15" s="31">
        <f>SUM(AD3:AD14)</f>
        <v>0</v>
      </c>
      <c r="AE15" s="31">
        <f>SUM(AE3:AE14)</f>
        <v>0</v>
      </c>
      <c r="AF15" s="23">
        <f>SUM(AF3:AF14)</f>
        <v>0</v>
      </c>
      <c r="AG15" s="32">
        <f>SUM(AG3:AG8)</f>
        <v>110258</v>
      </c>
      <c r="AH15" s="31">
        <f>SUM(AH3:AH14)</f>
        <v>30222.900000000005</v>
      </c>
      <c r="AI15" s="31">
        <f>SUM(AI3:AI14)</f>
        <v>5315</v>
      </c>
      <c r="AJ15" s="31"/>
      <c r="AK15" s="31"/>
      <c r="AL15" s="31">
        <f>AVERAGE(AL3:AL14)</f>
        <v>1.9502283105022833</v>
      </c>
      <c r="AM15" s="31">
        <f>SUM(AM3:AM14)</f>
        <v>3039</v>
      </c>
      <c r="AN15" s="31">
        <f>SUM(AN3:AN14)</f>
        <v>365</v>
      </c>
      <c r="AO15" s="31">
        <f>SUM(AO3:AO14)</f>
        <v>5503</v>
      </c>
      <c r="AP15" s="31">
        <f>SUM(AP3:AP14)</f>
        <v>331</v>
      </c>
      <c r="AQ15" s="23">
        <f>SUM(AQ3:AQ14)</f>
        <v>11751.411000000002</v>
      </c>
      <c r="AR15" s="31">
        <f>SUM(AR3:AR8)</f>
        <v>73035</v>
      </c>
      <c r="AS15" s="31">
        <f>SUM(AS3:AS14)</f>
        <v>27798.728000000003</v>
      </c>
      <c r="AT15" s="31">
        <f>SUM(AT3:AT14)</f>
        <v>6371</v>
      </c>
      <c r="AU15" s="31"/>
      <c r="AV15" s="31"/>
      <c r="AW15" s="31">
        <f>AVERAGE(AW3:AW14)</f>
        <v>3.2129285388127857</v>
      </c>
      <c r="AX15" s="31">
        <f>SUM(AX3:AX14)</f>
        <v>7504.48</v>
      </c>
      <c r="AY15" s="31">
        <f>SUM(AY3:AY14)</f>
        <v>0</v>
      </c>
      <c r="AZ15" s="31">
        <f>SUM(AZ3:AZ14)</f>
        <v>6568.1469999999999</v>
      </c>
      <c r="BA15" s="31">
        <f>SUM(BA3:BA14)</f>
        <v>0</v>
      </c>
      <c r="BB15" s="23">
        <f>SUM(BB3:BB14)</f>
        <v>19477.410652999999</v>
      </c>
      <c r="BC15" s="31">
        <f>SUM(BC3:BC8)</f>
        <v>63476</v>
      </c>
      <c r="BD15" s="31">
        <f>SUM(BD3:BD14)</f>
        <v>16301</v>
      </c>
      <c r="BE15" s="31">
        <f>SUM(BE3:BE14)</f>
        <v>309</v>
      </c>
      <c r="BF15" s="31"/>
      <c r="BG15" s="31"/>
      <c r="BH15" s="31">
        <f>AVERAGE(BH3:BH14)</f>
        <v>2.9437114155251147</v>
      </c>
      <c r="BI15" s="31">
        <f>SUM(BI3:BI14)</f>
        <v>4736.7800000000007</v>
      </c>
      <c r="BJ15" s="31">
        <f>SUM(BJ3:BJ14)</f>
        <v>0</v>
      </c>
      <c r="BK15" s="31">
        <f>SUM(BK3:BK14)</f>
        <v>8156.6760000000004</v>
      </c>
      <c r="BL15" s="31">
        <f>SUM(BL3:BL14)</f>
        <v>0</v>
      </c>
      <c r="BM15" s="33">
        <f>SUM(BM3:BM14)</f>
        <v>17744.835363999999</v>
      </c>
      <c r="BN15" s="31">
        <f>SUM(BN3:BN8)</f>
        <v>52367</v>
      </c>
      <c r="BO15" s="31">
        <f>SUM(BO3:BO14)</f>
        <v>13499</v>
      </c>
      <c r="BP15" s="31">
        <f>SUM(BP3:BP14)</f>
        <v>21</v>
      </c>
      <c r="BQ15" s="31"/>
      <c r="BR15" s="31"/>
      <c r="BS15" s="31">
        <f>AVERAGE(BS3:BS14)</f>
        <v>1.3577671232876714</v>
      </c>
      <c r="BT15" s="31">
        <f>SUM(BT3:BT14)</f>
        <v>2410.3360000000002</v>
      </c>
      <c r="BU15" s="31">
        <f>SUM(BU3:BU14)</f>
        <v>0</v>
      </c>
      <c r="BV15" s="31">
        <f>SUM(BV3:BV14)</f>
        <v>3536.6839999999993</v>
      </c>
      <c r="BW15" s="31">
        <f>SUM(BW3:BW14)</f>
        <v>0</v>
      </c>
      <c r="BX15" s="33">
        <f>SUM(BX3:BX14)</f>
        <v>8195.2859719999997</v>
      </c>
    </row>
    <row r="16" spans="1:76" s="6" customFormat="1" x14ac:dyDescent="0.2">
      <c r="A16" s="4" t="s">
        <v>5</v>
      </c>
      <c r="B16" s="5" t="s">
        <v>16</v>
      </c>
      <c r="C16" s="13">
        <v>1.4179999999999999</v>
      </c>
      <c r="D16" s="6">
        <v>3</v>
      </c>
      <c r="E16" s="7" t="s">
        <v>46</v>
      </c>
      <c r="F16" s="6">
        <v>1024.9000000000001</v>
      </c>
      <c r="G16" s="4" t="s">
        <v>46</v>
      </c>
      <c r="H16" s="4"/>
      <c r="I16" s="4" t="e">
        <f>F16/G16</f>
        <v>#VALUE!</v>
      </c>
      <c r="J16" s="8">
        <f t="shared" ref="J16" si="21">D16*365*C16</f>
        <v>1552.7099999999998</v>
      </c>
      <c r="K16" s="7" t="s">
        <v>46</v>
      </c>
      <c r="L16" s="6">
        <v>469.8</v>
      </c>
      <c r="M16" s="9">
        <v>858</v>
      </c>
      <c r="N16" s="4"/>
      <c r="O16" s="4">
        <f t="shared" ref="O16:O28" si="22">L16/M16</f>
        <v>0.54755244755244759</v>
      </c>
      <c r="P16" s="3">
        <f>((Q16+S16)/365)</f>
        <v>4.1643835616438354</v>
      </c>
      <c r="Q16" s="6">
        <v>853</v>
      </c>
      <c r="R16" s="6">
        <v>92</v>
      </c>
      <c r="S16" s="6">
        <v>667</v>
      </c>
      <c r="T16" s="6">
        <v>37</v>
      </c>
      <c r="U16" s="10">
        <f t="shared" ref="U16:U37" si="23">((Q16+S16)*C16)-((S16*0.059)+(Q16*0.012))</f>
        <v>2105.7709999999997</v>
      </c>
      <c r="V16" s="7"/>
      <c r="W16" s="8">
        <v>537.20000000000005</v>
      </c>
      <c r="X16" s="6">
        <v>390</v>
      </c>
      <c r="Y16" s="4"/>
      <c r="Z16" s="4">
        <f t="shared" ref="Z16:Z28" si="24">W16/X16</f>
        <v>1.3774358974358976</v>
      </c>
      <c r="AA16" s="3">
        <f>((AB16+AD16)/365)</f>
        <v>2.7095890410958905</v>
      </c>
      <c r="AB16" s="6">
        <f>900-Q16</f>
        <v>47</v>
      </c>
      <c r="AC16" s="6">
        <f>99-R16</f>
        <v>7</v>
      </c>
      <c r="AD16" s="6">
        <f>1609-S16</f>
        <v>942</v>
      </c>
      <c r="AE16" s="6">
        <f>77-T16</f>
        <v>40</v>
      </c>
      <c r="AF16" s="10">
        <f>((AB16+AD16)*C16)-((AD16*0.059)+(AB16*0.012))</f>
        <v>1346.2599999999998</v>
      </c>
      <c r="AH16" s="6">
        <v>747</v>
      </c>
      <c r="AI16" s="6">
        <v>2702</v>
      </c>
      <c r="AK16" s="4">
        <f t="shared" si="16"/>
        <v>0.27646188008882311</v>
      </c>
      <c r="AL16" s="2">
        <f>((AM16+AO16)/365)</f>
        <v>3.6191780821917807</v>
      </c>
      <c r="AM16" s="6">
        <f>1328-AB16-Q16</f>
        <v>428</v>
      </c>
      <c r="AN16" s="6">
        <f>159-AC16-R16</f>
        <v>60</v>
      </c>
      <c r="AO16" s="6">
        <f>2502-AD16-S16</f>
        <v>893</v>
      </c>
      <c r="AP16" s="6">
        <f>150-AE16-T16</f>
        <v>73</v>
      </c>
      <c r="AQ16" s="10">
        <f t="shared" ref="AQ16:AQ27" si="25">((AM16+AO16)*C16)-((AO16*0.059)+(AM16*0.012))</f>
        <v>1815.3549999999998</v>
      </c>
      <c r="AS16" s="6">
        <v>385</v>
      </c>
      <c r="AT16" s="6">
        <v>512</v>
      </c>
      <c r="AV16" s="4">
        <f t="shared" ref="AV16:AV27" si="26">AS16/AT16</f>
        <v>0.751953125</v>
      </c>
      <c r="AW16" s="2">
        <f>((AX16+AZ16)/365)</f>
        <v>1.6987213698630133</v>
      </c>
      <c r="AX16" s="6">
        <f>1409.7-AM16-Q16-AB16</f>
        <v>81.700000000000045</v>
      </c>
      <c r="AZ16" s="6">
        <f>3040.3333-AO16-AD16-S16</f>
        <v>538.33329999999978</v>
      </c>
      <c r="BB16" s="11">
        <f>((AX16+AZ16)*C16)-((AZ16*0.059)+(AX16*0.012))</f>
        <v>846.46515469999974</v>
      </c>
      <c r="BG16" s="4" t="e">
        <f t="shared" ref="BG16:BG28" si="27">BD16/BE16</f>
        <v>#DIV/0!</v>
      </c>
      <c r="BH16" s="2">
        <f>((BI16+BK16)/365)</f>
        <v>0</v>
      </c>
      <c r="BM16" s="28">
        <f t="shared" ref="BM16:BM28" si="28">((BI16+BK16)*C16)-((BK16*0.059)+(BI16*0.012))</f>
        <v>0</v>
      </c>
      <c r="BR16" s="4" t="e">
        <f t="shared" ref="BR16:BR28" si="29">BO16/BP16</f>
        <v>#DIV/0!</v>
      </c>
      <c r="BS16" s="2">
        <f>((BT16+BV16)/365)</f>
        <v>0</v>
      </c>
      <c r="BX16" s="28">
        <f t="shared" ref="BX16:BX28" si="30">((BT16+BV16)*N16)-((BV16*0.059)+(BT16*0.012))</f>
        <v>0</v>
      </c>
    </row>
    <row r="17" spans="1:76" x14ac:dyDescent="0.2">
      <c r="A17" s="12" t="s">
        <v>5</v>
      </c>
      <c r="B17" s="5" t="s">
        <v>17</v>
      </c>
      <c r="C17" s="13">
        <v>1.4179999999999999</v>
      </c>
      <c r="D17" s="13">
        <v>3</v>
      </c>
      <c r="E17" s="7" t="s">
        <v>46</v>
      </c>
      <c r="F17" s="6">
        <v>1699</v>
      </c>
      <c r="G17" s="6">
        <v>1329</v>
      </c>
      <c r="H17" s="4"/>
      <c r="I17" s="4">
        <f t="shared" ref="I17:I28" si="31">F17/G17</f>
        <v>1.2784048156508654</v>
      </c>
      <c r="J17" s="8">
        <f>D17*365*C17</f>
        <v>1552.7099999999998</v>
      </c>
      <c r="K17" s="12" t="s">
        <v>46</v>
      </c>
      <c r="L17" s="6">
        <v>845.6</v>
      </c>
      <c r="M17" s="7" t="s">
        <v>46</v>
      </c>
      <c r="N17" s="4"/>
      <c r="O17" s="4" t="e">
        <f t="shared" si="22"/>
        <v>#VALUE!</v>
      </c>
      <c r="P17" s="2">
        <f t="shared" ref="P17:P28" si="32">((Q17+S17)/365)</f>
        <v>2.7369863013698632</v>
      </c>
      <c r="Q17" s="6">
        <v>354</v>
      </c>
      <c r="R17" s="6">
        <v>39</v>
      </c>
      <c r="S17" s="6">
        <v>645</v>
      </c>
      <c r="T17" s="6">
        <v>24</v>
      </c>
      <c r="U17" s="10">
        <f t="shared" si="23"/>
        <v>1374.279</v>
      </c>
      <c r="V17" s="12"/>
      <c r="W17" s="8">
        <v>830</v>
      </c>
      <c r="X17" s="4">
        <v>505</v>
      </c>
      <c r="Y17" s="4"/>
      <c r="Z17" s="4">
        <f t="shared" si="24"/>
        <v>1.6435643564356435</v>
      </c>
      <c r="AA17" s="2">
        <f t="shared" ref="AA17:AA28" si="33">((AB17+AD17)/365)</f>
        <v>0.61369863013698633</v>
      </c>
      <c r="AB17" s="4">
        <f>390-Q17</f>
        <v>36</v>
      </c>
      <c r="AC17" s="6">
        <f>43-R17</f>
        <v>4</v>
      </c>
      <c r="AD17" s="6">
        <f>833-S17</f>
        <v>188</v>
      </c>
      <c r="AE17" s="6">
        <f>40-T17</f>
        <v>16</v>
      </c>
      <c r="AF17" s="10">
        <f t="shared" ref="AF17:AF28" si="34">((AB17+AD17)*C17)-((AD17*0.059)+(AB17*0.012))</f>
        <v>306.108</v>
      </c>
      <c r="AH17" s="13">
        <v>698</v>
      </c>
      <c r="AI17" s="13">
        <v>2576</v>
      </c>
      <c r="AK17" s="4">
        <f t="shared" si="16"/>
        <v>0.27096273291925466</v>
      </c>
      <c r="AL17" s="2">
        <f t="shared" ref="AL17:AL27" si="35">((AM17+AO17)/365)</f>
        <v>5.2054794520547946E-2</v>
      </c>
      <c r="AM17" s="6"/>
      <c r="AN17" s="6"/>
      <c r="AO17" s="6">
        <f>852-AD17-S17</f>
        <v>19</v>
      </c>
      <c r="AP17" s="6">
        <f>51-AE17-T17</f>
        <v>11</v>
      </c>
      <c r="AQ17" s="10">
        <f t="shared" si="25"/>
        <v>25.821000000000002</v>
      </c>
      <c r="AS17" s="13">
        <v>919</v>
      </c>
      <c r="AT17" s="13">
        <v>896</v>
      </c>
      <c r="AV17" s="4">
        <f t="shared" si="26"/>
        <v>1.0256696428571428</v>
      </c>
      <c r="AW17" s="2">
        <f t="shared" ref="AW17:AW27" si="36">((AX17+AZ17)/365)</f>
        <v>0</v>
      </c>
      <c r="AX17" s="6"/>
      <c r="AY17" s="6"/>
      <c r="AZ17" s="6"/>
      <c r="BA17" s="6"/>
      <c r="BB17" s="11">
        <f t="shared" ref="BB17:BB28" si="37">((AX17+AZ17)*C17)-((AZ17*0.059)+(AX17*0.012))</f>
        <v>0</v>
      </c>
      <c r="BG17" s="4" t="e">
        <f t="shared" si="27"/>
        <v>#DIV/0!</v>
      </c>
      <c r="BH17" s="2">
        <f t="shared" ref="BH17:BH27" si="38">((BI17+BK17)/365)</f>
        <v>0</v>
      </c>
      <c r="BI17" s="6"/>
      <c r="BJ17" s="6"/>
      <c r="BK17" s="6"/>
      <c r="BL17" s="6"/>
      <c r="BM17" s="28">
        <f t="shared" si="28"/>
        <v>0</v>
      </c>
      <c r="BR17" s="4" t="e">
        <f t="shared" si="29"/>
        <v>#DIV/0!</v>
      </c>
      <c r="BS17" s="2">
        <f t="shared" ref="BS17:BS27" si="39">((BT17+BV17)/365)</f>
        <v>0</v>
      </c>
      <c r="BT17" s="6"/>
      <c r="BU17" s="6"/>
      <c r="BV17" s="6"/>
      <c r="BW17" s="6"/>
      <c r="BX17" s="28">
        <f t="shared" si="30"/>
        <v>0</v>
      </c>
    </row>
    <row r="18" spans="1:76" x14ac:dyDescent="0.2">
      <c r="A18" s="12" t="s">
        <v>5</v>
      </c>
      <c r="B18" s="5" t="s">
        <v>18</v>
      </c>
      <c r="C18" s="13">
        <v>1.4179999999999999</v>
      </c>
      <c r="D18" s="13">
        <v>3</v>
      </c>
      <c r="E18" s="7" t="s">
        <v>46</v>
      </c>
      <c r="F18" s="6">
        <v>1626.5</v>
      </c>
      <c r="G18" s="4" t="s">
        <v>46</v>
      </c>
      <c r="H18" s="4"/>
      <c r="I18" s="4" t="e">
        <f t="shared" si="31"/>
        <v>#VALUE!</v>
      </c>
      <c r="J18" s="8">
        <f t="shared" ref="J18:J47" si="40">D18*365*C18</f>
        <v>1552.7099999999998</v>
      </c>
      <c r="K18" s="12" t="s">
        <v>46</v>
      </c>
      <c r="L18" s="6">
        <v>1321.3</v>
      </c>
      <c r="M18" s="9">
        <v>2246</v>
      </c>
      <c r="N18" s="4"/>
      <c r="O18" s="4">
        <f t="shared" si="22"/>
        <v>0.5882902938557435</v>
      </c>
      <c r="P18" s="2">
        <f t="shared" si="32"/>
        <v>7.5616438356164384</v>
      </c>
      <c r="Q18" s="6">
        <v>931</v>
      </c>
      <c r="R18" s="6">
        <v>37</v>
      </c>
      <c r="S18" s="6">
        <v>1829</v>
      </c>
      <c r="T18" s="6">
        <v>70</v>
      </c>
      <c r="U18" s="10">
        <f t="shared" si="23"/>
        <v>3794.5969999999998</v>
      </c>
      <c r="V18" s="12"/>
      <c r="W18" s="8">
        <v>728.2</v>
      </c>
      <c r="X18" s="6">
        <v>395</v>
      </c>
      <c r="Y18" s="4"/>
      <c r="Z18" s="4">
        <f t="shared" si="24"/>
        <v>1.8435443037974684</v>
      </c>
      <c r="AA18" s="2">
        <f t="shared" si="33"/>
        <v>6.1534246575342468</v>
      </c>
      <c r="AB18" s="6">
        <f>1348-Q18</f>
        <v>417</v>
      </c>
      <c r="AC18" s="6">
        <f>50-R18</f>
        <v>13</v>
      </c>
      <c r="AD18" s="6">
        <f>3658-S18</f>
        <v>1829</v>
      </c>
      <c r="AE18" s="6">
        <f>140-T18</f>
        <v>70</v>
      </c>
      <c r="AF18" s="10">
        <f t="shared" si="34"/>
        <v>3071.913</v>
      </c>
      <c r="AH18" s="13">
        <v>1331</v>
      </c>
      <c r="AI18" s="13">
        <v>4308</v>
      </c>
      <c r="AK18" s="4">
        <f t="shared" si="16"/>
        <v>0.30896007428040856</v>
      </c>
      <c r="AL18" s="2">
        <f t="shared" si="35"/>
        <v>6.7452054794520544</v>
      </c>
      <c r="AM18" s="6">
        <f>2107-AB18-Q18</f>
        <v>759</v>
      </c>
      <c r="AN18" s="6">
        <f>253-AC18-R18</f>
        <v>203</v>
      </c>
      <c r="AO18" s="6">
        <f>5361-AD18-S18</f>
        <v>1703</v>
      </c>
      <c r="AP18" s="6">
        <f>322-AE18-T18</f>
        <v>182</v>
      </c>
      <c r="AQ18" s="10">
        <f t="shared" si="25"/>
        <v>3381.5309999999999</v>
      </c>
      <c r="AS18" s="13">
        <v>2109</v>
      </c>
      <c r="AT18" s="13">
        <v>2247</v>
      </c>
      <c r="AV18" s="4">
        <f t="shared" si="26"/>
        <v>0.93858477970627507</v>
      </c>
      <c r="AW18" s="2">
        <f t="shared" si="36"/>
        <v>6.8014520547945194</v>
      </c>
      <c r="AX18" s="6">
        <f>3059.13-AM18-Q18-AB18</f>
        <v>952.13000000000011</v>
      </c>
      <c r="AY18" s="6"/>
      <c r="AZ18" s="6">
        <f>6891.4-AO18-AD18-S18</f>
        <v>1530.3999999999996</v>
      </c>
      <c r="BA18" s="6"/>
      <c r="BB18" s="11">
        <f>((AX18+AZ18)*C18)-((AZ18*0.059)+(AX18*0.012))</f>
        <v>3418.5083799999993</v>
      </c>
      <c r="BG18" s="4" t="e">
        <f t="shared" si="27"/>
        <v>#DIV/0!</v>
      </c>
      <c r="BH18" s="2">
        <f t="shared" si="38"/>
        <v>0</v>
      </c>
      <c r="BI18" s="6"/>
      <c r="BJ18" s="6"/>
      <c r="BK18" s="6"/>
      <c r="BL18" s="6"/>
      <c r="BM18" s="28">
        <f t="shared" si="28"/>
        <v>0</v>
      </c>
      <c r="BR18" s="4" t="e">
        <f t="shared" si="29"/>
        <v>#DIV/0!</v>
      </c>
      <c r="BS18" s="2">
        <f t="shared" si="39"/>
        <v>0</v>
      </c>
      <c r="BT18" s="6"/>
      <c r="BU18" s="6"/>
      <c r="BV18" s="6"/>
      <c r="BW18" s="6"/>
      <c r="BX18" s="28">
        <f t="shared" si="30"/>
        <v>0</v>
      </c>
    </row>
    <row r="19" spans="1:76" x14ac:dyDescent="0.2">
      <c r="A19" s="12" t="s">
        <v>5</v>
      </c>
      <c r="B19" s="5" t="s">
        <v>19</v>
      </c>
      <c r="C19" s="13">
        <v>1.4179999999999999</v>
      </c>
      <c r="D19" s="13">
        <v>3</v>
      </c>
      <c r="E19" s="7" t="s">
        <v>46</v>
      </c>
      <c r="F19" s="6">
        <v>1578.19</v>
      </c>
      <c r="G19" s="4" t="s">
        <v>46</v>
      </c>
      <c r="H19" s="4"/>
      <c r="I19" s="4" t="e">
        <f t="shared" si="31"/>
        <v>#VALUE!</v>
      </c>
      <c r="J19" s="8">
        <f t="shared" si="40"/>
        <v>1552.7099999999998</v>
      </c>
      <c r="K19" s="12" t="s">
        <v>46</v>
      </c>
      <c r="L19" s="6">
        <v>1199.19</v>
      </c>
      <c r="M19" s="9">
        <v>1624</v>
      </c>
      <c r="N19" s="4"/>
      <c r="O19" s="4">
        <f t="shared" si="22"/>
        <v>0.73841748768472915</v>
      </c>
      <c r="P19" s="2">
        <f t="shared" si="32"/>
        <v>11.69041095890411</v>
      </c>
      <c r="Q19" s="6">
        <v>1563</v>
      </c>
      <c r="R19" s="6">
        <v>326</v>
      </c>
      <c r="S19" s="6">
        <v>2704</v>
      </c>
      <c r="T19" s="6">
        <v>120</v>
      </c>
      <c r="U19" s="10">
        <f t="shared" si="23"/>
        <v>5872.3139999999994</v>
      </c>
      <c r="V19" s="12"/>
      <c r="W19" s="8">
        <v>1285.4000000000001</v>
      </c>
      <c r="X19" s="6">
        <v>1299</v>
      </c>
      <c r="Y19" s="4"/>
      <c r="Z19" s="4">
        <f t="shared" si="24"/>
        <v>0.98953040800615866</v>
      </c>
      <c r="AA19" s="2">
        <f t="shared" si="33"/>
        <v>4.4246575342465757</v>
      </c>
      <c r="AB19" s="6">
        <f>2222-Q19</f>
        <v>659</v>
      </c>
      <c r="AC19" s="4">
        <v>240</v>
      </c>
      <c r="AD19" s="6">
        <f>3660-S19</f>
        <v>956</v>
      </c>
      <c r="AE19" s="6">
        <f>152-T19</f>
        <v>32</v>
      </c>
      <c r="AF19" s="10">
        <f t="shared" si="34"/>
        <v>2225.7579999999998</v>
      </c>
      <c r="AH19" s="13">
        <v>1664</v>
      </c>
      <c r="AI19" s="13">
        <v>4203</v>
      </c>
      <c r="AK19" s="4">
        <f t="shared" si="16"/>
        <v>0.39590768498691409</v>
      </c>
      <c r="AL19" s="2">
        <f t="shared" si="35"/>
        <v>2.904109589041096</v>
      </c>
      <c r="AM19" s="6">
        <f>2305-AB19-Q19</f>
        <v>83</v>
      </c>
      <c r="AN19" s="6">
        <v>24</v>
      </c>
      <c r="AO19" s="6">
        <f>4637-AD19-S19</f>
        <v>977</v>
      </c>
      <c r="AP19" s="6">
        <f>278-AE19-T19</f>
        <v>126</v>
      </c>
      <c r="AQ19" s="10">
        <f t="shared" si="25"/>
        <v>1444.441</v>
      </c>
      <c r="AS19" s="13">
        <v>2284</v>
      </c>
      <c r="AT19" s="13">
        <v>2453</v>
      </c>
      <c r="AV19" s="4">
        <f t="shared" si="26"/>
        <v>0.93110476966979205</v>
      </c>
      <c r="AW19" s="2">
        <f t="shared" si="36"/>
        <v>1.4053698630136975</v>
      </c>
      <c r="AX19" s="6">
        <f>2306.23-AM19-Q19-AB19</f>
        <v>1.2300000000000182</v>
      </c>
      <c r="AY19" s="6"/>
      <c r="AZ19" s="6">
        <f>5148.73-AO19-AD19-S19</f>
        <v>511.72999999999956</v>
      </c>
      <c r="BA19" s="6"/>
      <c r="BB19" s="11">
        <f t="shared" si="37"/>
        <v>697.17044999999939</v>
      </c>
      <c r="BG19" s="4" t="e">
        <f t="shared" si="27"/>
        <v>#DIV/0!</v>
      </c>
      <c r="BH19" s="2">
        <f t="shared" si="38"/>
        <v>0</v>
      </c>
      <c r="BI19" s="6"/>
      <c r="BJ19" s="6"/>
      <c r="BK19" s="6"/>
      <c r="BL19" s="6"/>
      <c r="BM19" s="28">
        <f t="shared" si="28"/>
        <v>0</v>
      </c>
      <c r="BR19" s="4" t="e">
        <f t="shared" si="29"/>
        <v>#DIV/0!</v>
      </c>
      <c r="BS19" s="2">
        <f t="shared" si="39"/>
        <v>0</v>
      </c>
      <c r="BT19" s="6"/>
      <c r="BU19" s="6"/>
      <c r="BV19" s="6"/>
      <c r="BW19" s="6"/>
      <c r="BX19" s="28">
        <f t="shared" si="30"/>
        <v>0</v>
      </c>
    </row>
    <row r="20" spans="1:76" x14ac:dyDescent="0.2">
      <c r="A20" s="12" t="s">
        <v>5</v>
      </c>
      <c r="B20" s="4" t="s">
        <v>20</v>
      </c>
      <c r="C20" s="13">
        <v>1.4179999999999999</v>
      </c>
      <c r="D20" s="13">
        <v>3</v>
      </c>
      <c r="E20" s="7" t="s">
        <v>46</v>
      </c>
      <c r="F20" s="6">
        <v>3104.9</v>
      </c>
      <c r="G20" s="6">
        <v>1443</v>
      </c>
      <c r="H20" s="4"/>
      <c r="I20" s="4">
        <f t="shared" si="31"/>
        <v>2.1516978516978518</v>
      </c>
      <c r="J20" s="8">
        <f t="shared" si="40"/>
        <v>1552.7099999999998</v>
      </c>
      <c r="K20" s="12" t="s">
        <v>46</v>
      </c>
      <c r="L20" s="6">
        <v>1759.2</v>
      </c>
      <c r="M20" s="9">
        <v>743</v>
      </c>
      <c r="N20" s="4"/>
      <c r="O20" s="4">
        <f t="shared" si="22"/>
        <v>2.3676985195154781</v>
      </c>
      <c r="P20" s="2">
        <f t="shared" si="32"/>
        <v>6.1863013698630134</v>
      </c>
      <c r="Q20" s="6">
        <v>1237</v>
      </c>
      <c r="R20" s="6">
        <v>158</v>
      </c>
      <c r="S20" s="6">
        <v>1021</v>
      </c>
      <c r="T20" s="6">
        <v>41</v>
      </c>
      <c r="U20" s="10">
        <f t="shared" si="23"/>
        <v>3126.761</v>
      </c>
      <c r="V20" s="12"/>
      <c r="W20" s="8">
        <v>312.89999999999998</v>
      </c>
      <c r="X20" s="6">
        <v>231</v>
      </c>
      <c r="Y20" s="4"/>
      <c r="Z20" s="4">
        <f t="shared" si="24"/>
        <v>1.3545454545454545</v>
      </c>
      <c r="AA20" s="2">
        <f t="shared" si="33"/>
        <v>0.56712328767123288</v>
      </c>
      <c r="AB20" s="6">
        <f>1299-Q20</f>
        <v>62</v>
      </c>
      <c r="AC20" s="6">
        <f>140</f>
        <v>140</v>
      </c>
      <c r="AD20" s="6">
        <f>1166-S20</f>
        <v>145</v>
      </c>
      <c r="AE20" s="6">
        <f>48-T20</f>
        <v>7</v>
      </c>
      <c r="AF20" s="10">
        <f t="shared" si="34"/>
        <v>284.22700000000003</v>
      </c>
      <c r="AH20" s="13">
        <v>1032</v>
      </c>
      <c r="AI20" s="13">
        <v>2368</v>
      </c>
      <c r="AK20" s="4">
        <f t="shared" si="16"/>
        <v>0.4358108108108108</v>
      </c>
      <c r="AL20" s="2">
        <f t="shared" si="35"/>
        <v>0.21095890410958903</v>
      </c>
      <c r="AM20" s="6">
        <f>1311-AB20-Q20</f>
        <v>12</v>
      </c>
      <c r="AN20" s="6">
        <v>3</v>
      </c>
      <c r="AO20" s="6">
        <f>1231-AD20-S20</f>
        <v>65</v>
      </c>
      <c r="AP20" s="6">
        <f>62-AE20-T20</f>
        <v>14</v>
      </c>
      <c r="AQ20" s="10">
        <f t="shared" si="25"/>
        <v>105.20699999999999</v>
      </c>
      <c r="AS20" s="13">
        <v>946</v>
      </c>
      <c r="AT20" s="13">
        <v>595</v>
      </c>
      <c r="AV20" s="4">
        <f t="shared" si="26"/>
        <v>1.5899159663865545</v>
      </c>
      <c r="AW20" s="2">
        <f t="shared" si="36"/>
        <v>8.1726027397260079E-2</v>
      </c>
      <c r="AX20" s="6">
        <f>1332.73-AM20-Q20-AB20</f>
        <v>21.730000000000018</v>
      </c>
      <c r="AY20" s="6"/>
      <c r="AZ20" s="6">
        <f>1239.1-AO20-AD20-S20</f>
        <v>8.0999999999999091</v>
      </c>
      <c r="BA20" s="6"/>
      <c r="BB20" s="11">
        <f t="shared" si="37"/>
        <v>41.560279999999899</v>
      </c>
      <c r="BG20" s="4" t="e">
        <f t="shared" si="27"/>
        <v>#DIV/0!</v>
      </c>
      <c r="BH20" s="2">
        <f t="shared" si="38"/>
        <v>0</v>
      </c>
      <c r="BI20" s="6"/>
      <c r="BJ20" s="6"/>
      <c r="BK20" s="6"/>
      <c r="BL20" s="6"/>
      <c r="BM20" s="28">
        <f t="shared" si="28"/>
        <v>0</v>
      </c>
      <c r="BR20" s="4" t="e">
        <f t="shared" si="29"/>
        <v>#DIV/0!</v>
      </c>
      <c r="BS20" s="2">
        <f t="shared" si="39"/>
        <v>0</v>
      </c>
      <c r="BT20" s="6"/>
      <c r="BU20" s="6"/>
      <c r="BV20" s="6"/>
      <c r="BW20" s="6"/>
      <c r="BX20" s="28">
        <f t="shared" si="30"/>
        <v>0</v>
      </c>
    </row>
    <row r="21" spans="1:76" x14ac:dyDescent="0.2">
      <c r="A21" s="4" t="s">
        <v>5</v>
      </c>
      <c r="B21" s="4" t="s">
        <v>21</v>
      </c>
      <c r="C21" s="13">
        <v>1.4179999999999999</v>
      </c>
      <c r="D21" s="6">
        <v>3</v>
      </c>
      <c r="E21" s="7" t="s">
        <v>46</v>
      </c>
      <c r="F21" s="4" t="s">
        <v>46</v>
      </c>
      <c r="G21" s="6">
        <v>907</v>
      </c>
      <c r="H21" s="4"/>
      <c r="I21" s="4" t="e">
        <f t="shared" si="31"/>
        <v>#VALUE!</v>
      </c>
      <c r="J21" s="8">
        <f t="shared" si="40"/>
        <v>1552.7099999999998</v>
      </c>
      <c r="K21" s="12" t="s">
        <v>46</v>
      </c>
      <c r="L21" s="6">
        <v>328</v>
      </c>
      <c r="M21" s="9">
        <v>633</v>
      </c>
      <c r="N21" s="4"/>
      <c r="O21" s="4">
        <f t="shared" si="22"/>
        <v>0.5181674565560821</v>
      </c>
      <c r="P21" s="2">
        <f t="shared" si="32"/>
        <v>8.2191780821917804E-2</v>
      </c>
      <c r="Q21" s="6">
        <v>30</v>
      </c>
      <c r="R21" s="6">
        <v>3</v>
      </c>
      <c r="S21" s="4">
        <v>0</v>
      </c>
      <c r="T21" s="4">
        <v>0</v>
      </c>
      <c r="U21" s="10">
        <f t="shared" si="23"/>
        <v>42.18</v>
      </c>
      <c r="V21" s="12"/>
      <c r="W21" s="8">
        <v>154.69999999999999</v>
      </c>
      <c r="X21" s="6">
        <v>305</v>
      </c>
      <c r="Y21" s="4"/>
      <c r="Z21" s="4">
        <f t="shared" si="24"/>
        <v>0.50721311475409836</v>
      </c>
      <c r="AA21" s="2">
        <f t="shared" si="33"/>
        <v>1.6712328767123288</v>
      </c>
      <c r="AB21" s="6">
        <f>159-Q21</f>
        <v>129</v>
      </c>
      <c r="AC21" s="6">
        <f>17-R21</f>
        <v>14</v>
      </c>
      <c r="AD21" s="4">
        <f>481-S21</f>
        <v>481</v>
      </c>
      <c r="AE21" s="4">
        <f>21-T21</f>
        <v>21</v>
      </c>
      <c r="AF21" s="10">
        <f t="shared" si="34"/>
        <v>835.05299999999988</v>
      </c>
      <c r="AH21" s="13">
        <v>336</v>
      </c>
      <c r="AI21" s="13">
        <v>2890</v>
      </c>
      <c r="AK21" s="4">
        <f t="shared" si="16"/>
        <v>0.11626297577854672</v>
      </c>
      <c r="AL21" s="2">
        <f t="shared" si="35"/>
        <v>1.526027397260274</v>
      </c>
      <c r="AM21" s="6">
        <f>161-AB21-Q21</f>
        <v>2</v>
      </c>
      <c r="AN21" s="6">
        <v>0</v>
      </c>
      <c r="AO21" s="4">
        <f>1036-AD21-S21</f>
        <v>555</v>
      </c>
      <c r="AP21" s="4">
        <f>62-AE21</f>
        <v>41</v>
      </c>
      <c r="AQ21" s="10">
        <f t="shared" si="25"/>
        <v>757.0569999999999</v>
      </c>
      <c r="AS21" s="13">
        <v>748</v>
      </c>
      <c r="AT21" s="13">
        <v>1578</v>
      </c>
      <c r="AV21" s="4">
        <f t="shared" si="26"/>
        <v>0.47401774397972118</v>
      </c>
      <c r="AW21" s="2">
        <f t="shared" si="36"/>
        <v>1.4520547945205511E-3</v>
      </c>
      <c r="AX21" s="6">
        <f>161.53-AM21-Q21-AB21</f>
        <v>0.53000000000000114</v>
      </c>
      <c r="AY21" s="6"/>
      <c r="AZ21" s="4"/>
      <c r="BA21" s="4"/>
      <c r="BB21" s="11">
        <f t="shared" si="37"/>
        <v>0.74518000000000151</v>
      </c>
      <c r="BG21" s="4" t="e">
        <f t="shared" si="27"/>
        <v>#DIV/0!</v>
      </c>
      <c r="BH21" s="2">
        <f t="shared" si="38"/>
        <v>0</v>
      </c>
      <c r="BI21" s="6"/>
      <c r="BJ21" s="6"/>
      <c r="BK21" s="4"/>
      <c r="BL21" s="4"/>
      <c r="BM21" s="28">
        <f t="shared" si="28"/>
        <v>0</v>
      </c>
      <c r="BR21" s="4" t="e">
        <f t="shared" si="29"/>
        <v>#DIV/0!</v>
      </c>
      <c r="BS21" s="2">
        <f t="shared" si="39"/>
        <v>0</v>
      </c>
      <c r="BT21" s="6"/>
      <c r="BU21" s="6"/>
      <c r="BV21" s="4"/>
      <c r="BW21" s="4"/>
      <c r="BX21" s="28">
        <f t="shared" si="30"/>
        <v>0</v>
      </c>
    </row>
    <row r="22" spans="1:76" x14ac:dyDescent="0.2">
      <c r="A22" s="12" t="s">
        <v>5</v>
      </c>
      <c r="B22" s="14">
        <v>631102</v>
      </c>
      <c r="C22" s="13">
        <v>1.4179999999999999</v>
      </c>
      <c r="D22" s="13">
        <v>3</v>
      </c>
      <c r="E22" s="7" t="s">
        <v>46</v>
      </c>
      <c r="F22" s="6">
        <v>7696</v>
      </c>
      <c r="G22" s="4" t="s">
        <v>46</v>
      </c>
      <c r="H22" s="4"/>
      <c r="I22" s="4" t="e">
        <f t="shared" si="31"/>
        <v>#VALUE!</v>
      </c>
      <c r="J22" s="8">
        <f t="shared" si="40"/>
        <v>1552.7099999999998</v>
      </c>
      <c r="K22" s="12" t="s">
        <v>46</v>
      </c>
      <c r="L22" s="6">
        <v>3905.5</v>
      </c>
      <c r="M22" s="9">
        <v>1194</v>
      </c>
      <c r="N22" s="4"/>
      <c r="O22" s="4">
        <f t="shared" si="22"/>
        <v>3.2709380234505865</v>
      </c>
      <c r="P22" s="2">
        <f t="shared" si="32"/>
        <v>2.1863013698630138</v>
      </c>
      <c r="Q22" s="6">
        <v>319</v>
      </c>
      <c r="R22" s="6">
        <v>36</v>
      </c>
      <c r="S22" s="4">
        <v>479</v>
      </c>
      <c r="T22" s="6">
        <v>25</v>
      </c>
      <c r="U22" s="10">
        <f t="shared" si="23"/>
        <v>1099.4749999999999</v>
      </c>
      <c r="V22" s="12"/>
      <c r="W22" s="8">
        <v>2873.5</v>
      </c>
      <c r="X22" s="6">
        <v>531</v>
      </c>
      <c r="Y22" s="4"/>
      <c r="Z22" s="4">
        <f t="shared" si="24"/>
        <v>5.4114877589453858</v>
      </c>
      <c r="AA22" s="2">
        <f t="shared" si="33"/>
        <v>1.5917808219178082</v>
      </c>
      <c r="AB22" s="6">
        <f>465-Q22</f>
        <v>146</v>
      </c>
      <c r="AC22" s="6">
        <f>50-R22</f>
        <v>14</v>
      </c>
      <c r="AD22" s="4">
        <f>914-S22</f>
        <v>435</v>
      </c>
      <c r="AE22" s="6">
        <f>28-T22</f>
        <v>3</v>
      </c>
      <c r="AF22" s="10">
        <f t="shared" si="34"/>
        <v>796.44099999999992</v>
      </c>
      <c r="AH22" s="13">
        <v>3585</v>
      </c>
      <c r="AI22" s="13">
        <v>3116</v>
      </c>
      <c r="AK22" s="4">
        <f t="shared" si="16"/>
        <v>1.1505134788189988</v>
      </c>
      <c r="AL22" s="2">
        <f t="shared" si="35"/>
        <v>1.0876712328767124</v>
      </c>
      <c r="AM22" s="6"/>
      <c r="AN22" s="6"/>
      <c r="AO22" s="4">
        <f>1311-AD22-S22</f>
        <v>397</v>
      </c>
      <c r="AP22" s="6">
        <f>79-AE22-T22</f>
        <v>51</v>
      </c>
      <c r="AQ22" s="10">
        <f t="shared" si="25"/>
        <v>539.52300000000002</v>
      </c>
      <c r="AS22" s="13">
        <v>3280</v>
      </c>
      <c r="AT22" s="13">
        <v>1646</v>
      </c>
      <c r="AV22" s="4">
        <f t="shared" si="26"/>
        <v>1.9927095990279466</v>
      </c>
      <c r="AW22" s="2">
        <f t="shared" si="36"/>
        <v>0</v>
      </c>
      <c r="AX22" s="6"/>
      <c r="AY22" s="6"/>
      <c r="AZ22" s="4"/>
      <c r="BA22" s="6"/>
      <c r="BB22" s="11">
        <f t="shared" si="37"/>
        <v>0</v>
      </c>
      <c r="BG22" s="4" t="e">
        <f t="shared" si="27"/>
        <v>#DIV/0!</v>
      </c>
      <c r="BH22" s="2">
        <f t="shared" si="38"/>
        <v>0</v>
      </c>
      <c r="BI22" s="6"/>
      <c r="BJ22" s="6"/>
      <c r="BK22" s="4"/>
      <c r="BL22" s="6"/>
      <c r="BM22" s="28">
        <f t="shared" si="28"/>
        <v>0</v>
      </c>
      <c r="BR22" s="4" t="e">
        <f t="shared" si="29"/>
        <v>#DIV/0!</v>
      </c>
      <c r="BS22" s="2">
        <f t="shared" si="39"/>
        <v>0</v>
      </c>
      <c r="BT22" s="6"/>
      <c r="BU22" s="6"/>
      <c r="BV22" s="4"/>
      <c r="BW22" s="6"/>
      <c r="BX22" s="28">
        <f t="shared" si="30"/>
        <v>0</v>
      </c>
    </row>
    <row r="23" spans="1:76" x14ac:dyDescent="0.2">
      <c r="A23" s="12" t="s">
        <v>5</v>
      </c>
      <c r="B23" s="14" t="s">
        <v>15</v>
      </c>
      <c r="C23" s="13">
        <v>1.4179999999999999</v>
      </c>
      <c r="D23" s="13">
        <v>3</v>
      </c>
      <c r="E23" s="7" t="s">
        <v>46</v>
      </c>
      <c r="F23" s="6">
        <v>3828</v>
      </c>
      <c r="G23" s="6">
        <v>1136</v>
      </c>
      <c r="H23" s="4"/>
      <c r="I23" s="4">
        <f t="shared" si="31"/>
        <v>3.369718309859155</v>
      </c>
      <c r="J23" s="8">
        <f t="shared" si="40"/>
        <v>1552.7099999999998</v>
      </c>
      <c r="K23" s="12" t="s">
        <v>46</v>
      </c>
      <c r="L23" s="6">
        <v>2283.6999999999998</v>
      </c>
      <c r="M23" s="9">
        <v>931.9</v>
      </c>
      <c r="N23" s="4"/>
      <c r="O23" s="4">
        <f t="shared" si="22"/>
        <v>2.4505848266981434</v>
      </c>
      <c r="P23" s="2">
        <f t="shared" si="32"/>
        <v>2.0301369863013701</v>
      </c>
      <c r="Q23" s="6">
        <v>192</v>
      </c>
      <c r="R23" s="6">
        <v>22</v>
      </c>
      <c r="S23" s="6">
        <v>549</v>
      </c>
      <c r="T23" s="6">
        <v>27</v>
      </c>
      <c r="U23" s="10">
        <f t="shared" si="23"/>
        <v>1016.043</v>
      </c>
      <c r="V23" s="12"/>
      <c r="W23" s="8">
        <v>1584.9</v>
      </c>
      <c r="X23" s="6">
        <v>502</v>
      </c>
      <c r="Y23" s="4"/>
      <c r="Z23" s="4">
        <f t="shared" si="24"/>
        <v>3.1571713147410359</v>
      </c>
      <c r="AA23" s="2">
        <f t="shared" si="33"/>
        <v>0.55616438356164388</v>
      </c>
      <c r="AB23" s="6">
        <f>357-Q23</f>
        <v>165</v>
      </c>
      <c r="AC23" s="6">
        <f>40-R23</f>
        <v>18</v>
      </c>
      <c r="AD23" s="6">
        <f>587-S23</f>
        <v>38</v>
      </c>
      <c r="AE23" s="6">
        <f>28-T23</f>
        <v>1</v>
      </c>
      <c r="AF23" s="10">
        <f t="shared" si="34"/>
        <v>283.63200000000001</v>
      </c>
      <c r="AH23" s="13">
        <v>3109</v>
      </c>
      <c r="AI23" s="13">
        <v>2836</v>
      </c>
      <c r="AK23" s="4">
        <f t="shared" si="16"/>
        <v>1.096262341325811</v>
      </c>
      <c r="AL23" s="2">
        <f t="shared" si="35"/>
        <v>0.33424657534246577</v>
      </c>
      <c r="AM23" s="6">
        <f>380-AB23-Q23</f>
        <v>23</v>
      </c>
      <c r="AN23" s="6">
        <f>46-AC23-R23</f>
        <v>6</v>
      </c>
      <c r="AO23" s="6">
        <f>686-AD23-S23</f>
        <v>99</v>
      </c>
      <c r="AP23" s="6">
        <f>41-AE23-T23</f>
        <v>13</v>
      </c>
      <c r="AQ23" s="10">
        <f t="shared" si="25"/>
        <v>166.87899999999999</v>
      </c>
      <c r="AS23" s="13">
        <v>2033</v>
      </c>
      <c r="AT23" s="13">
        <v>634</v>
      </c>
      <c r="AV23" s="4">
        <f t="shared" si="26"/>
        <v>3.2066246056782335</v>
      </c>
      <c r="AW23" s="2">
        <f t="shared" si="36"/>
        <v>0</v>
      </c>
      <c r="AX23" s="6"/>
      <c r="AY23" s="6"/>
      <c r="AZ23" s="6"/>
      <c r="BA23" s="6"/>
      <c r="BB23" s="11">
        <f t="shared" si="37"/>
        <v>0</v>
      </c>
      <c r="BG23" s="4" t="e">
        <f t="shared" si="27"/>
        <v>#DIV/0!</v>
      </c>
      <c r="BH23" s="2">
        <f t="shared" si="38"/>
        <v>0</v>
      </c>
      <c r="BI23" s="6"/>
      <c r="BJ23" s="6"/>
      <c r="BK23" s="6"/>
      <c r="BL23" s="6"/>
      <c r="BM23" s="28">
        <f t="shared" si="28"/>
        <v>0</v>
      </c>
      <c r="BR23" s="4" t="e">
        <f t="shared" si="29"/>
        <v>#DIV/0!</v>
      </c>
      <c r="BS23" s="2">
        <f t="shared" si="39"/>
        <v>0</v>
      </c>
      <c r="BT23" s="6"/>
      <c r="BU23" s="6"/>
      <c r="BV23" s="6"/>
      <c r="BW23" s="6"/>
      <c r="BX23" s="28">
        <f t="shared" si="30"/>
        <v>0</v>
      </c>
    </row>
    <row r="24" spans="1:76" x14ac:dyDescent="0.2">
      <c r="A24" s="12" t="s">
        <v>5</v>
      </c>
      <c r="B24" s="14" t="s">
        <v>22</v>
      </c>
      <c r="C24" s="13">
        <v>1.4179999999999999</v>
      </c>
      <c r="D24" s="13">
        <v>3</v>
      </c>
      <c r="E24" s="7" t="s">
        <v>46</v>
      </c>
      <c r="F24" s="6">
        <v>64.900000000000006</v>
      </c>
      <c r="G24" s="4" t="s">
        <v>46</v>
      </c>
      <c r="H24" s="4"/>
      <c r="I24" s="4" t="e">
        <f t="shared" si="31"/>
        <v>#VALUE!</v>
      </c>
      <c r="J24" s="8">
        <f t="shared" si="40"/>
        <v>1552.7099999999998</v>
      </c>
      <c r="K24" s="12" t="s">
        <v>46</v>
      </c>
      <c r="L24" s="8">
        <v>395.3</v>
      </c>
      <c r="M24" s="6">
        <v>351.1</v>
      </c>
      <c r="N24" s="4"/>
      <c r="O24" s="4">
        <f t="shared" si="22"/>
        <v>1.1258900598120194</v>
      </c>
      <c r="P24" s="2"/>
      <c r="Q24" s="4" t="s">
        <v>46</v>
      </c>
      <c r="R24" s="4" t="s">
        <v>46</v>
      </c>
      <c r="S24" s="4" t="s">
        <v>46</v>
      </c>
      <c r="T24" s="4" t="s">
        <v>46</v>
      </c>
      <c r="U24" s="10"/>
      <c r="V24" s="12"/>
      <c r="W24" s="8">
        <v>241.5</v>
      </c>
      <c r="X24" s="6">
        <v>210</v>
      </c>
      <c r="Y24" s="4"/>
      <c r="Z24" s="4">
        <f t="shared" si="24"/>
        <v>1.1499999999999999</v>
      </c>
      <c r="AA24" s="2">
        <f t="shared" si="33"/>
        <v>0.9671232876712329</v>
      </c>
      <c r="AB24" s="4">
        <v>353</v>
      </c>
      <c r="AC24" s="4">
        <f>38</f>
        <v>38</v>
      </c>
      <c r="AD24" s="4"/>
      <c r="AE24" s="4"/>
      <c r="AF24" s="10">
        <f t="shared" si="34"/>
        <v>496.31799999999998</v>
      </c>
      <c r="AH24" s="13">
        <v>467</v>
      </c>
      <c r="AI24" s="13">
        <v>2635</v>
      </c>
      <c r="AK24" s="4">
        <f t="shared" si="16"/>
        <v>0.17722960151802655</v>
      </c>
      <c r="AL24" s="2">
        <f t="shared" si="35"/>
        <v>0</v>
      </c>
      <c r="AM24" s="4"/>
      <c r="AN24" s="4"/>
      <c r="AO24" s="4"/>
      <c r="AP24" s="4"/>
      <c r="AQ24" s="10">
        <f t="shared" si="25"/>
        <v>0</v>
      </c>
      <c r="AS24" s="13">
        <v>1142</v>
      </c>
      <c r="AT24" s="13">
        <v>802</v>
      </c>
      <c r="AV24" s="4">
        <f t="shared" si="26"/>
        <v>1.4239401496259352</v>
      </c>
      <c r="AW24" s="2">
        <f t="shared" si="36"/>
        <v>0</v>
      </c>
      <c r="AX24" s="4"/>
      <c r="AY24" s="4"/>
      <c r="AZ24" s="4"/>
      <c r="BA24" s="4"/>
      <c r="BB24" s="11">
        <f t="shared" si="37"/>
        <v>0</v>
      </c>
      <c r="BG24" s="4" t="e">
        <f t="shared" si="27"/>
        <v>#DIV/0!</v>
      </c>
      <c r="BH24" s="2">
        <f t="shared" si="38"/>
        <v>0</v>
      </c>
      <c r="BI24" s="4"/>
      <c r="BJ24" s="4"/>
      <c r="BK24" s="4"/>
      <c r="BL24" s="4"/>
      <c r="BM24" s="28">
        <f t="shared" si="28"/>
        <v>0</v>
      </c>
      <c r="BR24" s="4" t="e">
        <f t="shared" si="29"/>
        <v>#DIV/0!</v>
      </c>
      <c r="BS24" s="2">
        <f t="shared" si="39"/>
        <v>0</v>
      </c>
      <c r="BT24" s="4"/>
      <c r="BU24" s="4"/>
      <c r="BV24" s="4"/>
      <c r="BW24" s="4"/>
      <c r="BX24" s="28">
        <f t="shared" si="30"/>
        <v>0</v>
      </c>
    </row>
    <row r="25" spans="1:76" x14ac:dyDescent="0.2">
      <c r="A25" s="12" t="s">
        <v>5</v>
      </c>
      <c r="B25" s="14" t="s">
        <v>26</v>
      </c>
      <c r="C25" s="13">
        <v>1.4179999999999999</v>
      </c>
      <c r="D25" s="13">
        <v>3</v>
      </c>
      <c r="E25" s="7" t="s">
        <v>46</v>
      </c>
      <c r="F25" s="6">
        <v>1167</v>
      </c>
      <c r="G25" s="4">
        <v>443.8</v>
      </c>
      <c r="H25" s="4"/>
      <c r="I25" s="4">
        <f t="shared" si="31"/>
        <v>2.629562866155926</v>
      </c>
      <c r="J25" s="8">
        <f t="shared" si="40"/>
        <v>1552.7099999999998</v>
      </c>
      <c r="K25" s="12" t="s">
        <v>46</v>
      </c>
      <c r="L25" s="8">
        <v>435.3</v>
      </c>
      <c r="M25" s="6">
        <v>1112</v>
      </c>
      <c r="N25" s="4"/>
      <c r="O25" s="4">
        <f t="shared" si="22"/>
        <v>0.39145683453237412</v>
      </c>
      <c r="P25" s="2">
        <f t="shared" si="32"/>
        <v>2.6630136986301371</v>
      </c>
      <c r="Q25" s="6">
        <v>304</v>
      </c>
      <c r="R25" s="6">
        <v>33</v>
      </c>
      <c r="S25" s="6">
        <v>668</v>
      </c>
      <c r="T25" s="6">
        <v>26</v>
      </c>
      <c r="U25" s="10">
        <f t="shared" ref="U25:U28" si="41">((Q25+S25)*C25)-((S25*0.059)+(Q25*0.012))</f>
        <v>1335.2359999999999</v>
      </c>
      <c r="V25" s="12"/>
      <c r="W25" s="8">
        <v>300.8</v>
      </c>
      <c r="X25" s="6">
        <v>632</v>
      </c>
      <c r="Y25" s="4"/>
      <c r="Z25" s="4">
        <f t="shared" si="24"/>
        <v>0.47594936708860763</v>
      </c>
      <c r="AA25" s="2">
        <f t="shared" si="33"/>
        <v>1.715068493150685</v>
      </c>
      <c r="AB25" s="6">
        <f>580-Q25</f>
        <v>276</v>
      </c>
      <c r="AC25" s="6">
        <f>62-R25</f>
        <v>29</v>
      </c>
      <c r="AD25" s="6">
        <f>1018-S25</f>
        <v>350</v>
      </c>
      <c r="AE25" s="6">
        <f>36-T25</f>
        <v>10</v>
      </c>
      <c r="AF25" s="10">
        <f t="shared" si="34"/>
        <v>863.70600000000002</v>
      </c>
      <c r="AH25" s="13">
        <v>1101</v>
      </c>
      <c r="AI25" s="13">
        <v>3050</v>
      </c>
      <c r="AK25" s="4">
        <f t="shared" si="16"/>
        <v>0.36098360655737705</v>
      </c>
      <c r="AL25" s="2">
        <f t="shared" si="35"/>
        <v>1.7013698630136986</v>
      </c>
      <c r="AM25" s="6">
        <f>705-AB25-Q25</f>
        <v>125</v>
      </c>
      <c r="AN25" s="6">
        <f>85-AC25-R25</f>
        <v>23</v>
      </c>
      <c r="AO25" s="6">
        <f>1514-AD25-S25</f>
        <v>496</v>
      </c>
      <c r="AP25" s="6">
        <f>90-AE25-T25</f>
        <v>54</v>
      </c>
      <c r="AQ25" s="10">
        <f t="shared" si="25"/>
        <v>849.81399999999996</v>
      </c>
      <c r="AS25" s="13">
        <v>1337</v>
      </c>
      <c r="AT25" s="13">
        <v>1685</v>
      </c>
      <c r="AV25" s="4">
        <f t="shared" si="26"/>
        <v>0.79347181008902079</v>
      </c>
      <c r="AW25" s="2">
        <f t="shared" si="36"/>
        <v>3.2306383561643837</v>
      </c>
      <c r="AX25" s="6">
        <f>1074.1-AM25-AB25-Q25</f>
        <v>369.09999999999991</v>
      </c>
      <c r="AY25" s="6"/>
      <c r="AZ25" s="6">
        <f>2324.083-AO25-AD25-S25</f>
        <v>810.08300000000008</v>
      </c>
      <c r="BA25" s="6"/>
      <c r="BB25" s="11">
        <f t="shared" si="37"/>
        <v>1619.8573969999998</v>
      </c>
      <c r="BG25" s="4" t="e">
        <f t="shared" si="27"/>
        <v>#DIV/0!</v>
      </c>
      <c r="BH25" s="2">
        <f t="shared" si="38"/>
        <v>0</v>
      </c>
      <c r="BI25" s="6"/>
      <c r="BJ25" s="6"/>
      <c r="BK25" s="6"/>
      <c r="BL25" s="6"/>
      <c r="BM25" s="28">
        <f t="shared" si="28"/>
        <v>0</v>
      </c>
      <c r="BR25" s="4" t="e">
        <f t="shared" si="29"/>
        <v>#DIV/0!</v>
      </c>
      <c r="BS25" s="2">
        <f t="shared" si="39"/>
        <v>0</v>
      </c>
      <c r="BT25" s="6"/>
      <c r="BU25" s="6"/>
      <c r="BV25" s="6"/>
      <c r="BW25" s="6"/>
      <c r="BX25" s="28">
        <f t="shared" si="30"/>
        <v>0</v>
      </c>
    </row>
    <row r="26" spans="1:76" x14ac:dyDescent="0.2">
      <c r="A26" s="12" t="s">
        <v>5</v>
      </c>
      <c r="B26" s="13" t="s">
        <v>25</v>
      </c>
      <c r="C26" s="13">
        <v>1.4179999999999999</v>
      </c>
      <c r="D26" s="13">
        <v>3</v>
      </c>
      <c r="E26" s="7" t="s">
        <v>46</v>
      </c>
      <c r="F26" s="6">
        <v>1671</v>
      </c>
      <c r="G26" s="6">
        <v>1161.2</v>
      </c>
      <c r="H26" s="4"/>
      <c r="I26" s="4">
        <f t="shared" si="31"/>
        <v>1.4390285911126421</v>
      </c>
      <c r="J26" s="8">
        <f t="shared" si="40"/>
        <v>1552.7099999999998</v>
      </c>
      <c r="K26" s="12" t="s">
        <v>46</v>
      </c>
      <c r="L26" s="8">
        <v>472.4</v>
      </c>
      <c r="M26" s="6">
        <v>740</v>
      </c>
      <c r="N26" s="4"/>
      <c r="O26" s="4">
        <f t="shared" si="22"/>
        <v>0.6383783783783783</v>
      </c>
      <c r="P26" s="2">
        <f t="shared" si="32"/>
        <v>0.74794520547945209</v>
      </c>
      <c r="Q26" s="6">
        <v>228</v>
      </c>
      <c r="R26" s="6">
        <v>25</v>
      </c>
      <c r="S26" s="6">
        <v>45</v>
      </c>
      <c r="T26" s="6">
        <v>2</v>
      </c>
      <c r="U26" s="10">
        <f t="shared" si="41"/>
        <v>381.72299999999996</v>
      </c>
      <c r="V26" s="12"/>
      <c r="W26" s="8">
        <v>71.099999999999994</v>
      </c>
      <c r="X26" s="6">
        <v>170</v>
      </c>
      <c r="Y26" s="4"/>
      <c r="Z26" s="4">
        <f t="shared" si="24"/>
        <v>0.41823529411764704</v>
      </c>
      <c r="AA26" s="2">
        <f t="shared" si="33"/>
        <v>0.77534246575342469</v>
      </c>
      <c r="AB26" s="6">
        <f>502-Q26</f>
        <v>274</v>
      </c>
      <c r="AC26" s="6">
        <f>13</f>
        <v>13</v>
      </c>
      <c r="AD26" s="6">
        <f>54-S26</f>
        <v>9</v>
      </c>
      <c r="AE26" s="6">
        <f>2-T26</f>
        <v>0</v>
      </c>
      <c r="AF26" s="10">
        <f t="shared" si="34"/>
        <v>397.47499999999997</v>
      </c>
      <c r="AH26" s="13">
        <v>1577</v>
      </c>
      <c r="AI26" s="13">
        <v>3385</v>
      </c>
      <c r="AK26" s="4">
        <f t="shared" si="16"/>
        <v>0.46587887740029543</v>
      </c>
      <c r="AL26" s="2">
        <f t="shared" si="35"/>
        <v>1.832876712328767</v>
      </c>
      <c r="AM26" s="6">
        <f>876-AB26-Q26</f>
        <v>374</v>
      </c>
      <c r="AN26" s="6">
        <f>53-AC26-R26</f>
        <v>15</v>
      </c>
      <c r="AO26" s="6">
        <f>349-AD26-S26</f>
        <v>295</v>
      </c>
      <c r="AP26" s="6">
        <f>20-AE26-T26</f>
        <v>18</v>
      </c>
      <c r="AQ26" s="10">
        <f t="shared" si="25"/>
        <v>926.74899999999991</v>
      </c>
      <c r="AS26" s="13">
        <v>777</v>
      </c>
      <c r="AT26" s="13">
        <v>994</v>
      </c>
      <c r="AV26" s="4">
        <f t="shared" si="26"/>
        <v>0.78169014084507038</v>
      </c>
      <c r="AW26" s="2">
        <f t="shared" si="36"/>
        <v>2.9496356164383561</v>
      </c>
      <c r="AX26" s="6">
        <f>876.767-AM26-AB26-Q26</f>
        <v>0.76700000000005275</v>
      </c>
      <c r="AY26" s="6"/>
      <c r="AZ26" s="6">
        <f>1424.85-AO26-AD26-S26</f>
        <v>1075.8499999999999</v>
      </c>
      <c r="BA26" s="6"/>
      <c r="BB26" s="11">
        <f t="shared" si="37"/>
        <v>1463.1585519999999</v>
      </c>
      <c r="BG26" s="4" t="e">
        <f t="shared" si="27"/>
        <v>#DIV/0!</v>
      </c>
      <c r="BH26" s="2">
        <f t="shared" si="38"/>
        <v>0</v>
      </c>
      <c r="BI26" s="6"/>
      <c r="BJ26" s="6"/>
      <c r="BK26" s="6"/>
      <c r="BL26" s="6"/>
      <c r="BM26" s="28">
        <f t="shared" si="28"/>
        <v>0</v>
      </c>
      <c r="BR26" s="4" t="e">
        <f t="shared" si="29"/>
        <v>#DIV/0!</v>
      </c>
      <c r="BS26" s="2">
        <f t="shared" si="39"/>
        <v>0</v>
      </c>
      <c r="BT26" s="6"/>
      <c r="BU26" s="6"/>
      <c r="BV26" s="6"/>
      <c r="BW26" s="6"/>
      <c r="BX26" s="28">
        <f t="shared" si="30"/>
        <v>0</v>
      </c>
    </row>
    <row r="27" spans="1:76" x14ac:dyDescent="0.2">
      <c r="A27" s="12" t="s">
        <v>5</v>
      </c>
      <c r="B27" s="13" t="s">
        <v>24</v>
      </c>
      <c r="C27" s="13">
        <v>1.4179999999999999</v>
      </c>
      <c r="D27" s="13">
        <v>3</v>
      </c>
      <c r="E27" s="7" t="s">
        <v>46</v>
      </c>
      <c r="F27" s="6">
        <v>1029</v>
      </c>
      <c r="G27" s="6">
        <v>708.7</v>
      </c>
      <c r="H27" s="4"/>
      <c r="I27" s="4">
        <f t="shared" si="31"/>
        <v>1.4519542824890643</v>
      </c>
      <c r="J27" s="8">
        <f t="shared" si="40"/>
        <v>1552.7099999999998</v>
      </c>
      <c r="K27" s="12" t="s">
        <v>46</v>
      </c>
      <c r="L27" s="8">
        <v>1085.3</v>
      </c>
      <c r="M27" s="6">
        <v>603</v>
      </c>
      <c r="N27" s="4"/>
      <c r="O27" s="4">
        <f t="shared" si="22"/>
        <v>1.7998341625207297</v>
      </c>
      <c r="P27" s="2">
        <f t="shared" si="32"/>
        <v>5.0684931506849313</v>
      </c>
      <c r="Q27" s="6">
        <v>1432</v>
      </c>
      <c r="R27" s="6">
        <v>155</v>
      </c>
      <c r="S27" s="6">
        <v>418</v>
      </c>
      <c r="T27" s="6">
        <v>9</v>
      </c>
      <c r="U27" s="10">
        <f t="shared" si="41"/>
        <v>2581.4539999999997</v>
      </c>
      <c r="V27" s="12"/>
      <c r="W27" s="8">
        <v>733.7</v>
      </c>
      <c r="X27" s="6">
        <v>879</v>
      </c>
      <c r="Y27" s="4"/>
      <c r="Z27" s="4">
        <f t="shared" si="24"/>
        <v>0.83469852104664399</v>
      </c>
      <c r="AA27" s="2">
        <f t="shared" si="33"/>
        <v>1.5835616438356164</v>
      </c>
      <c r="AB27" s="6">
        <f>1620-Q27</f>
        <v>188</v>
      </c>
      <c r="AC27" s="6">
        <f>175-R27</f>
        <v>20</v>
      </c>
      <c r="AD27" s="6">
        <f>808-S27</f>
        <v>390</v>
      </c>
      <c r="AE27" s="6">
        <f>18-T27</f>
        <v>9</v>
      </c>
      <c r="AF27" s="10">
        <f t="shared" si="34"/>
        <v>794.33799999999997</v>
      </c>
      <c r="AH27" s="13">
        <v>1448</v>
      </c>
      <c r="AI27" s="13">
        <v>2971</v>
      </c>
      <c r="AK27" s="4">
        <f t="shared" si="16"/>
        <v>0.48737798720969372</v>
      </c>
      <c r="AL27" s="2">
        <f t="shared" si="35"/>
        <v>1.4575342465753425</v>
      </c>
      <c r="AM27" s="6">
        <f>1626-AB27-Q27</f>
        <v>6</v>
      </c>
      <c r="AN27" s="6">
        <f>195-AC27-R27</f>
        <v>20</v>
      </c>
      <c r="AO27" s="6">
        <f>1334-AD27-S27</f>
        <v>526</v>
      </c>
      <c r="AP27" s="6">
        <f>80-AE27-T27</f>
        <v>62</v>
      </c>
      <c r="AQ27" s="10">
        <f t="shared" si="25"/>
        <v>723.27</v>
      </c>
      <c r="AS27" s="13">
        <v>644</v>
      </c>
      <c r="AT27" s="13">
        <v>1494</v>
      </c>
      <c r="AV27" s="4">
        <f t="shared" si="26"/>
        <v>0.43105756358768405</v>
      </c>
      <c r="AW27" s="2">
        <f t="shared" si="36"/>
        <v>2.7720547945205483</v>
      </c>
      <c r="AX27" s="6">
        <f>1626.5-AM27-AB27-Q27</f>
        <v>0.5</v>
      </c>
      <c r="AY27" s="6"/>
      <c r="AZ27" s="6">
        <f>2345.3-AO27-AD27-S27</f>
        <v>1011.3000000000002</v>
      </c>
      <c r="BA27" s="6"/>
      <c r="BB27" s="11">
        <f t="shared" si="37"/>
        <v>1375.0597</v>
      </c>
      <c r="BG27" s="4" t="e">
        <f t="shared" si="27"/>
        <v>#DIV/0!</v>
      </c>
      <c r="BH27" s="2">
        <f t="shared" si="38"/>
        <v>0</v>
      </c>
      <c r="BI27" s="6"/>
      <c r="BJ27" s="6"/>
      <c r="BK27" s="6"/>
      <c r="BL27" s="6"/>
      <c r="BM27" s="28">
        <f t="shared" si="28"/>
        <v>0</v>
      </c>
      <c r="BR27" s="4" t="e">
        <f t="shared" si="29"/>
        <v>#DIV/0!</v>
      </c>
      <c r="BS27" s="2">
        <f t="shared" si="39"/>
        <v>0</v>
      </c>
      <c r="BT27" s="6"/>
      <c r="BU27" s="6"/>
      <c r="BV27" s="6"/>
      <c r="BW27" s="6"/>
      <c r="BX27" s="28">
        <f t="shared" si="30"/>
        <v>0</v>
      </c>
    </row>
    <row r="28" spans="1:76" s="16" customFormat="1" x14ac:dyDescent="0.2">
      <c r="A28" s="15" t="s">
        <v>5</v>
      </c>
      <c r="B28" s="16" t="s">
        <v>23</v>
      </c>
      <c r="C28" s="13">
        <v>1.4179999999999999</v>
      </c>
      <c r="D28" s="16">
        <v>3</v>
      </c>
      <c r="E28" s="17" t="s">
        <v>46</v>
      </c>
      <c r="F28" s="16">
        <v>2135</v>
      </c>
      <c r="G28" s="16">
        <v>6401.9</v>
      </c>
      <c r="H28" s="15"/>
      <c r="I28" s="15">
        <f t="shared" si="31"/>
        <v>0.33349474374794985</v>
      </c>
      <c r="J28" s="18">
        <f t="shared" si="40"/>
        <v>1552.7099999999998</v>
      </c>
      <c r="K28" s="17" t="s">
        <v>46</v>
      </c>
      <c r="L28" s="18">
        <v>323</v>
      </c>
      <c r="M28" s="16">
        <v>1711</v>
      </c>
      <c r="N28" s="15"/>
      <c r="O28" s="15">
        <f t="shared" si="22"/>
        <v>0.18877849210987727</v>
      </c>
      <c r="P28" s="19">
        <f t="shared" si="32"/>
        <v>10.079452054794521</v>
      </c>
      <c r="Q28" s="16">
        <v>1062</v>
      </c>
      <c r="R28" s="16">
        <v>115</v>
      </c>
      <c r="S28" s="16">
        <v>2617</v>
      </c>
      <c r="T28" s="16">
        <v>64</v>
      </c>
      <c r="U28" s="20">
        <f t="shared" si="41"/>
        <v>5049.6750000000002</v>
      </c>
      <c r="V28" s="17"/>
      <c r="W28" s="18">
        <v>5914.6</v>
      </c>
      <c r="X28" s="16">
        <v>1527</v>
      </c>
      <c r="Y28" s="15"/>
      <c r="Z28" s="15">
        <f t="shared" si="24"/>
        <v>3.8733464309102819</v>
      </c>
      <c r="AA28" s="19">
        <f t="shared" si="33"/>
        <v>5.0383561643835613</v>
      </c>
      <c r="AB28" s="16">
        <f>1084-Q28</f>
        <v>22</v>
      </c>
      <c r="AC28" s="16">
        <f>117-R28</f>
        <v>2</v>
      </c>
      <c r="AD28" s="16">
        <f>4434-S28</f>
        <v>1817</v>
      </c>
      <c r="AE28" s="16">
        <f>115-T28</f>
        <v>51</v>
      </c>
      <c r="AF28" s="10">
        <f t="shared" si="34"/>
        <v>2500.2349999999997</v>
      </c>
      <c r="AH28" s="16">
        <v>1504</v>
      </c>
      <c r="AI28" s="16">
        <v>2525</v>
      </c>
      <c r="AK28" s="16">
        <f t="shared" si="16"/>
        <v>0.59564356435643562</v>
      </c>
      <c r="BB28" s="11">
        <f t="shared" si="37"/>
        <v>0</v>
      </c>
      <c r="BG28" s="16" t="e">
        <f t="shared" si="27"/>
        <v>#DIV/0!</v>
      </c>
      <c r="BH28" s="22"/>
      <c r="BI28" s="22"/>
      <c r="BJ28" s="22"/>
      <c r="BK28" s="22"/>
      <c r="BL28" s="22"/>
      <c r="BM28" s="28">
        <f t="shared" si="28"/>
        <v>0</v>
      </c>
      <c r="BR28" s="16" t="e">
        <f t="shared" si="29"/>
        <v>#DIV/0!</v>
      </c>
      <c r="BS28" s="22"/>
      <c r="BT28" s="22"/>
      <c r="BU28" s="22"/>
      <c r="BV28" s="22"/>
      <c r="BW28" s="22"/>
      <c r="BX28" s="28">
        <f t="shared" si="30"/>
        <v>0</v>
      </c>
    </row>
    <row r="29" spans="1:76" s="22" customFormat="1" ht="25.5" x14ac:dyDescent="0.2">
      <c r="A29" s="21" t="s">
        <v>53</v>
      </c>
      <c r="D29" s="23"/>
      <c r="E29" s="22">
        <f>SUM(E16:E28)</f>
        <v>0</v>
      </c>
      <c r="F29" s="22">
        <f>SUM(F16:F28)</f>
        <v>26624.39</v>
      </c>
      <c r="G29" s="22">
        <f>SUM(G16:G28)</f>
        <v>13530.599999999999</v>
      </c>
      <c r="J29" s="23">
        <f>SUM(J16:J28)</f>
        <v>20185.229999999992</v>
      </c>
      <c r="L29" s="22">
        <f>SUM(L16:L28)</f>
        <v>14823.589999999998</v>
      </c>
      <c r="M29" s="22">
        <f>SUM(M16:M28)</f>
        <v>12747</v>
      </c>
      <c r="P29" s="22">
        <f>AVERAGE(P16:P28)</f>
        <v>4.5997716894977172</v>
      </c>
      <c r="Q29" s="22">
        <f>SUM(Q16:Q28)</f>
        <v>8505</v>
      </c>
      <c r="R29" s="22">
        <f>SUM(R16:R28)</f>
        <v>1041</v>
      </c>
      <c r="S29" s="22">
        <f>SUM(S16:S28)</f>
        <v>11642</v>
      </c>
      <c r="T29" s="22">
        <f>SUM(T16:T28)</f>
        <v>445</v>
      </c>
      <c r="U29" s="23">
        <f>SUM(U16:U28)</f>
        <v>27779.507999999998</v>
      </c>
      <c r="W29" s="22">
        <f>SUM(W16:W28)</f>
        <v>15568.5</v>
      </c>
      <c r="X29" s="22">
        <f>SUM(X16:X28)</f>
        <v>7576</v>
      </c>
      <c r="AA29" s="22">
        <f>AVERAGE(AA16:AA28)</f>
        <v>2.1820864067439412</v>
      </c>
      <c r="AB29" s="22">
        <f>SUM(AB16:AB28)</f>
        <v>2774</v>
      </c>
      <c r="AC29" s="22">
        <f>SUM(AC16:AC28)</f>
        <v>552</v>
      </c>
      <c r="AD29" s="22">
        <f>SUM(AD16:AD28)</f>
        <v>7580</v>
      </c>
      <c r="AE29" s="22">
        <f>SUM(AE16:AE28)</f>
        <v>260</v>
      </c>
      <c r="AF29" s="23">
        <f>SUM(AF16:AF28)</f>
        <v>14201.464</v>
      </c>
      <c r="AH29" s="22">
        <f>SUM(AH17:AH28)</f>
        <v>17852</v>
      </c>
      <c r="AI29" s="22">
        <f>SUM(AI17:AI28)</f>
        <v>36863</v>
      </c>
      <c r="AL29" s="22">
        <f>AVERAGE(AL16:AL27)</f>
        <v>1.7892694063926939</v>
      </c>
      <c r="AM29" s="22">
        <f>SUM(AM16:AM27)</f>
        <v>1812</v>
      </c>
      <c r="AN29" s="22">
        <f>SUM(AN16:AN27)</f>
        <v>354</v>
      </c>
      <c r="AO29" s="22">
        <f>SUM(AO16:AO27)</f>
        <v>6025</v>
      </c>
      <c r="AP29" s="22">
        <f>SUM(AP16:AP27)</f>
        <v>645</v>
      </c>
      <c r="AQ29" s="23">
        <f>SUM(AQ16:AQ27)</f>
        <v>10735.647000000001</v>
      </c>
      <c r="AS29" s="22">
        <f>SUM(AS17:AS28)</f>
        <v>16219</v>
      </c>
      <c r="AT29" s="22">
        <f>SUM(AT17:AT28)</f>
        <v>15024</v>
      </c>
      <c r="AW29" s="22">
        <f>AVERAGE(AW16:AW27)</f>
        <v>1.5784208447488586</v>
      </c>
      <c r="AX29" s="22">
        <f>SUM(AX16:AX27)</f>
        <v>1427.6870000000001</v>
      </c>
      <c r="AY29" s="22">
        <f>SUM(AY16:AY27)</f>
        <v>0</v>
      </c>
      <c r="AZ29" s="22">
        <f>SUM(AZ16:AZ27)</f>
        <v>5485.7962999999991</v>
      </c>
      <c r="BA29" s="22">
        <f>SUM(BA16:BA27)</f>
        <v>0</v>
      </c>
      <c r="BB29" s="23">
        <f>SUM(BB16:BB27)</f>
        <v>9462.5250936999983</v>
      </c>
      <c r="BD29" s="22">
        <f>SUM(BD17:BD28)</f>
        <v>0</v>
      </c>
      <c r="BE29" s="22">
        <f>SUM(BE17:BE28)</f>
        <v>0</v>
      </c>
      <c r="BH29" s="22">
        <f>AVERAGE(BH17:BH28)</f>
        <v>0</v>
      </c>
      <c r="BI29" s="22">
        <f>SUM(BI17:BI28)</f>
        <v>0</v>
      </c>
      <c r="BJ29" s="22">
        <f>SUM(BJ17:BJ28)</f>
        <v>0</v>
      </c>
      <c r="BK29" s="22">
        <f>SUM(BK17:BK28)</f>
        <v>0</v>
      </c>
      <c r="BL29" s="22">
        <f>SUM(BL17:BL28)</f>
        <v>0</v>
      </c>
      <c r="BM29" s="33">
        <f>SUM(BM17:BM28)</f>
        <v>0</v>
      </c>
      <c r="BO29" s="22">
        <f>SUM(BO17:BO28)</f>
        <v>0</v>
      </c>
      <c r="BP29" s="22">
        <f>SUM(BP17:BP28)</f>
        <v>0</v>
      </c>
      <c r="BS29" s="22">
        <f>AVERAGE(BS17:BS28)</f>
        <v>0</v>
      </c>
      <c r="BT29" s="22">
        <f>SUM(BT17:BT28)</f>
        <v>0</v>
      </c>
      <c r="BU29" s="22">
        <f>SUM(BU17:BU28)</f>
        <v>0</v>
      </c>
      <c r="BV29" s="22">
        <f>SUM(BV17:BV28)</f>
        <v>0</v>
      </c>
      <c r="BW29" s="22">
        <f>SUM(BW17:BW28)</f>
        <v>0</v>
      </c>
      <c r="BX29" s="33">
        <f>SUM(BX17:BX28)</f>
        <v>0</v>
      </c>
    </row>
    <row r="30" spans="1:76" s="6" customFormat="1" x14ac:dyDescent="0.2">
      <c r="A30" s="6" t="s">
        <v>7</v>
      </c>
      <c r="B30" s="6">
        <v>784</v>
      </c>
      <c r="C30" s="13">
        <v>1.4179999999999999</v>
      </c>
      <c r="D30" s="6">
        <v>4</v>
      </c>
      <c r="E30" s="7">
        <v>24125.3</v>
      </c>
      <c r="F30" s="6">
        <v>4702</v>
      </c>
      <c r="G30" s="4"/>
      <c r="H30" s="4">
        <f t="shared" ref="H30:H47" si="42">E30/F30</f>
        <v>5.1308592088472986</v>
      </c>
      <c r="I30" s="4"/>
      <c r="J30" s="8">
        <f>D30*365*C30</f>
        <v>2070.2799999999997</v>
      </c>
      <c r="K30" s="7">
        <v>33998.300000000003</v>
      </c>
      <c r="L30" s="8">
        <v>6269.625</v>
      </c>
      <c r="N30" s="4">
        <f t="shared" ref="N30:N46" si="43">K30/L30</f>
        <v>5.4227007197400168</v>
      </c>
      <c r="O30" s="4"/>
      <c r="P30" s="3">
        <f>((Q30+S30)/365)</f>
        <v>0</v>
      </c>
      <c r="U30" s="10">
        <f t="shared" si="23"/>
        <v>0</v>
      </c>
      <c r="V30" s="7">
        <v>31019</v>
      </c>
      <c r="W30" s="6">
        <v>3816.25</v>
      </c>
      <c r="X30" s="9"/>
      <c r="Y30" s="4">
        <f t="shared" ref="Y30:Z45" si="44">V30/W30</f>
        <v>8.1281362594169675</v>
      </c>
      <c r="Z30" s="4" t="e">
        <f t="shared" si="44"/>
        <v>#DIV/0!</v>
      </c>
      <c r="AA30" s="3">
        <f>((AB30+AD30)/365)</f>
        <v>1.3561643835616439</v>
      </c>
      <c r="AB30" s="6">
        <v>434</v>
      </c>
      <c r="AC30" s="6">
        <v>55</v>
      </c>
      <c r="AD30" s="6">
        <v>61</v>
      </c>
      <c r="AE30" s="6">
        <v>1</v>
      </c>
      <c r="AF30" s="10">
        <f>((AB30+AD30)*C31)-((AD30*0.059)+(AB30*0.012))</f>
        <v>693.10299999999995</v>
      </c>
      <c r="AG30" s="34">
        <v>36599</v>
      </c>
      <c r="AH30" s="6">
        <v>6961.875</v>
      </c>
      <c r="AI30" s="9"/>
      <c r="AJ30" s="4">
        <f t="shared" ref="AJ30:AK46" si="45">AG30/AH30</f>
        <v>5.2570607774486042</v>
      </c>
      <c r="AK30" s="4" t="e">
        <f t="shared" si="45"/>
        <v>#DIV/0!</v>
      </c>
      <c r="AL30" s="3">
        <f>((AM30+AO30)/365)</f>
        <v>1.7205479452054795</v>
      </c>
      <c r="AM30" s="6">
        <f>1062-AB30</f>
        <v>628</v>
      </c>
      <c r="AN30" s="6">
        <f>116-AC30</f>
        <v>61</v>
      </c>
      <c r="AQ30" s="10">
        <f>((AM30+AO30)*C30)-((AO30*0.059)+(AM30*0.012))</f>
        <v>882.96799999999996</v>
      </c>
      <c r="AR30" s="34">
        <v>24746.9</v>
      </c>
      <c r="AS30" s="6">
        <v>4636.125</v>
      </c>
      <c r="AT30" s="9"/>
      <c r="AU30" s="4">
        <f t="shared" ref="AU30:AV46" si="46">AR30/AS30</f>
        <v>5.337841408503869</v>
      </c>
      <c r="AV30" s="4" t="e">
        <f t="shared" si="46"/>
        <v>#DIV/0!</v>
      </c>
      <c r="AW30" s="3">
        <f>((AX30+AZ30)/365)</f>
        <v>3.2741095890410965</v>
      </c>
      <c r="AX30" s="6">
        <f>1800.083-AM30-AB30</f>
        <v>738.08300000000008</v>
      </c>
      <c r="AZ30" s="6">
        <f>517.967-AO30-AD30-S30</f>
        <v>456.96699999999998</v>
      </c>
      <c r="BB30" s="10">
        <f>((AX30+AZ30)*C30)-((AZ30*0.059)+(AX30*0.012))</f>
        <v>1658.7628510000002</v>
      </c>
      <c r="BC30" s="34">
        <v>26088</v>
      </c>
      <c r="BD30" s="6">
        <v>4948.0659999999998</v>
      </c>
      <c r="BE30" s="9"/>
      <c r="BF30" s="4">
        <f t="shared" ref="BF30:BF46" si="47">BC30/BD30</f>
        <v>5.2723629797985723</v>
      </c>
      <c r="BG30" s="4" t="e">
        <f t="shared" ref="BG30:BG46" si="48">BD30/BE30</f>
        <v>#DIV/0!</v>
      </c>
      <c r="BH30" s="3">
        <f>((BI30+BK30)/365)</f>
        <v>1.4711506849315064</v>
      </c>
      <c r="BI30" s="6">
        <f>2146.35-AX30-AM30-AB30</f>
        <v>346.26699999999983</v>
      </c>
      <c r="BK30" s="6">
        <f>708.67-AZ30-AO30-AD30</f>
        <v>190.70299999999997</v>
      </c>
      <c r="BM30" s="28">
        <f t="shared" ref="BM30:BM47" si="49">((BI30+BK30)*C30)-((BK30*0.059)+(BI30*0.012))</f>
        <v>746.01677899999959</v>
      </c>
      <c r="BN30" s="34"/>
      <c r="BP30" s="9"/>
      <c r="BQ30" s="4" t="e">
        <f t="shared" ref="BQ30:BQ46" si="50">BN30/BO30</f>
        <v>#DIV/0!</v>
      </c>
      <c r="BR30" s="4" t="e">
        <f t="shared" ref="BR30:BR46" si="51">BO30/BP30</f>
        <v>#DIV/0!</v>
      </c>
      <c r="BS30" s="3">
        <f>((BT30+BV30)/365)</f>
        <v>0</v>
      </c>
      <c r="BX30" s="28">
        <f t="shared" ref="BX30:BX47" si="52">((BT30+BV30)*N30)-((BV30*0.059)+(BT30*0.012))</f>
        <v>0</v>
      </c>
    </row>
    <row r="31" spans="1:76" x14ac:dyDescent="0.2">
      <c r="A31" s="13" t="s">
        <v>7</v>
      </c>
      <c r="B31" s="13">
        <v>785</v>
      </c>
      <c r="C31" s="13">
        <v>1.4179999999999999</v>
      </c>
      <c r="D31" s="13">
        <v>4</v>
      </c>
      <c r="E31" s="7">
        <v>36834.300000000003</v>
      </c>
      <c r="F31" s="6">
        <v>6632.25</v>
      </c>
      <c r="H31" s="4">
        <f t="shared" si="42"/>
        <v>5.5538165780843611</v>
      </c>
      <c r="I31" s="4"/>
      <c r="J31" s="8">
        <f t="shared" si="40"/>
        <v>2070.2799999999997</v>
      </c>
      <c r="K31" s="12">
        <v>30077</v>
      </c>
      <c r="L31" s="8">
        <v>5468</v>
      </c>
      <c r="M31" s="4"/>
      <c r="N31" s="4">
        <f t="shared" si="43"/>
        <v>5.5005486466715432</v>
      </c>
      <c r="O31" s="4"/>
      <c r="P31" s="2">
        <f t="shared" ref="P31:P47" si="53">((Q31+S31)/365)</f>
        <v>0</v>
      </c>
      <c r="U31" s="10">
        <f t="shared" si="23"/>
        <v>0</v>
      </c>
      <c r="V31" s="12">
        <v>23517.599999999999</v>
      </c>
      <c r="W31" s="6">
        <v>4796.625</v>
      </c>
      <c r="X31" s="7"/>
      <c r="Y31" s="4">
        <f t="shared" si="44"/>
        <v>4.9029473848799938</v>
      </c>
      <c r="Z31" s="4" t="e">
        <f t="shared" si="44"/>
        <v>#DIV/0!</v>
      </c>
      <c r="AA31" s="2">
        <f t="shared" ref="AA31:AA42" si="54">((AB31+AD31)/365)</f>
        <v>4.2164383561643834</v>
      </c>
      <c r="AB31" s="6">
        <v>1113</v>
      </c>
      <c r="AC31" s="6">
        <v>108</v>
      </c>
      <c r="AD31" s="6">
        <v>426</v>
      </c>
      <c r="AE31" s="6">
        <v>13</v>
      </c>
      <c r="AF31" s="10">
        <f t="shared" ref="AF31:AF47" si="55">((AB31+AD31)*C32)-((AD31*0.059)+(AB31*0.012))</f>
        <v>2143.8119999999999</v>
      </c>
      <c r="AG31" s="35">
        <v>31308.3</v>
      </c>
      <c r="AH31" s="6">
        <v>5886.625</v>
      </c>
      <c r="AI31" s="7"/>
      <c r="AJ31" s="4">
        <f t="shared" si="45"/>
        <v>5.3185484042214339</v>
      </c>
      <c r="AK31" s="4" t="e">
        <f t="shared" si="45"/>
        <v>#DIV/0!</v>
      </c>
      <c r="AL31" s="2">
        <f t="shared" ref="AL31" si="56">((AM31+AO31)/365)</f>
        <v>1.4876712328767123</v>
      </c>
      <c r="AM31" s="6">
        <f>1656-AB31</f>
        <v>543</v>
      </c>
      <c r="AN31" s="6">
        <f>173-AC31</f>
        <v>65</v>
      </c>
      <c r="AO31" s="6"/>
      <c r="AP31" s="6"/>
      <c r="AQ31" s="10">
        <f t="shared" ref="AQ31:AQ47" si="57">((AM31+AO31)*C31)-((AO31*0.059)+(AM31*0.012))</f>
        <v>763.45799999999997</v>
      </c>
      <c r="AR31" s="35">
        <v>21625.1</v>
      </c>
      <c r="AS31" s="6">
        <v>4763.875</v>
      </c>
      <c r="AT31" s="7"/>
      <c r="AU31" s="4">
        <f t="shared" si="46"/>
        <v>4.539392826218152</v>
      </c>
      <c r="AV31" s="4" t="e">
        <f t="shared" si="46"/>
        <v>#DIV/0!</v>
      </c>
      <c r="AW31" s="2">
        <f t="shared" ref="AW31" si="58">((AX31+AZ31)/365)</f>
        <v>10.625478630136985</v>
      </c>
      <c r="AX31" s="6">
        <f>2042.0167-AM31-AB31</f>
        <v>386.0166999999999</v>
      </c>
      <c r="AY31" s="6"/>
      <c r="AZ31" s="6">
        <f>3918.283-AO31-AD31-S31</f>
        <v>3492.2829999999999</v>
      </c>
      <c r="BA31" s="6"/>
      <c r="BB31" s="10">
        <f t="shared" ref="BB31:BB41" si="59">((AX31+AZ31)*C31)-((AZ31*0.059)+(AX31*0.012))</f>
        <v>5288.7520771999998</v>
      </c>
      <c r="BC31" s="35">
        <v>23198</v>
      </c>
      <c r="BD31" s="6">
        <v>4340.5690000000004</v>
      </c>
      <c r="BE31" s="7"/>
      <c r="BF31" s="4">
        <f t="shared" si="47"/>
        <v>5.3444605995204775</v>
      </c>
      <c r="BG31" s="4" t="e">
        <f t="shared" si="48"/>
        <v>#DIV/0!</v>
      </c>
      <c r="BH31" s="2">
        <f t="shared" ref="BH31" si="60">((BI31+BK31)/365)</f>
        <v>5.139644657534248</v>
      </c>
      <c r="BI31" s="6">
        <f>2597.67-AX31-AM31-AB31</f>
        <v>555.65329999999994</v>
      </c>
      <c r="BJ31" s="6"/>
      <c r="BK31" s="6">
        <f>5238.6-AZ31-AO31-AD31</f>
        <v>1320.3170000000005</v>
      </c>
      <c r="BL31" s="6"/>
      <c r="BM31" s="28">
        <f t="shared" si="49"/>
        <v>2575.5593428000002</v>
      </c>
      <c r="BN31" s="35"/>
      <c r="BO31" s="6"/>
      <c r="BP31" s="7"/>
      <c r="BQ31" s="4" t="e">
        <f t="shared" si="50"/>
        <v>#DIV/0!</v>
      </c>
      <c r="BR31" s="4" t="e">
        <f t="shared" si="51"/>
        <v>#DIV/0!</v>
      </c>
      <c r="BS31" s="2">
        <f t="shared" ref="BS31" si="61">((BT31+BV31)/365)</f>
        <v>0</v>
      </c>
      <c r="BT31" s="6"/>
      <c r="BU31" s="6"/>
      <c r="BV31" s="6"/>
      <c r="BW31" s="6"/>
      <c r="BX31" s="28">
        <f t="shared" si="52"/>
        <v>0</v>
      </c>
    </row>
    <row r="32" spans="1:76" x14ac:dyDescent="0.2">
      <c r="A32" s="13" t="s">
        <v>7</v>
      </c>
      <c r="B32" s="13">
        <v>789</v>
      </c>
      <c r="C32" s="13">
        <v>1.4179999999999999</v>
      </c>
      <c r="D32" s="13">
        <v>4</v>
      </c>
      <c r="E32" s="7">
        <v>2660.2</v>
      </c>
      <c r="F32" s="6">
        <v>1004.25</v>
      </c>
      <c r="G32" s="4"/>
      <c r="H32" s="4">
        <f t="shared" si="42"/>
        <v>2.6489419965148118</v>
      </c>
      <c r="I32" s="4"/>
      <c r="J32" s="8">
        <f t="shared" si="40"/>
        <v>2070.2799999999997</v>
      </c>
      <c r="K32" s="12">
        <v>12195.2</v>
      </c>
      <c r="L32" s="8">
        <v>3390.375</v>
      </c>
      <c r="N32" s="4">
        <f t="shared" si="43"/>
        <v>3.5970062308741659</v>
      </c>
      <c r="O32" s="4"/>
      <c r="P32" s="2">
        <f t="shared" si="53"/>
        <v>17.339726027397262</v>
      </c>
      <c r="Q32" s="6">
        <v>4827</v>
      </c>
      <c r="R32" s="6">
        <v>372</v>
      </c>
      <c r="S32" s="6">
        <v>1502</v>
      </c>
      <c r="T32" s="6">
        <v>41</v>
      </c>
      <c r="U32" s="10">
        <f t="shared" si="23"/>
        <v>8827.98</v>
      </c>
      <c r="V32" s="12">
        <v>12626.6</v>
      </c>
      <c r="W32" s="6">
        <v>2347.375</v>
      </c>
      <c r="X32" s="9"/>
      <c r="Y32" s="4">
        <f t="shared" si="44"/>
        <v>5.379029767293253</v>
      </c>
      <c r="Z32" s="4" t="e">
        <f t="shared" si="44"/>
        <v>#DIV/0!</v>
      </c>
      <c r="AA32" s="2"/>
      <c r="AF32" s="10">
        <f t="shared" si="55"/>
        <v>0</v>
      </c>
      <c r="AG32" s="12" t="s">
        <v>46</v>
      </c>
      <c r="AH32" s="6"/>
      <c r="AI32" s="9"/>
      <c r="AJ32" s="4" t="e">
        <f t="shared" si="45"/>
        <v>#VALUE!</v>
      </c>
      <c r="AK32" s="4" t="e">
        <f t="shared" si="45"/>
        <v>#DIV/0!</v>
      </c>
      <c r="AL32" s="2"/>
      <c r="AM32" s="6"/>
      <c r="AN32" s="6"/>
      <c r="AO32" s="6"/>
      <c r="AP32" s="6"/>
      <c r="AQ32" s="10">
        <f t="shared" si="57"/>
        <v>0</v>
      </c>
      <c r="AR32" s="12"/>
      <c r="AS32" s="6"/>
      <c r="AT32" s="9"/>
      <c r="AU32" s="4" t="e">
        <f t="shared" si="46"/>
        <v>#DIV/0!</v>
      </c>
      <c r="AV32" s="4" t="e">
        <f t="shared" si="46"/>
        <v>#DIV/0!</v>
      </c>
      <c r="AW32" s="2"/>
      <c r="AX32" s="6"/>
      <c r="AY32" s="6"/>
      <c r="AZ32" s="6"/>
      <c r="BA32" s="6"/>
      <c r="BB32" s="10">
        <f t="shared" si="59"/>
        <v>0</v>
      </c>
      <c r="BC32" s="12"/>
      <c r="BD32" s="6"/>
      <c r="BE32" s="9"/>
      <c r="BF32" s="4" t="e">
        <f t="shared" si="47"/>
        <v>#DIV/0!</v>
      </c>
      <c r="BG32" s="4" t="e">
        <f t="shared" si="48"/>
        <v>#DIV/0!</v>
      </c>
      <c r="BH32" s="2"/>
      <c r="BI32" s="6"/>
      <c r="BJ32" s="6"/>
      <c r="BK32" s="6"/>
      <c r="BL32" s="6"/>
      <c r="BM32" s="28">
        <f t="shared" si="49"/>
        <v>0</v>
      </c>
      <c r="BN32" s="12"/>
      <c r="BO32" s="6"/>
      <c r="BP32" s="9"/>
      <c r="BQ32" s="4" t="e">
        <f t="shared" si="50"/>
        <v>#DIV/0!</v>
      </c>
      <c r="BR32" s="4" t="e">
        <f t="shared" si="51"/>
        <v>#DIV/0!</v>
      </c>
      <c r="BS32" s="2"/>
      <c r="BT32" s="6"/>
      <c r="BU32" s="6"/>
      <c r="BV32" s="6"/>
      <c r="BW32" s="6"/>
      <c r="BX32" s="28">
        <f t="shared" si="52"/>
        <v>0</v>
      </c>
    </row>
    <row r="33" spans="1:76" x14ac:dyDescent="0.2">
      <c r="A33" s="13" t="s">
        <v>7</v>
      </c>
      <c r="B33" s="13">
        <v>791</v>
      </c>
      <c r="C33" s="13">
        <v>1.4179999999999999</v>
      </c>
      <c r="D33" s="13">
        <v>4</v>
      </c>
      <c r="E33" s="7">
        <v>17305.8</v>
      </c>
      <c r="F33" s="6">
        <v>4323.875</v>
      </c>
      <c r="G33" s="4"/>
      <c r="H33" s="4">
        <f t="shared" si="42"/>
        <v>4.0023821225174174</v>
      </c>
      <c r="I33" s="4"/>
      <c r="J33" s="8">
        <f>D33*365*C33</f>
        <v>2070.2799999999997</v>
      </c>
      <c r="K33" s="12">
        <v>11998</v>
      </c>
      <c r="L33" s="8">
        <v>3081.125</v>
      </c>
      <c r="N33" s="4">
        <f t="shared" si="43"/>
        <v>3.8940322122601323</v>
      </c>
      <c r="O33" s="4"/>
      <c r="P33" s="2">
        <f t="shared" si="53"/>
        <v>7.7753424657534245</v>
      </c>
      <c r="Q33" s="6">
        <v>2365</v>
      </c>
      <c r="R33" s="6">
        <v>197</v>
      </c>
      <c r="S33" s="6">
        <v>473</v>
      </c>
      <c r="T33" s="6">
        <v>8</v>
      </c>
      <c r="U33" s="10">
        <f t="shared" si="23"/>
        <v>3967.9969999999998</v>
      </c>
      <c r="V33" s="12">
        <v>6562</v>
      </c>
      <c r="W33" s="6">
        <v>1108.875</v>
      </c>
      <c r="X33" s="9"/>
      <c r="Y33" s="4">
        <f t="shared" si="44"/>
        <v>5.9177093901476718</v>
      </c>
      <c r="Z33" s="4" t="e">
        <f t="shared" si="44"/>
        <v>#DIV/0!</v>
      </c>
      <c r="AA33" s="2">
        <f t="shared" si="54"/>
        <v>2.7397260273972603E-3</v>
      </c>
      <c r="AB33" s="6">
        <f>2366-Q33</f>
        <v>1</v>
      </c>
      <c r="AF33" s="10">
        <f t="shared" si="55"/>
        <v>1.4059999999999999</v>
      </c>
      <c r="AG33" s="12" t="s">
        <v>46</v>
      </c>
      <c r="AH33" s="6"/>
      <c r="AI33" s="9"/>
      <c r="AJ33" s="4" t="e">
        <f t="shared" si="45"/>
        <v>#VALUE!</v>
      </c>
      <c r="AK33" s="4" t="e">
        <f t="shared" si="45"/>
        <v>#DIV/0!</v>
      </c>
      <c r="AL33" s="2">
        <f t="shared" ref="AL33" si="62">((AM33+AO33)/365)</f>
        <v>0</v>
      </c>
      <c r="AM33" s="6"/>
      <c r="AN33" s="6"/>
      <c r="AO33" s="6"/>
      <c r="AP33" s="6"/>
      <c r="AQ33" s="10">
        <f t="shared" si="57"/>
        <v>0</v>
      </c>
      <c r="AR33" s="12"/>
      <c r="AS33" s="6"/>
      <c r="AT33" s="9"/>
      <c r="AU33" s="4" t="e">
        <f t="shared" si="46"/>
        <v>#DIV/0!</v>
      </c>
      <c r="AV33" s="4" t="e">
        <f t="shared" si="46"/>
        <v>#DIV/0!</v>
      </c>
      <c r="AW33" s="2">
        <f t="shared" ref="AW33" si="63">((AX33+AZ33)/365)</f>
        <v>0</v>
      </c>
      <c r="AX33" s="6"/>
      <c r="AY33" s="6"/>
      <c r="AZ33" s="6"/>
      <c r="BA33" s="6"/>
      <c r="BB33" s="10">
        <f t="shared" si="59"/>
        <v>0</v>
      </c>
      <c r="BC33" s="12"/>
      <c r="BD33" s="6"/>
      <c r="BE33" s="9"/>
      <c r="BF33" s="4" t="e">
        <f t="shared" si="47"/>
        <v>#DIV/0!</v>
      </c>
      <c r="BG33" s="4" t="e">
        <f t="shared" si="48"/>
        <v>#DIV/0!</v>
      </c>
      <c r="BH33" s="2">
        <f t="shared" ref="BH33" si="64">((BI33+BK33)/365)</f>
        <v>0</v>
      </c>
      <c r="BI33" s="6"/>
      <c r="BJ33" s="6"/>
      <c r="BK33" s="6"/>
      <c r="BL33" s="6"/>
      <c r="BM33" s="28">
        <f t="shared" si="49"/>
        <v>0</v>
      </c>
      <c r="BN33" s="12"/>
      <c r="BO33" s="6"/>
      <c r="BP33" s="9"/>
      <c r="BQ33" s="4" t="e">
        <f t="shared" si="50"/>
        <v>#DIV/0!</v>
      </c>
      <c r="BR33" s="4" t="e">
        <f t="shared" si="51"/>
        <v>#DIV/0!</v>
      </c>
      <c r="BS33" s="2">
        <f t="shared" ref="BS33" si="65">((BT33+BV33)/365)</f>
        <v>0</v>
      </c>
      <c r="BT33" s="6"/>
      <c r="BU33" s="6"/>
      <c r="BV33" s="6"/>
      <c r="BW33" s="6"/>
      <c r="BX33" s="28">
        <f t="shared" si="52"/>
        <v>0</v>
      </c>
    </row>
    <row r="34" spans="1:76" x14ac:dyDescent="0.2">
      <c r="A34" s="13" t="s">
        <v>7</v>
      </c>
      <c r="B34" s="13">
        <v>792</v>
      </c>
      <c r="C34" s="13">
        <v>1.4179999999999999</v>
      </c>
      <c r="D34" s="13">
        <v>4</v>
      </c>
      <c r="E34" s="7">
        <v>14809.8</v>
      </c>
      <c r="F34" s="6">
        <v>2377.75</v>
      </c>
      <c r="H34" s="4">
        <f t="shared" si="42"/>
        <v>6.2284933235201345</v>
      </c>
      <c r="I34" s="4"/>
      <c r="J34" s="8">
        <f t="shared" si="40"/>
        <v>2070.2799999999997</v>
      </c>
      <c r="K34" s="12">
        <v>8223.1</v>
      </c>
      <c r="L34" s="8">
        <v>1954</v>
      </c>
      <c r="N34" s="4">
        <f t="shared" si="43"/>
        <v>4.2083418628454456</v>
      </c>
      <c r="O34" s="4"/>
      <c r="P34" s="2">
        <f t="shared" si="53"/>
        <v>16.32054794520548</v>
      </c>
      <c r="Q34" s="6">
        <v>5877</v>
      </c>
      <c r="R34" s="6">
        <v>279</v>
      </c>
      <c r="S34" s="6">
        <v>80</v>
      </c>
      <c r="T34" s="6">
        <v>2</v>
      </c>
      <c r="U34" s="10">
        <f t="shared" si="23"/>
        <v>8371.7819999999992</v>
      </c>
      <c r="V34" s="12">
        <v>5669.3</v>
      </c>
      <c r="W34" s="6">
        <v>1019.625</v>
      </c>
      <c r="X34" s="9"/>
      <c r="Y34" s="4">
        <f t="shared" si="44"/>
        <v>5.5601814392546283</v>
      </c>
      <c r="Z34" s="4" t="e">
        <f t="shared" si="44"/>
        <v>#DIV/0!</v>
      </c>
      <c r="AA34" s="2"/>
      <c r="AF34" s="10">
        <f t="shared" si="55"/>
        <v>0</v>
      </c>
      <c r="AG34" s="12" t="s">
        <v>46</v>
      </c>
      <c r="AH34" s="6"/>
      <c r="AI34" s="9"/>
      <c r="AJ34" s="4" t="e">
        <f t="shared" si="45"/>
        <v>#VALUE!</v>
      </c>
      <c r="AK34" s="4" t="e">
        <f t="shared" si="45"/>
        <v>#DIV/0!</v>
      </c>
      <c r="AL34" s="2"/>
      <c r="AM34" s="6"/>
      <c r="AN34" s="6"/>
      <c r="AO34" s="6"/>
      <c r="AP34" s="6"/>
      <c r="AQ34" s="10">
        <f t="shared" si="57"/>
        <v>0</v>
      </c>
      <c r="AR34" s="12"/>
      <c r="AS34" s="6"/>
      <c r="AT34" s="9"/>
      <c r="AU34" s="4" t="e">
        <f t="shared" si="46"/>
        <v>#DIV/0!</v>
      </c>
      <c r="AV34" s="4" t="e">
        <f t="shared" si="46"/>
        <v>#DIV/0!</v>
      </c>
      <c r="AW34" s="2"/>
      <c r="AX34" s="6"/>
      <c r="AY34" s="6"/>
      <c r="AZ34" s="6"/>
      <c r="BA34" s="6"/>
      <c r="BB34" s="10">
        <f t="shared" si="59"/>
        <v>0</v>
      </c>
      <c r="BC34" s="12"/>
      <c r="BD34" s="6"/>
      <c r="BE34" s="9"/>
      <c r="BF34" s="4" t="e">
        <f t="shared" si="47"/>
        <v>#DIV/0!</v>
      </c>
      <c r="BG34" s="4" t="e">
        <f t="shared" si="48"/>
        <v>#DIV/0!</v>
      </c>
      <c r="BH34" s="2"/>
      <c r="BI34" s="6"/>
      <c r="BJ34" s="6"/>
      <c r="BK34" s="6"/>
      <c r="BL34" s="6"/>
      <c r="BM34" s="28">
        <f t="shared" si="49"/>
        <v>0</v>
      </c>
      <c r="BN34" s="12"/>
      <c r="BO34" s="6"/>
      <c r="BP34" s="9"/>
      <c r="BQ34" s="4" t="e">
        <f t="shared" si="50"/>
        <v>#DIV/0!</v>
      </c>
      <c r="BR34" s="4" t="e">
        <f t="shared" si="51"/>
        <v>#DIV/0!</v>
      </c>
      <c r="BS34" s="2"/>
      <c r="BT34" s="6"/>
      <c r="BU34" s="6"/>
      <c r="BV34" s="6"/>
      <c r="BW34" s="6"/>
      <c r="BX34" s="28">
        <f t="shared" si="52"/>
        <v>0</v>
      </c>
    </row>
    <row r="35" spans="1:76" x14ac:dyDescent="0.2">
      <c r="A35" s="13" t="s">
        <v>7</v>
      </c>
      <c r="B35" s="13">
        <v>793</v>
      </c>
      <c r="C35" s="13">
        <v>1.4179999999999999</v>
      </c>
      <c r="D35" s="13">
        <v>4</v>
      </c>
      <c r="E35" s="7">
        <v>15647.5</v>
      </c>
      <c r="F35" s="4">
        <v>5168.3999999999996</v>
      </c>
      <c r="H35" s="4">
        <f t="shared" si="42"/>
        <v>3.0275326987075304</v>
      </c>
      <c r="I35" s="4"/>
      <c r="J35" s="8">
        <f t="shared" si="40"/>
        <v>2070.2799999999997</v>
      </c>
      <c r="K35" s="12">
        <v>11937.3</v>
      </c>
      <c r="L35" s="8">
        <v>3253.5</v>
      </c>
      <c r="N35" s="4">
        <f t="shared" si="43"/>
        <v>3.6690640848317195</v>
      </c>
      <c r="O35" s="4"/>
      <c r="P35" s="2">
        <f t="shared" si="53"/>
        <v>11.534246575342467</v>
      </c>
      <c r="Q35" s="6">
        <v>4092</v>
      </c>
      <c r="R35" s="6">
        <v>460</v>
      </c>
      <c r="S35" s="4">
        <v>118</v>
      </c>
      <c r="T35" s="4">
        <v>2</v>
      </c>
      <c r="U35" s="10">
        <f t="shared" si="23"/>
        <v>5913.7139999999999</v>
      </c>
      <c r="V35" s="12">
        <v>14320.9</v>
      </c>
      <c r="W35" s="6">
        <v>3805.125</v>
      </c>
      <c r="X35" s="9"/>
      <c r="Y35" s="4">
        <f t="shared" si="44"/>
        <v>3.7635820111034457</v>
      </c>
      <c r="Z35" s="4" t="e">
        <f t="shared" si="44"/>
        <v>#DIV/0!</v>
      </c>
      <c r="AA35" s="2">
        <f t="shared" si="54"/>
        <v>1.3369863013698631</v>
      </c>
      <c r="AB35" s="6">
        <f>4287-Q35</f>
        <v>195</v>
      </c>
      <c r="AD35" s="4">
        <f>411-S35</f>
        <v>293</v>
      </c>
      <c r="AE35" s="4"/>
      <c r="AF35" s="10">
        <f t="shared" si="55"/>
        <v>672.35699999999997</v>
      </c>
      <c r="AG35" s="12" t="s">
        <v>46</v>
      </c>
      <c r="AH35" s="6"/>
      <c r="AI35" s="9"/>
      <c r="AJ35" s="4" t="e">
        <f t="shared" si="45"/>
        <v>#VALUE!</v>
      </c>
      <c r="AK35" s="4" t="e">
        <f t="shared" si="45"/>
        <v>#DIV/0!</v>
      </c>
      <c r="AL35" s="2">
        <f t="shared" ref="AL35:AL36" si="66">((AM35+AO35)/365)</f>
        <v>0</v>
      </c>
      <c r="AM35" s="6"/>
      <c r="AN35" s="6"/>
      <c r="AO35" s="4"/>
      <c r="AP35" s="4"/>
      <c r="AQ35" s="10">
        <f t="shared" si="57"/>
        <v>0</v>
      </c>
      <c r="AR35" s="12"/>
      <c r="AS35" s="6"/>
      <c r="AT35" s="9"/>
      <c r="AU35" s="4" t="e">
        <f t="shared" si="46"/>
        <v>#DIV/0!</v>
      </c>
      <c r="AV35" s="4" t="e">
        <f t="shared" si="46"/>
        <v>#DIV/0!</v>
      </c>
      <c r="AW35" s="2">
        <f t="shared" ref="AW35:AW36" si="67">((AX35+AZ35)/365)</f>
        <v>0</v>
      </c>
      <c r="AX35" s="6"/>
      <c r="AY35" s="6"/>
      <c r="AZ35" s="4"/>
      <c r="BA35" s="4"/>
      <c r="BB35" s="10">
        <f t="shared" si="59"/>
        <v>0</v>
      </c>
      <c r="BC35" s="12"/>
      <c r="BD35" s="6"/>
      <c r="BE35" s="9"/>
      <c r="BF35" s="4" t="e">
        <f t="shared" si="47"/>
        <v>#DIV/0!</v>
      </c>
      <c r="BG35" s="4" t="e">
        <f t="shared" si="48"/>
        <v>#DIV/0!</v>
      </c>
      <c r="BH35" s="2">
        <f t="shared" ref="BH35:BH36" si="68">((BI35+BK35)/365)</f>
        <v>0</v>
      </c>
      <c r="BI35" s="6"/>
      <c r="BJ35" s="6"/>
      <c r="BK35" s="4"/>
      <c r="BL35" s="4"/>
      <c r="BM35" s="28">
        <f t="shared" si="49"/>
        <v>0</v>
      </c>
      <c r="BN35" s="12"/>
      <c r="BO35" s="6"/>
      <c r="BP35" s="9"/>
      <c r="BQ35" s="4" t="e">
        <f t="shared" si="50"/>
        <v>#DIV/0!</v>
      </c>
      <c r="BR35" s="4" t="e">
        <f t="shared" si="51"/>
        <v>#DIV/0!</v>
      </c>
      <c r="BS35" s="2">
        <f t="shared" ref="BS35:BS36" si="69">((BT35+BV35)/365)</f>
        <v>0</v>
      </c>
      <c r="BT35" s="6"/>
      <c r="BU35" s="6"/>
      <c r="BV35" s="4"/>
      <c r="BW35" s="4"/>
      <c r="BX35" s="28">
        <f t="shared" si="52"/>
        <v>0</v>
      </c>
    </row>
    <row r="36" spans="1:76" x14ac:dyDescent="0.2">
      <c r="A36" s="13" t="s">
        <v>7</v>
      </c>
      <c r="B36" s="13">
        <v>898</v>
      </c>
      <c r="C36" s="13">
        <v>1.4179999999999999</v>
      </c>
      <c r="D36" s="13">
        <v>4</v>
      </c>
      <c r="E36" s="7">
        <v>20600</v>
      </c>
      <c r="F36" s="6">
        <v>4472.375</v>
      </c>
      <c r="G36" s="4"/>
      <c r="H36" s="4">
        <f t="shared" si="42"/>
        <v>4.6060538304592082</v>
      </c>
      <c r="I36" s="4"/>
      <c r="J36" s="8">
        <f t="shared" si="40"/>
        <v>2070.2799999999997</v>
      </c>
      <c r="K36" s="12">
        <v>13739</v>
      </c>
      <c r="L36" s="8">
        <v>2936.625</v>
      </c>
      <c r="N36" s="4">
        <f t="shared" si="43"/>
        <v>4.6784999787170642</v>
      </c>
      <c r="O36" s="4"/>
      <c r="P36" s="2">
        <f t="shared" si="53"/>
        <v>4.9726027397260273</v>
      </c>
      <c r="Q36" s="6">
        <v>1322</v>
      </c>
      <c r="R36" s="6">
        <v>115</v>
      </c>
      <c r="S36" s="4">
        <v>493</v>
      </c>
      <c r="T36" s="6">
        <v>19</v>
      </c>
      <c r="U36" s="10">
        <f t="shared" si="23"/>
        <v>2528.7190000000001</v>
      </c>
      <c r="V36" s="12">
        <v>20158.8</v>
      </c>
      <c r="W36" s="6">
        <v>3619.625</v>
      </c>
      <c r="X36" s="9"/>
      <c r="Y36" s="4">
        <f t="shared" si="44"/>
        <v>5.5693062126601509</v>
      </c>
      <c r="Z36" s="4" t="e">
        <f t="shared" si="44"/>
        <v>#DIV/0!</v>
      </c>
      <c r="AA36" s="2">
        <f t="shared" si="54"/>
        <v>2.3863013698630136</v>
      </c>
      <c r="AB36" s="6">
        <f>1677-Q36</f>
        <v>355</v>
      </c>
      <c r="AC36" s="6">
        <f>116-19</f>
        <v>97</v>
      </c>
      <c r="AD36" s="4">
        <f>1009-S36</f>
        <v>516</v>
      </c>
      <c r="AE36" s="6">
        <f>27-19</f>
        <v>8</v>
      </c>
      <c r="AF36" s="10">
        <f t="shared" si="55"/>
        <v>1200.374</v>
      </c>
      <c r="AG36" s="12">
        <v>41264</v>
      </c>
      <c r="AH36" s="6">
        <v>4076.875</v>
      </c>
      <c r="AI36" s="9"/>
      <c r="AJ36" s="4">
        <f t="shared" si="45"/>
        <v>10.121477847616127</v>
      </c>
      <c r="AK36" s="4" t="e">
        <f t="shared" si="45"/>
        <v>#DIV/0!</v>
      </c>
      <c r="AL36" s="2">
        <f t="shared" si="66"/>
        <v>0</v>
      </c>
      <c r="AM36" s="6"/>
      <c r="AN36" s="6"/>
      <c r="AO36" s="4"/>
      <c r="AP36" s="6"/>
      <c r="AQ36" s="10">
        <f t="shared" si="57"/>
        <v>0</v>
      </c>
      <c r="AR36" s="12">
        <v>47162</v>
      </c>
      <c r="AS36" s="6">
        <v>9808.875</v>
      </c>
      <c r="AT36" s="9"/>
      <c r="AU36" s="4">
        <f t="shared" si="46"/>
        <v>4.8080947101476976</v>
      </c>
      <c r="AV36" s="4" t="e">
        <f t="shared" si="46"/>
        <v>#DIV/0!</v>
      </c>
      <c r="AW36" s="2">
        <f t="shared" si="67"/>
        <v>8.181369863013698</v>
      </c>
      <c r="AX36" s="6">
        <f>3310.75-AB36-Q36</f>
        <v>1633.75</v>
      </c>
      <c r="AY36" s="6"/>
      <c r="AZ36" s="6">
        <f>2361.45-AO36-AD36-S36</f>
        <v>1352.4499999999998</v>
      </c>
      <c r="BA36" s="6"/>
      <c r="BB36" s="10">
        <f t="shared" si="59"/>
        <v>4135.0320499999998</v>
      </c>
      <c r="BC36" s="12">
        <v>14496</v>
      </c>
      <c r="BD36" s="6">
        <v>3719.9789999999998</v>
      </c>
      <c r="BE36" s="9"/>
      <c r="BF36" s="4">
        <f t="shared" si="47"/>
        <v>3.8967961915914042</v>
      </c>
      <c r="BG36" s="4" t="e">
        <f t="shared" si="48"/>
        <v>#DIV/0!</v>
      </c>
      <c r="BH36" s="2">
        <f t="shared" si="68"/>
        <v>7.2004109589041096</v>
      </c>
      <c r="BI36" s="6">
        <f>4029.92-AX36-AM36-AB36</f>
        <v>2041.17</v>
      </c>
      <c r="BJ36" s="6"/>
      <c r="BK36" s="6">
        <f>2455.43-AZ36-AO36-AD36</f>
        <v>586.98</v>
      </c>
      <c r="BL36" s="6"/>
      <c r="BM36" s="28">
        <f t="shared" si="49"/>
        <v>3667.5908399999998</v>
      </c>
      <c r="BN36" s="12"/>
      <c r="BO36" s="6"/>
      <c r="BP36" s="9"/>
      <c r="BQ36" s="4" t="e">
        <f t="shared" si="50"/>
        <v>#DIV/0!</v>
      </c>
      <c r="BR36" s="4" t="e">
        <f t="shared" si="51"/>
        <v>#DIV/0!</v>
      </c>
      <c r="BS36" s="2">
        <f t="shared" si="69"/>
        <v>0</v>
      </c>
      <c r="BT36" s="6"/>
      <c r="BU36" s="6"/>
      <c r="BV36" s="4"/>
      <c r="BW36" s="6"/>
      <c r="BX36" s="28">
        <f t="shared" si="52"/>
        <v>0</v>
      </c>
    </row>
    <row r="37" spans="1:76" x14ac:dyDescent="0.2">
      <c r="A37" s="13" t="s">
        <v>7</v>
      </c>
      <c r="B37" s="13">
        <v>899</v>
      </c>
      <c r="C37" s="13">
        <v>1.4179999999999999</v>
      </c>
      <c r="D37" s="13">
        <v>4</v>
      </c>
      <c r="E37" s="7">
        <v>21253</v>
      </c>
      <c r="F37" s="6">
        <v>6958.8249999999998</v>
      </c>
      <c r="H37" s="4">
        <f t="shared" si="42"/>
        <v>3.0541075540770173</v>
      </c>
      <c r="I37" s="4"/>
      <c r="J37" s="8">
        <f t="shared" si="40"/>
        <v>2070.2799999999997</v>
      </c>
      <c r="K37" s="12">
        <v>4586</v>
      </c>
      <c r="L37" s="8">
        <v>458.625</v>
      </c>
      <c r="N37" s="4">
        <f t="shared" si="43"/>
        <v>9.9994548923412374</v>
      </c>
      <c r="O37" s="4"/>
      <c r="P37" s="2">
        <f t="shared" si="53"/>
        <v>1.8904109589041096</v>
      </c>
      <c r="Q37" s="6">
        <v>545</v>
      </c>
      <c r="R37" s="6">
        <v>79</v>
      </c>
      <c r="S37" s="6">
        <v>145</v>
      </c>
      <c r="T37" s="6">
        <v>4</v>
      </c>
      <c r="U37" s="10">
        <f t="shared" si="23"/>
        <v>963.32499999999993</v>
      </c>
      <c r="V37" s="12">
        <v>5518.8</v>
      </c>
      <c r="W37" s="6">
        <v>1404.25</v>
      </c>
      <c r="X37" s="9"/>
      <c r="Y37" s="4">
        <f t="shared" si="44"/>
        <v>3.9300694320811824</v>
      </c>
      <c r="Z37" s="4" t="e">
        <f t="shared" si="44"/>
        <v>#DIV/0!</v>
      </c>
      <c r="AA37" s="2"/>
      <c r="AF37" s="10">
        <f t="shared" si="55"/>
        <v>0</v>
      </c>
      <c r="AG37" s="12" t="s">
        <v>46</v>
      </c>
      <c r="AH37" s="6"/>
      <c r="AI37" s="9"/>
      <c r="AJ37" s="4" t="e">
        <f t="shared" si="45"/>
        <v>#VALUE!</v>
      </c>
      <c r="AK37" s="4" t="e">
        <f t="shared" si="45"/>
        <v>#DIV/0!</v>
      </c>
      <c r="AL37" s="2"/>
      <c r="AM37" s="6"/>
      <c r="AN37" s="6"/>
      <c r="AO37" s="6"/>
      <c r="AP37" s="6"/>
      <c r="AQ37" s="10">
        <f t="shared" si="57"/>
        <v>0</v>
      </c>
      <c r="AR37" s="12"/>
      <c r="AS37" s="6"/>
      <c r="AT37" s="9"/>
      <c r="AU37" s="4" t="e">
        <f t="shared" si="46"/>
        <v>#DIV/0!</v>
      </c>
      <c r="AV37" s="4" t="e">
        <f t="shared" si="46"/>
        <v>#DIV/0!</v>
      </c>
      <c r="AW37" s="2"/>
      <c r="AX37" s="6"/>
      <c r="AY37" s="6"/>
      <c r="AZ37" s="6"/>
      <c r="BA37" s="6"/>
      <c r="BB37" s="10">
        <f t="shared" si="59"/>
        <v>0</v>
      </c>
      <c r="BC37" s="12"/>
      <c r="BD37" s="6"/>
      <c r="BE37" s="9"/>
      <c r="BF37" s="4" t="e">
        <f t="shared" si="47"/>
        <v>#DIV/0!</v>
      </c>
      <c r="BG37" s="4" t="e">
        <f t="shared" si="48"/>
        <v>#DIV/0!</v>
      </c>
      <c r="BH37" s="2"/>
      <c r="BI37" s="6"/>
      <c r="BJ37" s="6"/>
      <c r="BK37" s="6"/>
      <c r="BL37" s="6"/>
      <c r="BM37" s="28">
        <f t="shared" si="49"/>
        <v>0</v>
      </c>
      <c r="BN37" s="12"/>
      <c r="BO37" s="6"/>
      <c r="BP37" s="9"/>
      <c r="BQ37" s="4" t="e">
        <f t="shared" si="50"/>
        <v>#DIV/0!</v>
      </c>
      <c r="BR37" s="4" t="e">
        <f t="shared" si="51"/>
        <v>#DIV/0!</v>
      </c>
      <c r="BS37" s="2"/>
      <c r="BT37" s="6"/>
      <c r="BU37" s="6"/>
      <c r="BV37" s="6"/>
      <c r="BW37" s="6"/>
      <c r="BX37" s="28">
        <f t="shared" si="52"/>
        <v>0</v>
      </c>
    </row>
    <row r="38" spans="1:76" x14ac:dyDescent="0.2">
      <c r="A38" s="13" t="s">
        <v>7</v>
      </c>
      <c r="B38" s="13">
        <v>2965</v>
      </c>
      <c r="C38" s="13">
        <v>1.4179999999999999</v>
      </c>
      <c r="D38" s="13">
        <v>4</v>
      </c>
      <c r="E38" s="7">
        <v>2210.1</v>
      </c>
      <c r="F38" s="6">
        <v>573</v>
      </c>
      <c r="G38" s="4"/>
      <c r="H38" s="4">
        <f t="shared" si="42"/>
        <v>3.8570680628272251</v>
      </c>
      <c r="I38" s="4"/>
      <c r="J38" s="8">
        <f t="shared" si="40"/>
        <v>2070.2799999999997</v>
      </c>
      <c r="K38" s="12">
        <v>16544.400000000001</v>
      </c>
      <c r="L38" s="8">
        <v>3209.375</v>
      </c>
      <c r="N38" s="4">
        <f t="shared" si="43"/>
        <v>5.1550223953261929</v>
      </c>
      <c r="O38" s="4"/>
      <c r="P38" s="2">
        <f t="shared" si="53"/>
        <v>18.30958904109589</v>
      </c>
      <c r="Q38" s="4">
        <v>6683</v>
      </c>
      <c r="R38" s="4">
        <v>604</v>
      </c>
      <c r="S38" s="4"/>
      <c r="T38" s="4"/>
      <c r="U38" s="10">
        <f>((Q38+S38)*C38)-((S38*0.059)+(Q38*0.012))</f>
        <v>9396.2979999999989</v>
      </c>
      <c r="V38" s="12">
        <v>12081.2</v>
      </c>
      <c r="W38" s="8">
        <v>2548.25</v>
      </c>
      <c r="Y38" s="4">
        <f t="shared" si="44"/>
        <v>4.7409791033061905</v>
      </c>
      <c r="Z38" s="4" t="e">
        <f t="shared" si="44"/>
        <v>#DIV/0!</v>
      </c>
      <c r="AA38" s="2">
        <f t="shared" si="54"/>
        <v>0.90410958904109584</v>
      </c>
      <c r="AB38" s="4">
        <f>7013-Q38</f>
        <v>330</v>
      </c>
      <c r="AC38" s="4">
        <f>654-R38</f>
        <v>50</v>
      </c>
      <c r="AD38" s="4"/>
      <c r="AE38" s="4"/>
      <c r="AF38" s="10">
        <f t="shared" si="55"/>
        <v>463.98</v>
      </c>
      <c r="AG38" s="12">
        <v>15948</v>
      </c>
      <c r="AH38" s="8">
        <v>3041.875</v>
      </c>
      <c r="AI38" s="6"/>
      <c r="AJ38" s="4">
        <f t="shared" si="45"/>
        <v>5.2428189850010272</v>
      </c>
      <c r="AK38" s="4" t="e">
        <f t="shared" si="45"/>
        <v>#DIV/0!</v>
      </c>
      <c r="AL38" s="2">
        <f t="shared" ref="AL38:AL42" si="70">((AM38+AO38)/365)</f>
        <v>0</v>
      </c>
      <c r="AM38" s="4"/>
      <c r="AN38" s="4"/>
      <c r="AO38" s="4"/>
      <c r="AP38" s="4"/>
      <c r="AQ38" s="10">
        <f t="shared" si="57"/>
        <v>0</v>
      </c>
      <c r="AR38" s="12">
        <v>16243.7</v>
      </c>
      <c r="AS38" s="8">
        <v>3641.75</v>
      </c>
      <c r="AT38" s="6"/>
      <c r="AU38" s="4">
        <f t="shared" si="46"/>
        <v>4.4604105169218098</v>
      </c>
      <c r="AV38" s="4" t="e">
        <f t="shared" si="46"/>
        <v>#DIV/0!</v>
      </c>
      <c r="AW38" s="2">
        <f t="shared" ref="AW38:AW47" si="71">((AX38+AZ38)/365)</f>
        <v>0.57980821917808223</v>
      </c>
      <c r="AX38" s="4"/>
      <c r="AY38" s="4"/>
      <c r="AZ38" s="6">
        <f>211.63-AO38-AD38-S38</f>
        <v>211.63</v>
      </c>
      <c r="BA38" s="4"/>
      <c r="BB38" s="10">
        <f t="shared" si="59"/>
        <v>287.60516999999999</v>
      </c>
      <c r="BC38" s="12">
        <v>13765</v>
      </c>
      <c r="BD38" s="8">
        <v>3505.018</v>
      </c>
      <c r="BE38" s="6"/>
      <c r="BF38" s="4">
        <f t="shared" si="47"/>
        <v>3.9272266219460215</v>
      </c>
      <c r="BG38" s="4" t="e">
        <f t="shared" si="48"/>
        <v>#DIV/0!</v>
      </c>
      <c r="BH38" s="2">
        <f t="shared" ref="BH38:BH45" si="72">((BI38+BK38)/365)</f>
        <v>0.79408219178082196</v>
      </c>
      <c r="BI38" s="6"/>
      <c r="BJ38" s="4"/>
      <c r="BK38" s="6">
        <f>501.47-AZ38-AO38-AD38</f>
        <v>289.84000000000003</v>
      </c>
      <c r="BL38" s="4"/>
      <c r="BM38" s="28">
        <f t="shared" si="49"/>
        <v>393.89256</v>
      </c>
      <c r="BN38" s="12"/>
      <c r="BO38" s="8"/>
      <c r="BP38" s="6"/>
      <c r="BQ38" s="4" t="e">
        <f t="shared" si="50"/>
        <v>#DIV/0!</v>
      </c>
      <c r="BR38" s="4" t="e">
        <f t="shared" si="51"/>
        <v>#DIV/0!</v>
      </c>
      <c r="BS38" s="2">
        <f t="shared" ref="BS38:BS42" si="73">((BT38+BV38)/365)</f>
        <v>0</v>
      </c>
      <c r="BT38" s="4"/>
      <c r="BU38" s="4"/>
      <c r="BV38" s="4"/>
      <c r="BW38" s="4"/>
      <c r="BX38" s="28">
        <f t="shared" si="52"/>
        <v>0</v>
      </c>
    </row>
    <row r="39" spans="1:76" x14ac:dyDescent="0.2">
      <c r="A39" s="13" t="s">
        <v>7</v>
      </c>
      <c r="B39" s="13">
        <v>2966</v>
      </c>
      <c r="C39" s="13">
        <v>1.4179999999999999</v>
      </c>
      <c r="D39" s="13">
        <v>4</v>
      </c>
      <c r="E39" s="7">
        <v>11467.1</v>
      </c>
      <c r="F39" s="6">
        <v>2100.625</v>
      </c>
      <c r="G39" s="4"/>
      <c r="H39" s="4">
        <f t="shared" si="42"/>
        <v>5.4588991371615592</v>
      </c>
      <c r="I39" s="4"/>
      <c r="J39" s="8">
        <f t="shared" si="40"/>
        <v>2070.2799999999997</v>
      </c>
      <c r="K39" s="12">
        <v>9744.2000000000007</v>
      </c>
      <c r="L39" s="8">
        <v>1938.125</v>
      </c>
      <c r="N39" s="4">
        <f t="shared" si="43"/>
        <v>5.0276426959045475</v>
      </c>
      <c r="O39" s="4"/>
      <c r="P39" s="2">
        <f t="shared" si="53"/>
        <v>11.586301369863014</v>
      </c>
      <c r="Q39" s="6">
        <v>4188</v>
      </c>
      <c r="R39" s="6">
        <v>458</v>
      </c>
      <c r="S39" s="6">
        <v>41</v>
      </c>
      <c r="T39" s="6">
        <v>1</v>
      </c>
      <c r="U39" s="10">
        <f t="shared" ref="U39:U47" si="74">((Q39+S39)*C39)-((S39*0.059)+(Q39*0.012))</f>
        <v>5944.0469999999996</v>
      </c>
      <c r="V39" s="12">
        <v>8374.5</v>
      </c>
      <c r="W39" s="8">
        <v>1667.625</v>
      </c>
      <c r="Y39" s="4">
        <f t="shared" si="44"/>
        <v>5.0218124578367442</v>
      </c>
      <c r="Z39" s="4" t="e">
        <f t="shared" si="44"/>
        <v>#DIV/0!</v>
      </c>
      <c r="AA39" s="2">
        <f t="shared" si="54"/>
        <v>0.50410958904109593</v>
      </c>
      <c r="AD39" s="6">
        <f>225-S39</f>
        <v>184</v>
      </c>
      <c r="AE39" s="6">
        <f>5-T39</f>
        <v>4</v>
      </c>
      <c r="AF39" s="10">
        <f t="shared" si="55"/>
        <v>250.05599999999998</v>
      </c>
      <c r="AG39" s="12">
        <v>10669</v>
      </c>
      <c r="AH39" s="8">
        <v>2021.875</v>
      </c>
      <c r="AI39" s="6"/>
      <c r="AJ39" s="4">
        <f t="shared" si="45"/>
        <v>5.2767851622874806</v>
      </c>
      <c r="AK39" s="4" t="e">
        <f t="shared" si="45"/>
        <v>#DIV/0!</v>
      </c>
      <c r="AL39" s="2">
        <f t="shared" si="70"/>
        <v>0.98630136986301364</v>
      </c>
      <c r="AM39" s="4">
        <f>4380-AB39-Q39</f>
        <v>192</v>
      </c>
      <c r="AN39" s="4">
        <f>526-AC39-R39</f>
        <v>68</v>
      </c>
      <c r="AO39" s="6">
        <f>393-AD39-S39</f>
        <v>168</v>
      </c>
      <c r="AP39" s="6">
        <v>15</v>
      </c>
      <c r="AQ39" s="10">
        <f t="shared" si="57"/>
        <v>498.26399999999995</v>
      </c>
      <c r="AR39" s="12"/>
      <c r="AS39" s="8"/>
      <c r="AT39" s="6"/>
      <c r="AU39" s="4" t="e">
        <f t="shared" si="46"/>
        <v>#DIV/0!</v>
      </c>
      <c r="AV39" s="4" t="e">
        <f t="shared" si="46"/>
        <v>#DIV/0!</v>
      </c>
      <c r="AW39" s="2">
        <f t="shared" si="71"/>
        <v>0</v>
      </c>
      <c r="AX39" s="6"/>
      <c r="AY39" s="6"/>
      <c r="AZ39" s="6"/>
      <c r="BA39" s="6"/>
      <c r="BB39" s="10">
        <f t="shared" si="59"/>
        <v>0</v>
      </c>
      <c r="BC39" s="12"/>
      <c r="BD39" s="8"/>
      <c r="BE39" s="6"/>
      <c r="BF39" s="4" t="e">
        <f t="shared" si="47"/>
        <v>#DIV/0!</v>
      </c>
      <c r="BG39" s="4" t="e">
        <f t="shared" si="48"/>
        <v>#DIV/0!</v>
      </c>
      <c r="BH39" s="2">
        <f t="shared" si="72"/>
        <v>0</v>
      </c>
      <c r="BI39" s="6"/>
      <c r="BJ39" s="6"/>
      <c r="BK39" s="6"/>
      <c r="BL39" s="6"/>
      <c r="BM39" s="28">
        <f t="shared" si="49"/>
        <v>0</v>
      </c>
      <c r="BN39" s="12"/>
      <c r="BO39" s="8"/>
      <c r="BP39" s="6"/>
      <c r="BQ39" s="4" t="e">
        <f t="shared" si="50"/>
        <v>#DIV/0!</v>
      </c>
      <c r="BR39" s="4" t="e">
        <f t="shared" si="51"/>
        <v>#DIV/0!</v>
      </c>
      <c r="BS39" s="2">
        <f t="shared" si="73"/>
        <v>0</v>
      </c>
      <c r="BT39" s="6"/>
      <c r="BU39" s="6"/>
      <c r="BV39" s="6"/>
      <c r="BW39" s="6"/>
      <c r="BX39" s="28">
        <f t="shared" si="52"/>
        <v>0</v>
      </c>
    </row>
    <row r="40" spans="1:76" x14ac:dyDescent="0.2">
      <c r="A40" s="13" t="s">
        <v>7</v>
      </c>
      <c r="B40" s="13">
        <v>2967</v>
      </c>
      <c r="C40" s="13">
        <v>1.4179999999999999</v>
      </c>
      <c r="D40" s="13">
        <v>4</v>
      </c>
      <c r="E40" s="7">
        <v>13692.4</v>
      </c>
      <c r="F40" s="6">
        <v>4465.95</v>
      </c>
      <c r="H40" s="4">
        <f t="shared" si="42"/>
        <v>3.0659546121206014</v>
      </c>
      <c r="I40" s="4"/>
      <c r="J40" s="8">
        <f t="shared" si="40"/>
        <v>2070.2799999999997</v>
      </c>
      <c r="K40" s="12">
        <v>15061.5</v>
      </c>
      <c r="L40" s="8">
        <v>1737.5</v>
      </c>
      <c r="N40" s="4">
        <f t="shared" si="43"/>
        <v>8.668489208633094</v>
      </c>
      <c r="O40" s="4"/>
      <c r="P40" s="2">
        <f t="shared" si="53"/>
        <v>17.515068493150686</v>
      </c>
      <c r="Q40" s="6">
        <v>5726</v>
      </c>
      <c r="R40" s="6">
        <v>620</v>
      </c>
      <c r="S40" s="6">
        <v>667</v>
      </c>
      <c r="T40" s="6">
        <v>37</v>
      </c>
      <c r="U40" s="10">
        <f t="shared" si="74"/>
        <v>8957.2089999999989</v>
      </c>
      <c r="V40" s="12">
        <v>10585.8</v>
      </c>
      <c r="W40" s="8">
        <v>2030.75</v>
      </c>
      <c r="Y40" s="4">
        <f t="shared" si="44"/>
        <v>5.2127539086544372</v>
      </c>
      <c r="Z40" s="4" t="e">
        <f t="shared" si="44"/>
        <v>#DIV/0!</v>
      </c>
      <c r="AA40" s="2">
        <f t="shared" si="54"/>
        <v>1.6958904109589041</v>
      </c>
      <c r="AB40" s="6">
        <f>6235-Q40</f>
        <v>509</v>
      </c>
      <c r="AC40" s="6">
        <f>657-R40</f>
        <v>37</v>
      </c>
      <c r="AD40" s="6">
        <f>110</f>
        <v>110</v>
      </c>
      <c r="AE40" s="6">
        <v>2</v>
      </c>
      <c r="AF40" s="10">
        <f t="shared" si="55"/>
        <v>865.14400000000001</v>
      </c>
      <c r="AG40" s="12">
        <v>10584</v>
      </c>
      <c r="AH40" s="8">
        <v>1984.875</v>
      </c>
      <c r="AI40" s="6"/>
      <c r="AJ40" s="4">
        <f t="shared" si="45"/>
        <v>5.3323257132061217</v>
      </c>
      <c r="AK40" s="4" t="e">
        <f t="shared" si="45"/>
        <v>#DIV/0!</v>
      </c>
      <c r="AL40" s="2">
        <f t="shared" si="70"/>
        <v>1.8849315068493151</v>
      </c>
      <c r="AM40" s="6">
        <f>6864-AB40-Q40</f>
        <v>629</v>
      </c>
      <c r="AN40" s="6">
        <f>824-AC40-R40</f>
        <v>167</v>
      </c>
      <c r="AO40" s="6">
        <f>836-AD40-S40</f>
        <v>59</v>
      </c>
      <c r="AP40" s="6">
        <v>14</v>
      </c>
      <c r="AQ40" s="10">
        <f t="shared" si="57"/>
        <v>964.55499999999995</v>
      </c>
      <c r="AR40" s="12">
        <v>0</v>
      </c>
      <c r="AS40" s="8">
        <v>0</v>
      </c>
      <c r="AT40" s="6"/>
      <c r="AU40" s="4" t="e">
        <f t="shared" si="46"/>
        <v>#DIV/0!</v>
      </c>
      <c r="AV40" s="4" t="e">
        <f t="shared" si="46"/>
        <v>#DIV/0!</v>
      </c>
      <c r="AW40" s="2">
        <f t="shared" si="71"/>
        <v>0.96063013698630073</v>
      </c>
      <c r="AX40" s="6">
        <f>7076.2-AM40-AB40-Q40</f>
        <v>212.19999999999982</v>
      </c>
      <c r="AY40" s="6"/>
      <c r="AZ40" s="6">
        <f>974.43-AO40-AD40-S40</f>
        <v>138.42999999999995</v>
      </c>
      <c r="BA40" s="6"/>
      <c r="BB40" s="10">
        <f t="shared" si="59"/>
        <v>486.47956999999963</v>
      </c>
      <c r="BC40" s="12">
        <v>6607</v>
      </c>
      <c r="BD40" s="8">
        <v>1781</v>
      </c>
      <c r="BE40" s="6"/>
      <c r="BF40" s="4">
        <f t="shared" si="47"/>
        <v>3.7097136440202134</v>
      </c>
      <c r="BG40" s="4" t="e">
        <f t="shared" si="48"/>
        <v>#DIV/0!</v>
      </c>
      <c r="BH40" s="2">
        <f t="shared" si="72"/>
        <v>17.664019178082192</v>
      </c>
      <c r="BI40" s="6">
        <f>7505.067-AX40-AM40-AB40</f>
        <v>6154.8670000000002</v>
      </c>
      <c r="BJ40" s="6"/>
      <c r="BK40" s="6">
        <f>599.93-AZ40-AO40-AD40</f>
        <v>292.5</v>
      </c>
      <c r="BL40" s="6"/>
      <c r="BM40" s="28">
        <f t="shared" si="49"/>
        <v>9051.250501999999</v>
      </c>
      <c r="BN40" s="12"/>
      <c r="BO40" s="8"/>
      <c r="BP40" s="6"/>
      <c r="BQ40" s="4" t="e">
        <f t="shared" si="50"/>
        <v>#DIV/0!</v>
      </c>
      <c r="BR40" s="4" t="e">
        <f t="shared" si="51"/>
        <v>#DIV/0!</v>
      </c>
      <c r="BS40" s="2">
        <f t="shared" si="73"/>
        <v>0</v>
      </c>
      <c r="BT40" s="6"/>
      <c r="BU40" s="6"/>
      <c r="BV40" s="6"/>
      <c r="BW40" s="6"/>
      <c r="BX40" s="28">
        <f t="shared" si="52"/>
        <v>0</v>
      </c>
    </row>
    <row r="41" spans="1:76" x14ac:dyDescent="0.2">
      <c r="A41" s="13" t="s">
        <v>7</v>
      </c>
      <c r="B41" s="13">
        <v>2968</v>
      </c>
      <c r="C41" s="13">
        <v>1.4179999999999999</v>
      </c>
      <c r="D41" s="13">
        <v>4</v>
      </c>
      <c r="E41" s="7">
        <v>9733.7000000000007</v>
      </c>
      <c r="F41" s="6">
        <v>2170.3249999999998</v>
      </c>
      <c r="H41" s="4">
        <f t="shared" si="42"/>
        <v>4.4849043346042654</v>
      </c>
      <c r="I41" s="4"/>
      <c r="J41" s="8">
        <f t="shared" si="40"/>
        <v>2070.2799999999997</v>
      </c>
      <c r="K41" s="12">
        <v>7664.5</v>
      </c>
      <c r="L41" s="8">
        <v>1264.125</v>
      </c>
      <c r="N41" s="4">
        <f t="shared" si="43"/>
        <v>6.06308711559379</v>
      </c>
      <c r="O41" s="4"/>
      <c r="P41" s="2">
        <f t="shared" si="53"/>
        <v>8.4410958904109581</v>
      </c>
      <c r="Q41" s="6">
        <v>2791</v>
      </c>
      <c r="R41" s="6">
        <v>297</v>
      </c>
      <c r="S41" s="6">
        <v>290</v>
      </c>
      <c r="T41" s="6">
        <v>4.22</v>
      </c>
      <c r="U41" s="10">
        <f t="shared" si="74"/>
        <v>4318.2560000000003</v>
      </c>
      <c r="V41" s="12">
        <v>8744.2000000000007</v>
      </c>
      <c r="W41" s="8">
        <v>1410.25</v>
      </c>
      <c r="X41" s="13"/>
      <c r="Y41" s="4">
        <f t="shared" si="44"/>
        <v>6.2004609111859601</v>
      </c>
      <c r="Z41" s="4" t="e">
        <f t="shared" si="44"/>
        <v>#DIV/0!</v>
      </c>
      <c r="AA41" s="2">
        <f t="shared" si="54"/>
        <v>1.515068493150685</v>
      </c>
      <c r="AB41" s="6">
        <f>3344-Q41</f>
        <v>553</v>
      </c>
      <c r="AC41" s="6">
        <f>330-R41</f>
        <v>33</v>
      </c>
      <c r="AF41" s="10">
        <f t="shared" si="55"/>
        <v>777.51800000000003</v>
      </c>
      <c r="AG41" s="12">
        <v>8620</v>
      </c>
      <c r="AH41" s="8">
        <v>1311.875</v>
      </c>
      <c r="AJ41" s="4">
        <f t="shared" si="45"/>
        <v>6.5707479752262978</v>
      </c>
      <c r="AK41" s="4" t="e">
        <f t="shared" si="45"/>
        <v>#DIV/0!</v>
      </c>
      <c r="AL41" s="2">
        <f t="shared" si="70"/>
        <v>2.9808219178082194</v>
      </c>
      <c r="AM41" s="6">
        <f>3608-AB41-Q41</f>
        <v>264</v>
      </c>
      <c r="AN41" s="6">
        <f>433-AC41-R41</f>
        <v>103</v>
      </c>
      <c r="AO41" s="6">
        <f>1114-S41-AD41</f>
        <v>824</v>
      </c>
      <c r="AP41" s="6">
        <v>67</v>
      </c>
      <c r="AQ41" s="10">
        <f t="shared" si="57"/>
        <v>1490.9999999999998</v>
      </c>
      <c r="AR41" s="12">
        <v>9690.7999999999993</v>
      </c>
      <c r="AS41" s="8">
        <v>1493</v>
      </c>
      <c r="AU41" s="4">
        <f t="shared" si="46"/>
        <v>6.4908238446081707</v>
      </c>
      <c r="AV41" s="4" t="e">
        <f t="shared" si="46"/>
        <v>#DIV/0!</v>
      </c>
      <c r="AW41" s="2">
        <f t="shared" si="71"/>
        <v>9.2958904109588597E-2</v>
      </c>
      <c r="AX41" s="6">
        <f>3641.93-AM41-AB41-Q41</f>
        <v>33.929999999999836</v>
      </c>
      <c r="AY41" s="6"/>
      <c r="AZ41" s="6"/>
      <c r="BA41" s="6"/>
      <c r="BB41" s="10">
        <f t="shared" si="59"/>
        <v>47.70557999999977</v>
      </c>
      <c r="BC41" s="12">
        <v>18443</v>
      </c>
      <c r="BD41" s="8">
        <v>3092.97</v>
      </c>
      <c r="BF41" s="4">
        <f t="shared" si="47"/>
        <v>5.9628771051772249</v>
      </c>
      <c r="BG41" s="4" t="e">
        <f t="shared" si="48"/>
        <v>#DIV/0!</v>
      </c>
      <c r="BH41" s="2">
        <f t="shared" si="72"/>
        <v>9.4088219178082202</v>
      </c>
      <c r="BI41" s="6">
        <f>3788.47-AX41-AM41-AB41</f>
        <v>2937.54</v>
      </c>
      <c r="BJ41" s="6"/>
      <c r="BK41" s="6">
        <f>1320.68-AZ41-AO41-AD41</f>
        <v>496.68000000000006</v>
      </c>
      <c r="BL41" s="6"/>
      <c r="BM41" s="28">
        <f t="shared" si="49"/>
        <v>4805.1693599999999</v>
      </c>
      <c r="BN41" s="12"/>
      <c r="BO41" s="8"/>
      <c r="BQ41" s="4" t="e">
        <f t="shared" si="50"/>
        <v>#DIV/0!</v>
      </c>
      <c r="BR41" s="4" t="e">
        <f t="shared" si="51"/>
        <v>#DIV/0!</v>
      </c>
      <c r="BS41" s="2">
        <f t="shared" si="73"/>
        <v>0</v>
      </c>
      <c r="BT41" s="6"/>
      <c r="BU41" s="6"/>
      <c r="BV41" s="6"/>
      <c r="BW41" s="6"/>
      <c r="BX41" s="28">
        <f t="shared" si="52"/>
        <v>0</v>
      </c>
    </row>
    <row r="42" spans="1:76" x14ac:dyDescent="0.2">
      <c r="A42" s="13" t="s">
        <v>7</v>
      </c>
      <c r="B42" s="13">
        <v>2971</v>
      </c>
      <c r="C42" s="13">
        <v>1.4179999999999999</v>
      </c>
      <c r="D42" s="13">
        <v>4</v>
      </c>
      <c r="E42" s="7">
        <v>7198.7</v>
      </c>
      <c r="F42" s="6">
        <v>1352.625</v>
      </c>
      <c r="H42" s="4">
        <f t="shared" si="42"/>
        <v>5.3220219942703997</v>
      </c>
      <c r="I42" s="4"/>
      <c r="J42" s="8">
        <f t="shared" si="40"/>
        <v>2070.2799999999997</v>
      </c>
      <c r="K42" s="12">
        <v>9399.5</v>
      </c>
      <c r="L42" s="8">
        <v>1526</v>
      </c>
      <c r="N42" s="4">
        <f t="shared" si="43"/>
        <v>6.1595674967234597</v>
      </c>
      <c r="O42" s="4"/>
      <c r="P42" s="2">
        <f t="shared" si="53"/>
        <v>12.287671232876713</v>
      </c>
      <c r="Q42" s="6">
        <v>4485</v>
      </c>
      <c r="R42" s="6">
        <v>485</v>
      </c>
      <c r="U42" s="10">
        <f>((Q42+S42)*C42)-((S42*0.059)+(Q42*0.012))</f>
        <v>6305.91</v>
      </c>
      <c r="V42" s="12">
        <v>10147.200000000001</v>
      </c>
      <c r="W42" s="8">
        <v>1747.125</v>
      </c>
      <c r="X42" s="13"/>
      <c r="Y42" s="4">
        <f t="shared" si="44"/>
        <v>5.8079416183730421</v>
      </c>
      <c r="Z42" s="4" t="e">
        <f t="shared" si="44"/>
        <v>#DIV/0!</v>
      </c>
      <c r="AA42" s="2">
        <f t="shared" si="54"/>
        <v>0.83835616438356164</v>
      </c>
      <c r="AB42" s="6">
        <f>4791-Q42</f>
        <v>306</v>
      </c>
      <c r="AC42" s="6">
        <v>33</v>
      </c>
      <c r="AF42" s="10">
        <f>((AB42+AD42)*C43)-((AD42*0.059)+(AB42*0.012))</f>
        <v>430.23599999999993</v>
      </c>
      <c r="AG42" s="12">
        <v>9298</v>
      </c>
      <c r="AH42" s="8">
        <v>1619.5</v>
      </c>
      <c r="AJ42" s="4">
        <f t="shared" si="45"/>
        <v>5.7412781722753934</v>
      </c>
      <c r="AK42" s="4" t="e">
        <f t="shared" si="45"/>
        <v>#DIV/0!</v>
      </c>
      <c r="AL42" s="2">
        <f t="shared" si="70"/>
        <v>0</v>
      </c>
      <c r="AM42" s="6"/>
      <c r="AN42" s="6"/>
      <c r="AO42" s="6"/>
      <c r="AP42" s="6"/>
      <c r="AQ42" s="10">
        <f t="shared" si="57"/>
        <v>0</v>
      </c>
      <c r="AR42" s="12">
        <v>11512.3</v>
      </c>
      <c r="AS42" s="8">
        <v>2188.25</v>
      </c>
      <c r="AU42" s="4">
        <f t="shared" si="46"/>
        <v>5.260961955900834</v>
      </c>
      <c r="AV42" s="4" t="e">
        <f t="shared" si="46"/>
        <v>#DIV/0!</v>
      </c>
      <c r="AW42" s="2">
        <f t="shared" si="71"/>
        <v>3.5428219178082183</v>
      </c>
      <c r="AX42" s="6">
        <f>5127.2-AM42-AB42-Q42</f>
        <v>336.19999999999982</v>
      </c>
      <c r="AY42" s="6"/>
      <c r="AZ42" s="6">
        <f>956.93-AO42-AD42-S42</f>
        <v>956.93</v>
      </c>
      <c r="BA42" s="6"/>
      <c r="BB42" s="10">
        <f>((AX42+AZ42)*C42)-((AZ42*0.059)+(AX42*0.012))</f>
        <v>1773.1650699999996</v>
      </c>
      <c r="BC42" s="12">
        <v>9367</v>
      </c>
      <c r="BD42" s="8">
        <v>1660.127</v>
      </c>
      <c r="BF42" s="4">
        <f t="shared" si="47"/>
        <v>5.6423394113823822</v>
      </c>
      <c r="BG42" s="4" t="e">
        <f t="shared" si="48"/>
        <v>#DIV/0!</v>
      </c>
      <c r="BH42" s="2">
        <f t="shared" si="72"/>
        <v>13.648967123287671</v>
      </c>
      <c r="BI42" s="6">
        <f>5272.333-AX42-AM42-AB42</f>
        <v>4630.1329999999998</v>
      </c>
      <c r="BJ42" s="6"/>
      <c r="BK42" s="6">
        <f>1308.67-AZ42-AO42-AD42</f>
        <v>351.74000000000012</v>
      </c>
      <c r="BL42" s="6"/>
      <c r="BM42" s="28">
        <f t="shared" si="49"/>
        <v>6987.9816579999997</v>
      </c>
      <c r="BN42" s="12"/>
      <c r="BO42" s="8"/>
      <c r="BQ42" s="4" t="e">
        <f t="shared" si="50"/>
        <v>#DIV/0!</v>
      </c>
      <c r="BR42" s="4" t="e">
        <f t="shared" si="51"/>
        <v>#DIV/0!</v>
      </c>
      <c r="BS42" s="2">
        <f t="shared" si="73"/>
        <v>0</v>
      </c>
      <c r="BT42" s="6"/>
      <c r="BU42" s="6"/>
      <c r="BV42" s="6"/>
      <c r="BW42" s="6"/>
      <c r="BX42" s="28">
        <f t="shared" si="52"/>
        <v>0</v>
      </c>
    </row>
    <row r="43" spans="1:76" x14ac:dyDescent="0.2">
      <c r="A43" s="13" t="s">
        <v>7</v>
      </c>
      <c r="B43" s="13">
        <v>771</v>
      </c>
      <c r="C43" s="13">
        <v>1.4179999999999999</v>
      </c>
      <c r="D43" s="13">
        <v>4</v>
      </c>
      <c r="E43" s="7"/>
      <c r="H43" s="4" t="e">
        <f t="shared" si="42"/>
        <v>#DIV/0!</v>
      </c>
      <c r="I43" s="4"/>
      <c r="J43" s="8">
        <f t="shared" si="40"/>
        <v>2070.2799999999997</v>
      </c>
      <c r="K43" s="12"/>
      <c r="L43" s="8"/>
      <c r="N43" s="4" t="e">
        <f t="shared" si="43"/>
        <v>#DIV/0!</v>
      </c>
      <c r="O43" s="4"/>
      <c r="P43" s="2">
        <f t="shared" si="53"/>
        <v>0</v>
      </c>
      <c r="U43" s="10">
        <f t="shared" si="74"/>
        <v>0</v>
      </c>
      <c r="V43" s="12"/>
      <c r="W43" s="8"/>
      <c r="X43" s="13"/>
      <c r="Y43" s="4" t="e">
        <f t="shared" si="44"/>
        <v>#DIV/0!</v>
      </c>
      <c r="Z43" s="4" t="e">
        <f t="shared" si="44"/>
        <v>#DIV/0!</v>
      </c>
      <c r="AA43" s="2"/>
      <c r="AF43" s="10">
        <f t="shared" si="55"/>
        <v>0</v>
      </c>
      <c r="AG43" s="12">
        <v>15144</v>
      </c>
      <c r="AH43" s="8">
        <v>2803.75</v>
      </c>
      <c r="AJ43" s="4">
        <f t="shared" si="45"/>
        <v>5.4013374944271062</v>
      </c>
      <c r="AK43" s="4" t="e">
        <f t="shared" si="45"/>
        <v>#DIV/0!</v>
      </c>
      <c r="AL43" s="2"/>
      <c r="AM43" s="6"/>
      <c r="AN43" s="6"/>
      <c r="AO43" s="6"/>
      <c r="AP43" s="6"/>
      <c r="AQ43" s="10">
        <f t="shared" si="57"/>
        <v>0</v>
      </c>
      <c r="AR43" s="12">
        <v>15601.7</v>
      </c>
      <c r="AS43" s="8">
        <v>2972</v>
      </c>
      <c r="AU43" s="4">
        <f t="shared" si="46"/>
        <v>5.249562584118439</v>
      </c>
      <c r="AV43" s="4" t="e">
        <f t="shared" si="46"/>
        <v>#DIV/0!</v>
      </c>
      <c r="AW43" s="2">
        <f t="shared" si="71"/>
        <v>1.7265753424657535</v>
      </c>
      <c r="AX43" s="6"/>
      <c r="AY43" s="6"/>
      <c r="AZ43" s="6">
        <v>630.20000000000005</v>
      </c>
      <c r="BA43" s="6"/>
      <c r="BB43" s="10">
        <f t="shared" ref="BB43:BB47" si="75">((AX43+AZ43)*C43)-((AZ43*0.059)+(AX43*0.012))</f>
        <v>856.44180000000006</v>
      </c>
      <c r="BC43" s="12">
        <v>10585</v>
      </c>
      <c r="BD43" s="8">
        <v>2112.83</v>
      </c>
      <c r="BF43" s="4">
        <f t="shared" si="47"/>
        <v>5.0098682809312631</v>
      </c>
      <c r="BG43" s="4" t="e">
        <f t="shared" si="48"/>
        <v>#DIV/0!</v>
      </c>
      <c r="BH43" s="2">
        <f t="shared" si="72"/>
        <v>1.3019178082191782</v>
      </c>
      <c r="BI43" s="6"/>
      <c r="BJ43" s="6"/>
      <c r="BK43" s="6">
        <f>1105.4-AZ43-AO43-AD43</f>
        <v>475.20000000000005</v>
      </c>
      <c r="BL43" s="6"/>
      <c r="BM43" s="28">
        <f t="shared" si="49"/>
        <v>645.79680000000008</v>
      </c>
      <c r="BN43" s="12"/>
      <c r="BO43" s="8"/>
      <c r="BQ43" s="4" t="e">
        <f t="shared" si="50"/>
        <v>#DIV/0!</v>
      </c>
      <c r="BR43" s="4" t="e">
        <f t="shared" si="51"/>
        <v>#DIV/0!</v>
      </c>
      <c r="BS43" s="2"/>
      <c r="BT43" s="6"/>
      <c r="BU43" s="6"/>
      <c r="BV43" s="6"/>
      <c r="BW43" s="6"/>
      <c r="BX43" s="28" t="e">
        <f t="shared" si="52"/>
        <v>#DIV/0!</v>
      </c>
    </row>
    <row r="44" spans="1:76" x14ac:dyDescent="0.2">
      <c r="A44" s="13" t="s">
        <v>7</v>
      </c>
      <c r="B44" s="13">
        <v>772</v>
      </c>
      <c r="C44" s="13">
        <v>1.4179999999999999</v>
      </c>
      <c r="D44" s="13">
        <v>4</v>
      </c>
      <c r="E44" s="7"/>
      <c r="H44" s="4" t="e">
        <f t="shared" si="42"/>
        <v>#DIV/0!</v>
      </c>
      <c r="I44" s="4"/>
      <c r="J44" s="8">
        <f t="shared" si="40"/>
        <v>2070.2799999999997</v>
      </c>
      <c r="K44" s="12"/>
      <c r="L44" s="8"/>
      <c r="N44" s="4" t="e">
        <f t="shared" si="43"/>
        <v>#DIV/0!</v>
      </c>
      <c r="O44" s="4"/>
      <c r="P44" s="2">
        <f t="shared" si="53"/>
        <v>0</v>
      </c>
      <c r="U44" s="10">
        <f t="shared" si="74"/>
        <v>0</v>
      </c>
      <c r="V44" s="12"/>
      <c r="W44" s="8"/>
      <c r="X44" s="13"/>
      <c r="Y44" s="4" t="e">
        <f t="shared" si="44"/>
        <v>#DIV/0!</v>
      </c>
      <c r="Z44" s="4" t="e">
        <f t="shared" si="44"/>
        <v>#DIV/0!</v>
      </c>
      <c r="AA44" s="2"/>
      <c r="AF44" s="10">
        <f t="shared" si="55"/>
        <v>0</v>
      </c>
      <c r="AG44" s="12">
        <v>14479</v>
      </c>
      <c r="AH44" s="8">
        <v>2612.625</v>
      </c>
      <c r="AJ44" s="4">
        <f t="shared" si="45"/>
        <v>5.5419357925458108</v>
      </c>
      <c r="AK44" s="4" t="e">
        <f t="shared" si="45"/>
        <v>#DIV/0!</v>
      </c>
      <c r="AL44" s="2"/>
      <c r="AM44" s="6"/>
      <c r="AN44" s="6"/>
      <c r="AO44" s="6"/>
      <c r="AP44" s="6"/>
      <c r="AQ44" s="10">
        <f t="shared" si="57"/>
        <v>0</v>
      </c>
      <c r="AR44" s="12">
        <v>19594</v>
      </c>
      <c r="AS44" s="8">
        <v>3508.625</v>
      </c>
      <c r="AU44" s="4">
        <f t="shared" si="46"/>
        <v>5.5845238519363001</v>
      </c>
      <c r="AV44" s="4" t="e">
        <f t="shared" si="46"/>
        <v>#DIV/0!</v>
      </c>
      <c r="AW44" s="2">
        <f t="shared" si="71"/>
        <v>21.552046575342466</v>
      </c>
      <c r="AX44" s="6">
        <v>4872.38</v>
      </c>
      <c r="AY44" s="6"/>
      <c r="AZ44" s="6">
        <v>2994.1170000000002</v>
      </c>
      <c r="BA44" s="6"/>
      <c r="BB44" s="10">
        <f t="shared" si="75"/>
        <v>10919.571283000001</v>
      </c>
      <c r="BC44" s="12">
        <v>11830</v>
      </c>
      <c r="BD44" s="8">
        <v>2622.33</v>
      </c>
      <c r="BF44" s="4">
        <f t="shared" si="47"/>
        <v>4.5112552577288136</v>
      </c>
      <c r="BG44" s="4" t="e">
        <f t="shared" si="48"/>
        <v>#DIV/0!</v>
      </c>
      <c r="BH44" s="2">
        <f t="shared" si="72"/>
        <v>1.7430684931506832</v>
      </c>
      <c r="BI44" s="6">
        <f>5070.017-AX44-AM44-AB44</f>
        <v>197.63699999999972</v>
      </c>
      <c r="BJ44" s="6"/>
      <c r="BK44" s="6">
        <f>3432.7-AZ44-AO44-AD44</f>
        <v>438.58299999999963</v>
      </c>
      <c r="BL44" s="6"/>
      <c r="BM44" s="28">
        <f t="shared" si="49"/>
        <v>873.9119189999991</v>
      </c>
      <c r="BN44" s="12"/>
      <c r="BO44" s="8"/>
      <c r="BQ44" s="4" t="e">
        <f t="shared" si="50"/>
        <v>#DIV/0!</v>
      </c>
      <c r="BR44" s="4" t="e">
        <f t="shared" si="51"/>
        <v>#DIV/0!</v>
      </c>
      <c r="BS44" s="2"/>
      <c r="BT44" s="6"/>
      <c r="BU44" s="6"/>
      <c r="BV44" s="6"/>
      <c r="BW44" s="6"/>
      <c r="BX44" s="28" t="e">
        <f t="shared" si="52"/>
        <v>#DIV/0!</v>
      </c>
    </row>
    <row r="45" spans="1:76" x14ac:dyDescent="0.2">
      <c r="A45" s="13" t="s">
        <v>7</v>
      </c>
      <c r="B45" s="13">
        <v>773</v>
      </c>
      <c r="C45" s="13">
        <v>1.4179999999999999</v>
      </c>
      <c r="D45" s="13">
        <v>4</v>
      </c>
      <c r="E45" s="7"/>
      <c r="H45" s="4" t="e">
        <f t="shared" si="42"/>
        <v>#DIV/0!</v>
      </c>
      <c r="I45" s="4"/>
      <c r="J45" s="8">
        <f t="shared" si="40"/>
        <v>2070.2799999999997</v>
      </c>
      <c r="K45" s="12"/>
      <c r="L45" s="8"/>
      <c r="N45" s="4" t="e">
        <f t="shared" si="43"/>
        <v>#DIV/0!</v>
      </c>
      <c r="O45" s="4"/>
      <c r="P45" s="2">
        <f t="shared" si="53"/>
        <v>0</v>
      </c>
      <c r="U45" s="10">
        <f t="shared" si="74"/>
        <v>0</v>
      </c>
      <c r="V45" s="12"/>
      <c r="W45" s="8"/>
      <c r="X45" s="13"/>
      <c r="Y45" s="4" t="e">
        <f t="shared" si="44"/>
        <v>#DIV/0!</v>
      </c>
      <c r="Z45" s="4" t="e">
        <f t="shared" si="44"/>
        <v>#DIV/0!</v>
      </c>
      <c r="AA45" s="2"/>
      <c r="AF45" s="10">
        <f t="shared" si="55"/>
        <v>0</v>
      </c>
      <c r="AG45" s="12">
        <v>14873</v>
      </c>
      <c r="AH45" s="8">
        <v>3256.375</v>
      </c>
      <c r="AJ45" s="4">
        <f t="shared" si="45"/>
        <v>4.5673486622394535</v>
      </c>
      <c r="AK45" s="4" t="e">
        <f t="shared" si="45"/>
        <v>#DIV/0!</v>
      </c>
      <c r="AL45" s="2"/>
      <c r="AM45" s="6"/>
      <c r="AN45" s="6"/>
      <c r="AO45" s="6">
        <v>426</v>
      </c>
      <c r="AP45" s="6">
        <v>26</v>
      </c>
      <c r="AQ45" s="10">
        <f>((AM45+AO45)*C45)-((AO45*0.059)+(AM45*0.012))</f>
        <v>578.93399999999997</v>
      </c>
      <c r="AR45" s="12">
        <v>15877.9</v>
      </c>
      <c r="AS45" s="8">
        <v>3207.25</v>
      </c>
      <c r="AU45" s="4">
        <f t="shared" si="46"/>
        <v>4.9506274846051914</v>
      </c>
      <c r="AV45" s="4" t="e">
        <f t="shared" si="46"/>
        <v>#DIV/0!</v>
      </c>
      <c r="AW45" s="2">
        <f t="shared" si="71"/>
        <v>3.8514602739726023</v>
      </c>
      <c r="AX45" s="6"/>
      <c r="AY45" s="6"/>
      <c r="AZ45" s="6">
        <v>1405.7829999999999</v>
      </c>
      <c r="BA45" s="6"/>
      <c r="BB45" s="10">
        <f t="shared" si="75"/>
        <v>1910.4590969999999</v>
      </c>
      <c r="BC45" s="12">
        <v>12640</v>
      </c>
      <c r="BD45" s="8">
        <v>2714.54</v>
      </c>
      <c r="BF45" s="4">
        <f t="shared" si="47"/>
        <v>4.6564058735550038</v>
      </c>
      <c r="BG45" s="4" t="e">
        <f t="shared" si="48"/>
        <v>#DIV/0!</v>
      </c>
      <c r="BH45" s="2">
        <f t="shared" si="72"/>
        <v>11.590923287671233</v>
      </c>
      <c r="BI45" s="6"/>
      <c r="BJ45" s="6"/>
      <c r="BK45" s="6">
        <f>6062.47-AZ45-AO45-AD45</f>
        <v>4230.6869999999999</v>
      </c>
      <c r="BL45" s="6"/>
      <c r="BM45" s="28">
        <f t="shared" si="49"/>
        <v>5749.5036329999994</v>
      </c>
      <c r="BN45" s="12"/>
      <c r="BO45" s="8"/>
      <c r="BQ45" s="4" t="e">
        <f t="shared" si="50"/>
        <v>#DIV/0!</v>
      </c>
      <c r="BR45" s="4" t="e">
        <f t="shared" si="51"/>
        <v>#DIV/0!</v>
      </c>
      <c r="BS45" s="2"/>
      <c r="BT45" s="6"/>
      <c r="BU45" s="6"/>
      <c r="BV45" s="6"/>
      <c r="BW45" s="6"/>
      <c r="BX45" s="28" t="e">
        <f t="shared" si="52"/>
        <v>#DIV/0!</v>
      </c>
    </row>
    <row r="46" spans="1:76" x14ac:dyDescent="0.2">
      <c r="A46" s="13" t="s">
        <v>7</v>
      </c>
      <c r="B46" s="13">
        <v>774</v>
      </c>
      <c r="C46" s="13">
        <v>1.4179999999999999</v>
      </c>
      <c r="D46" s="13">
        <v>4</v>
      </c>
      <c r="E46" s="7"/>
      <c r="H46" s="4" t="e">
        <f t="shared" si="42"/>
        <v>#DIV/0!</v>
      </c>
      <c r="I46" s="4"/>
      <c r="J46" s="8">
        <f t="shared" si="40"/>
        <v>2070.2799999999997</v>
      </c>
      <c r="K46" s="12"/>
      <c r="L46" s="8"/>
      <c r="N46" s="4" t="e">
        <f t="shared" si="43"/>
        <v>#DIV/0!</v>
      </c>
      <c r="O46" s="4"/>
      <c r="P46" s="2">
        <f t="shared" si="53"/>
        <v>0</v>
      </c>
      <c r="U46" s="10">
        <f t="shared" si="74"/>
        <v>0</v>
      </c>
      <c r="V46" s="12"/>
      <c r="W46" s="8"/>
      <c r="X46" s="13"/>
      <c r="Y46" s="4" t="e">
        <f t="shared" ref="Y46:Z46" si="76">V46/W46</f>
        <v>#DIV/0!</v>
      </c>
      <c r="Z46" s="4" t="e">
        <f t="shared" si="76"/>
        <v>#DIV/0!</v>
      </c>
      <c r="AA46" s="2"/>
      <c r="AF46" s="10">
        <f t="shared" si="55"/>
        <v>0</v>
      </c>
      <c r="AG46" s="12">
        <v>12680</v>
      </c>
      <c r="AH46" s="8">
        <v>2691.625</v>
      </c>
      <c r="AJ46" s="4">
        <f t="shared" si="45"/>
        <v>4.7109088375981054</v>
      </c>
      <c r="AK46" s="4" t="e">
        <f t="shared" si="45"/>
        <v>#DIV/0!</v>
      </c>
      <c r="AL46" s="2"/>
      <c r="AM46" s="6"/>
      <c r="AN46" s="6"/>
      <c r="AO46" s="6"/>
      <c r="AP46" s="6"/>
      <c r="AQ46" s="10">
        <f t="shared" si="57"/>
        <v>0</v>
      </c>
      <c r="AR46" s="12"/>
      <c r="AS46" s="8"/>
      <c r="AU46" s="4" t="e">
        <f t="shared" si="46"/>
        <v>#DIV/0!</v>
      </c>
      <c r="AV46" s="4" t="e">
        <f t="shared" si="46"/>
        <v>#DIV/0!</v>
      </c>
      <c r="AW46" s="2">
        <f t="shared" si="71"/>
        <v>0</v>
      </c>
      <c r="AX46" s="6"/>
      <c r="AY46" s="6"/>
      <c r="AZ46" s="6"/>
      <c r="BA46" s="6"/>
      <c r="BB46" s="10">
        <f t="shared" si="75"/>
        <v>0</v>
      </c>
      <c r="BC46" s="12"/>
      <c r="BD46" s="8"/>
      <c r="BF46" s="4" t="e">
        <f t="shared" si="47"/>
        <v>#DIV/0!</v>
      </c>
      <c r="BG46" s="4" t="e">
        <f t="shared" si="48"/>
        <v>#DIV/0!</v>
      </c>
      <c r="BH46" s="2"/>
      <c r="BI46" s="6"/>
      <c r="BJ46" s="6"/>
      <c r="BK46" s="6"/>
      <c r="BL46" s="6"/>
      <c r="BM46" s="28">
        <f t="shared" si="49"/>
        <v>0</v>
      </c>
      <c r="BN46" s="12"/>
      <c r="BO46" s="8"/>
      <c r="BQ46" s="4" t="e">
        <f t="shared" si="50"/>
        <v>#DIV/0!</v>
      </c>
      <c r="BR46" s="4" t="e">
        <f t="shared" si="51"/>
        <v>#DIV/0!</v>
      </c>
      <c r="BS46" s="2"/>
      <c r="BT46" s="6"/>
      <c r="BU46" s="6"/>
      <c r="BV46" s="6"/>
      <c r="BW46" s="6"/>
      <c r="BX46" s="28" t="e">
        <f t="shared" si="52"/>
        <v>#DIV/0!</v>
      </c>
    </row>
    <row r="47" spans="1:76" s="6" customFormat="1" x14ac:dyDescent="0.2">
      <c r="A47" s="6" t="s">
        <v>7</v>
      </c>
      <c r="B47" s="6">
        <v>775</v>
      </c>
      <c r="C47" s="13">
        <v>1.4179999999999999</v>
      </c>
      <c r="D47" s="8">
        <v>4</v>
      </c>
      <c r="E47" s="7" t="s">
        <v>46</v>
      </c>
      <c r="H47" s="4" t="e">
        <f t="shared" si="42"/>
        <v>#VALUE!</v>
      </c>
      <c r="I47" s="4"/>
      <c r="J47" s="8">
        <f t="shared" si="40"/>
        <v>2070.2799999999997</v>
      </c>
      <c r="K47" s="7" t="s">
        <v>46</v>
      </c>
      <c r="L47" s="8"/>
      <c r="N47" s="4" t="e">
        <f>K47/L47</f>
        <v>#VALUE!</v>
      </c>
      <c r="O47" s="4"/>
      <c r="P47" s="3">
        <f t="shared" si="53"/>
        <v>0</v>
      </c>
      <c r="U47" s="10">
        <f t="shared" si="74"/>
        <v>0</v>
      </c>
      <c r="V47" s="7"/>
      <c r="W47" s="8"/>
      <c r="Y47" s="4" t="e">
        <f>V47/W47</f>
        <v>#DIV/0!</v>
      </c>
      <c r="Z47" s="4" t="e">
        <f>W47/X47</f>
        <v>#DIV/0!</v>
      </c>
      <c r="AA47" s="3"/>
      <c r="AF47" s="10">
        <f t="shared" si="55"/>
        <v>0</v>
      </c>
      <c r="AG47" s="7">
        <v>14769</v>
      </c>
      <c r="AH47" s="8">
        <v>3443.625</v>
      </c>
      <c r="AJ47" s="4">
        <f>AG47/AH47</f>
        <v>4.2887945115975175</v>
      </c>
      <c r="AK47" s="4" t="e">
        <f>AH47/AI47</f>
        <v>#DIV/0!</v>
      </c>
      <c r="AL47" s="3"/>
      <c r="AQ47" s="10">
        <f t="shared" si="57"/>
        <v>0</v>
      </c>
      <c r="AR47" s="7">
        <v>12580.2</v>
      </c>
      <c r="AS47" s="8">
        <v>2589.5</v>
      </c>
      <c r="AU47" s="4">
        <f>AR47/AS47</f>
        <v>4.8581579455493342</v>
      </c>
      <c r="AV47" s="4" t="e">
        <f>AS47/AT47</f>
        <v>#DIV/0!</v>
      </c>
      <c r="AW47" s="3">
        <f t="shared" si="71"/>
        <v>0</v>
      </c>
      <c r="BB47" s="10">
        <f t="shared" si="75"/>
        <v>0</v>
      </c>
      <c r="BC47" s="7">
        <v>7057</v>
      </c>
      <c r="BD47" s="8">
        <v>1604.88</v>
      </c>
      <c r="BF47" s="4">
        <f>BC47/BD47</f>
        <v>4.3972134988285729</v>
      </c>
      <c r="BG47" s="4" t="e">
        <f>BD47/BE47</f>
        <v>#DIV/0!</v>
      </c>
      <c r="BH47" s="3"/>
      <c r="BM47" s="28">
        <f t="shared" si="49"/>
        <v>0</v>
      </c>
      <c r="BN47" s="7"/>
      <c r="BO47" s="8"/>
      <c r="BQ47" s="4" t="e">
        <f>BN47/BO47</f>
        <v>#DIV/0!</v>
      </c>
      <c r="BR47" s="4" t="e">
        <f>BO47/BP47</f>
        <v>#DIV/0!</v>
      </c>
      <c r="BS47" s="3"/>
      <c r="BX47" s="28" t="e">
        <f t="shared" si="52"/>
        <v>#VALUE!</v>
      </c>
    </row>
    <row r="48" spans="1:76" s="36" customFormat="1" ht="25.5" x14ac:dyDescent="0.2">
      <c r="A48" s="21" t="s">
        <v>54</v>
      </c>
      <c r="B48" s="29"/>
      <c r="C48" s="29"/>
      <c r="D48" s="30"/>
      <c r="E48" s="31">
        <f>SUM(E30:E47)</f>
        <v>197537.90000000005</v>
      </c>
      <c r="F48" s="31">
        <f>SUM(F30:F47)</f>
        <v>46302.249999999993</v>
      </c>
      <c r="G48" s="31">
        <f>SUM(G35:G47)</f>
        <v>0</v>
      </c>
      <c r="H48" s="31"/>
      <c r="I48" s="31"/>
      <c r="J48" s="23">
        <f>SUM(J30:J47)</f>
        <v>37265.039999999986</v>
      </c>
      <c r="K48" s="31">
        <f>SUM(K30:K47)</f>
        <v>185168.00000000003</v>
      </c>
      <c r="L48" s="31">
        <f>SUM(L30:L47)</f>
        <v>36487</v>
      </c>
      <c r="M48" s="31">
        <f>SUM(M35:M47)</f>
        <v>0</v>
      </c>
      <c r="N48" s="31"/>
      <c r="O48" s="31"/>
      <c r="P48" s="31">
        <f>AVERAGE(P30:P47)</f>
        <v>7.1095890410958908</v>
      </c>
      <c r="Q48" s="31">
        <f>SUM(Q30:Q47)</f>
        <v>42901</v>
      </c>
      <c r="R48" s="31">
        <f>SUM(R30:R47)</f>
        <v>3966</v>
      </c>
      <c r="S48" s="31">
        <f>SUM(S30:S47)</f>
        <v>3809</v>
      </c>
      <c r="T48" s="31">
        <f>SUM(T35:T47)</f>
        <v>67.22</v>
      </c>
      <c r="U48" s="31">
        <f>SUM(U30:U47)</f>
        <v>65495.236999999994</v>
      </c>
      <c r="V48" s="31">
        <f>SUM(V30:V47)</f>
        <v>169325.90000000002</v>
      </c>
      <c r="W48" s="31">
        <f>SUM(W30:W47)</f>
        <v>31321.75</v>
      </c>
      <c r="X48" s="31">
        <f>SUM(X35:X47)</f>
        <v>0</v>
      </c>
      <c r="Y48" s="31"/>
      <c r="Z48" s="31"/>
      <c r="AA48" s="31">
        <f>AVERAGE(AA30:AA47)</f>
        <v>1.4756164383561643</v>
      </c>
      <c r="AB48" s="31">
        <f t="shared" ref="AB48:AH48" si="77">SUM(AB30:AB47)</f>
        <v>3796</v>
      </c>
      <c r="AC48" s="31">
        <f t="shared" si="77"/>
        <v>413</v>
      </c>
      <c r="AD48" s="31">
        <f t="shared" si="77"/>
        <v>1590</v>
      </c>
      <c r="AE48" s="31">
        <f t="shared" si="77"/>
        <v>28</v>
      </c>
      <c r="AF48" s="23">
        <f t="shared" si="77"/>
        <v>7497.985999999999</v>
      </c>
      <c r="AG48" s="31">
        <f t="shared" si="77"/>
        <v>236235.3</v>
      </c>
      <c r="AH48" s="31">
        <f t="shared" si="77"/>
        <v>41713.375</v>
      </c>
      <c r="AI48" s="31">
        <f>SUM(AI35:AI47)</f>
        <v>0</v>
      </c>
      <c r="AJ48" s="31"/>
      <c r="AK48" s="31"/>
      <c r="AL48" s="31">
        <f>AVERAGE(AL30:AL47)</f>
        <v>0.90602739726027404</v>
      </c>
      <c r="AM48" s="31">
        <f>SUM(AM30:AM47)</f>
        <v>2256</v>
      </c>
      <c r="AN48" s="31">
        <f>SUM(AN30:AN47)</f>
        <v>464</v>
      </c>
      <c r="AO48" s="31">
        <f>SUM(AO30:AO47)</f>
        <v>1477</v>
      </c>
      <c r="AP48" s="31">
        <f>SUM(AP30:AP47)</f>
        <v>122</v>
      </c>
      <c r="AQ48" s="23">
        <f>SUM(AQ30:AQ47)</f>
        <v>5179.1790000000001</v>
      </c>
      <c r="AR48" s="31">
        <f t="shared" ref="AR48:AS48" si="78">SUM(AR30:AR47)</f>
        <v>194634.6</v>
      </c>
      <c r="AS48" s="31">
        <f t="shared" si="78"/>
        <v>38809.25</v>
      </c>
      <c r="AT48" s="31">
        <f>SUM(AT35:AT47)</f>
        <v>0</v>
      </c>
      <c r="AU48" s="31"/>
      <c r="AV48" s="31"/>
      <c r="AW48" s="31">
        <f>AVERAGE(AW30:AW47)</f>
        <v>3.6258172968036528</v>
      </c>
      <c r="AX48" s="31">
        <f>SUM(AX30:AX47)</f>
        <v>8212.5596999999998</v>
      </c>
      <c r="AY48" s="31">
        <f>SUM(AY30:AY47)</f>
        <v>0</v>
      </c>
      <c r="AZ48" s="31">
        <f>SUM(AZ30:AZ47)</f>
        <v>11638.79</v>
      </c>
      <c r="BA48" s="31">
        <f>SUM(BA30:BA47)</f>
        <v>0</v>
      </c>
      <c r="BB48" s="23">
        <f>SUM(BB30:BB47)</f>
        <v>27363.9745482</v>
      </c>
      <c r="BC48" s="31">
        <f t="shared" ref="BC48:BD48" si="79">SUM(BC30:BC47)</f>
        <v>154076</v>
      </c>
      <c r="BD48" s="31">
        <f t="shared" si="79"/>
        <v>32102.309000000005</v>
      </c>
      <c r="BE48" s="31">
        <f>SUM(BE35:BE47)</f>
        <v>0</v>
      </c>
      <c r="BF48" s="31"/>
      <c r="BG48" s="31"/>
      <c r="BH48" s="31">
        <f>AVERAGE(BH30:BH47)</f>
        <v>5.3817697154899893</v>
      </c>
      <c r="BI48" s="31">
        <f>SUM(BI30:BI47)</f>
        <v>16863.267299999996</v>
      </c>
      <c r="BJ48" s="31">
        <f>SUM(BJ30:BJ47)</f>
        <v>0</v>
      </c>
      <c r="BK48" s="31">
        <f>SUM(BK30:BK47)</f>
        <v>8673.23</v>
      </c>
      <c r="BL48" s="31">
        <f>SUM(BL30:BL47)</f>
        <v>0</v>
      </c>
      <c r="BM48" s="23">
        <f>SUM(BM30:BM47)</f>
        <v>35496.673393799996</v>
      </c>
      <c r="BN48" s="31">
        <f t="shared" ref="BN48:BO48" si="80">SUM(BN30:BN47)</f>
        <v>0</v>
      </c>
      <c r="BO48" s="31">
        <f t="shared" si="80"/>
        <v>0</v>
      </c>
      <c r="BP48" s="31">
        <f>SUM(BP35:BP47)</f>
        <v>0</v>
      </c>
      <c r="BQ48" s="31"/>
      <c r="BR48" s="31"/>
      <c r="BS48" s="31">
        <f>AVERAGE(BS30:BS47)</f>
        <v>0</v>
      </c>
      <c r="BT48" s="31">
        <f>SUM(BT30:BT47)</f>
        <v>0</v>
      </c>
      <c r="BU48" s="31">
        <f>SUM(BU30:BU47)</f>
        <v>0</v>
      </c>
      <c r="BV48" s="31">
        <f>SUM(BV30:BV47)</f>
        <v>0</v>
      </c>
      <c r="BW48" s="31">
        <f>SUM(BW30:BW47)</f>
        <v>0</v>
      </c>
      <c r="BX48" s="23" t="e">
        <f>SUM(BX30:BX47)</f>
        <v>#DIV/0!</v>
      </c>
    </row>
  </sheetData>
  <sheetProtection algorithmName="SHA-512" hashValue="Sf4iyZZg69va0ECy0j82V/kk9vPTFCxvPnL5DUNZC38VoqdDow2UK9JJm9PQioHBXAiwtbI1Nz35yaqXeei+lQ==" saltValue="1IPbdHyofpHtQnn02W1lpQ==" spinCount="100000" sheet="1" objects="1" scenarios="1"/>
  <mergeCells count="7">
    <mergeCell ref="BN1:BX1"/>
    <mergeCell ref="BC1:BM1"/>
    <mergeCell ref="V1:AF1"/>
    <mergeCell ref="E1:J1"/>
    <mergeCell ref="K1:U1"/>
    <mergeCell ref="AG1:AQ1"/>
    <mergeCell ref="AR1:BB1"/>
  </mergeCells>
  <pageMargins left="0.25" right="0.25" top="0.75" bottom="0.75" header="0.3" footer="0.3"/>
  <pageSetup paperSize="5" scale="65"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Idle Reduction Technology</vt:lpstr>
      <vt:lpstr>Yearly Totals</vt:lpstr>
      <vt:lpstr>Individual Truck Breakdown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Borden, Lee</dc:creator>
  <cp:lastModifiedBy>Alimi, Adeyemi S (DEC)</cp:lastModifiedBy>
  <cp:lastPrinted>2022-08-03T22:18:04Z</cp:lastPrinted>
  <dcterms:created xsi:type="dcterms:W3CDTF">2016-02-12T00:27:05Z</dcterms:created>
  <dcterms:modified xsi:type="dcterms:W3CDTF">2024-08-21T00:23:30Z</dcterms:modified>
</cp:coreProperties>
</file>