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C:\Users\asalimi\Downloads\Chena Power Plant\"/>
    </mc:Choice>
  </mc:AlternateContent>
  <xr:revisionPtr revIDLastSave="0" documentId="13_ncr:1_{EE383027-6AC3-4BAD-BE28-4D51BD5556EB}" xr6:coauthVersionLast="47" xr6:coauthVersionMax="47" xr10:uidLastSave="{00000000-0000-0000-0000-000000000000}"/>
  <bookViews>
    <workbookView xWindow="-120" yWindow="-120" windowWidth="20730" windowHeight="11160" activeTab="1" xr2:uid="{00000000-000D-0000-FFFF-FFFF00000000}"/>
  </bookViews>
  <sheets>
    <sheet name="Cost_Est" sheetId="13" r:id="rId1"/>
    <sheet name="Haskell Cost_Est Detail" sheetId="16" r:id="rId2"/>
  </sheets>
  <definedNames>
    <definedName name="_xlnm.Print_Area" localSheetId="0">Cost_Est!$A$1:$L$87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3" l="1"/>
  <c r="H45" i="13"/>
  <c r="J22" i="13"/>
  <c r="J21" i="13"/>
  <c r="I45" i="13"/>
  <c r="J45" i="13" l="1"/>
  <c r="J44" i="13"/>
  <c r="I43" i="13"/>
  <c r="J43" i="13" s="1"/>
  <c r="I18" i="13"/>
  <c r="T68" i="16"/>
  <c r="T67" i="16"/>
  <c r="T66" i="16"/>
  <c r="T65" i="16"/>
  <c r="T64" i="16"/>
  <c r="T63" i="16"/>
  <c r="T62" i="16"/>
  <c r="T61" i="16"/>
  <c r="T60" i="16"/>
  <c r="T59" i="16"/>
  <c r="T58" i="16"/>
  <c r="T57" i="16"/>
  <c r="T56" i="16"/>
  <c r="T55" i="16"/>
  <c r="T54" i="16"/>
  <c r="T53" i="16"/>
  <c r="J53" i="16"/>
  <c r="T52" i="16"/>
  <c r="J52" i="16"/>
  <c r="T51" i="16"/>
  <c r="T50" i="16"/>
  <c r="T49" i="16"/>
  <c r="H49" i="16"/>
  <c r="T48" i="16"/>
  <c r="T47" i="16"/>
  <c r="T46" i="16"/>
  <c r="T45" i="16"/>
  <c r="T44" i="16"/>
  <c r="T43" i="16"/>
  <c r="T42" i="16"/>
  <c r="T41" i="16"/>
  <c r="T40" i="16"/>
  <c r="T39" i="16"/>
  <c r="N38" i="16"/>
  <c r="P38" i="16" s="1"/>
  <c r="Q38" i="16" s="1"/>
  <c r="T37" i="16"/>
  <c r="T36" i="16"/>
  <c r="T35" i="16"/>
  <c r="T34" i="16"/>
  <c r="T33" i="16"/>
  <c r="T32" i="16"/>
  <c r="T31" i="16"/>
  <c r="T30" i="16"/>
  <c r="N29" i="16"/>
  <c r="S29" i="16" s="1"/>
  <c r="T29" i="16" s="1"/>
  <c r="I33" i="13" s="1"/>
  <c r="H29" i="16"/>
  <c r="N28" i="16"/>
  <c r="S28" i="16" s="1"/>
  <c r="T28" i="16" s="1"/>
  <c r="I32" i="13" s="1"/>
  <c r="H28" i="16"/>
  <c r="R27" i="16"/>
  <c r="P27" i="16"/>
  <c r="Q27" i="16" s="1"/>
  <c r="H27" i="16"/>
  <c r="N26" i="16"/>
  <c r="R26" i="16" s="1"/>
  <c r="H26" i="16"/>
  <c r="N25" i="16"/>
  <c r="S25" i="16" s="1"/>
  <c r="T25" i="16" s="1"/>
  <c r="I29" i="13" s="1"/>
  <c r="H25" i="16"/>
  <c r="N24" i="16"/>
  <c r="S24" i="16" s="1"/>
  <c r="T24" i="16" s="1"/>
  <c r="I28" i="13" s="1"/>
  <c r="H24" i="16"/>
  <c r="I24" i="16" s="1"/>
  <c r="J24" i="16" s="1"/>
  <c r="H23" i="16"/>
  <c r="N22" i="16"/>
  <c r="R22" i="16" s="1"/>
  <c r="H22" i="16"/>
  <c r="N21" i="16"/>
  <c r="R21" i="16" s="1"/>
  <c r="H21" i="16"/>
  <c r="T20" i="16"/>
  <c r="T19" i="16"/>
  <c r="T18" i="16"/>
  <c r="J18" i="16"/>
  <c r="Q17" i="16"/>
  <c r="T17" i="16" s="1"/>
  <c r="I17" i="13" s="1"/>
  <c r="T16" i="16"/>
  <c r="J16" i="16"/>
  <c r="T15" i="16"/>
  <c r="J15" i="16"/>
  <c r="P14" i="16"/>
  <c r="Q14" i="16" s="1"/>
  <c r="T14" i="16" s="1"/>
  <c r="I14" i="13" s="1"/>
  <c r="H14" i="16"/>
  <c r="T13" i="16"/>
  <c r="J13" i="16"/>
  <c r="T12" i="16"/>
  <c r="T11" i="16"/>
  <c r="T10" i="16"/>
  <c r="L8" i="16"/>
  <c r="I43" i="16" s="1"/>
  <c r="J43" i="16" s="1"/>
  <c r="I25" i="16" l="1"/>
  <c r="J25" i="16" s="1"/>
  <c r="I27" i="16"/>
  <c r="J27" i="16" s="1"/>
  <c r="I14" i="16"/>
  <c r="J14" i="16" s="1"/>
  <c r="T27" i="16"/>
  <c r="I31" i="13" s="1"/>
  <c r="I22" i="16"/>
  <c r="J22" i="16" s="1"/>
  <c r="I36" i="16"/>
  <c r="J36" i="16" s="1"/>
  <c r="I23" i="16"/>
  <c r="J23" i="16" s="1"/>
  <c r="N23" i="16"/>
  <c r="R23" i="16" s="1"/>
  <c r="I21" i="16"/>
  <c r="J21" i="16" s="1"/>
  <c r="I26" i="16"/>
  <c r="J26" i="16" s="1"/>
  <c r="I32" i="16"/>
  <c r="J32" i="16" s="1"/>
  <c r="I34" i="16"/>
  <c r="J34" i="16" s="1"/>
  <c r="I44" i="16"/>
  <c r="J44" i="16" s="1"/>
  <c r="I28" i="16"/>
  <c r="J28" i="16" s="1"/>
  <c r="I29" i="16"/>
  <c r="J29" i="16" s="1"/>
  <c r="I30" i="16"/>
  <c r="J30" i="16" s="1"/>
  <c r="R38" i="16"/>
  <c r="T38" i="16" s="1"/>
  <c r="J42" i="13" s="1"/>
  <c r="P22" i="16"/>
  <c r="Q22" i="16" s="1"/>
  <c r="T22" i="16" s="1"/>
  <c r="I26" i="13" s="1"/>
  <c r="I33" i="16"/>
  <c r="J33" i="16" s="1"/>
  <c r="I37" i="16"/>
  <c r="J37" i="16" s="1"/>
  <c r="I41" i="16"/>
  <c r="J41" i="16" s="1"/>
  <c r="I45" i="16"/>
  <c r="J45" i="16" s="1"/>
  <c r="I49" i="16"/>
  <c r="J49" i="16" s="1"/>
  <c r="I38" i="16"/>
  <c r="J38" i="16" s="1"/>
  <c r="I42" i="16"/>
  <c r="J42" i="16" s="1"/>
  <c r="I17" i="16"/>
  <c r="J17" i="16" s="1"/>
  <c r="P21" i="16"/>
  <c r="Q21" i="16" s="1"/>
  <c r="T21" i="16" s="1"/>
  <c r="I25" i="13" s="1"/>
  <c r="P26" i="16"/>
  <c r="Q26" i="16" s="1"/>
  <c r="T26" i="16" s="1"/>
  <c r="I30" i="13" s="1"/>
  <c r="I31" i="16"/>
  <c r="J31" i="16" s="1"/>
  <c r="I35" i="16"/>
  <c r="J35" i="16" s="1"/>
  <c r="P23" i="16" l="1"/>
  <c r="Q23" i="16" s="1"/>
  <c r="T23" i="16" s="1"/>
  <c r="I27" i="13" s="1"/>
  <c r="Y58" i="16"/>
  <c r="Y57" i="16"/>
  <c r="Y60" i="16"/>
  <c r="Y59" i="16"/>
  <c r="Y62" i="16" l="1"/>
  <c r="Y61" i="16"/>
  <c r="Y63" i="16" l="1"/>
  <c r="Y65" i="16" s="1"/>
  <c r="I10" i="16"/>
  <c r="J10" i="16" s="1"/>
  <c r="J59" i="13" l="1"/>
  <c r="J56" i="13"/>
  <c r="J55" i="13"/>
  <c r="J57" i="13"/>
  <c r="J58" i="13"/>
  <c r="J62" i="13" l="1"/>
  <c r="J71" i="13"/>
  <c r="J70" i="13"/>
  <c r="H67" i="13"/>
  <c r="J31" i="13"/>
  <c r="J18" i="13"/>
  <c r="J16" i="13"/>
  <c r="L8" i="13"/>
  <c r="J64" i="13"/>
  <c r="J63" i="13"/>
  <c r="J61" i="13"/>
  <c r="J60" i="13"/>
  <c r="J13" i="13"/>
  <c r="J15" i="13"/>
  <c r="I39" i="13" l="1"/>
  <c r="J39" i="13" s="1"/>
  <c r="J14" i="13"/>
  <c r="I49" i="13"/>
  <c r="J49" i="13" s="1"/>
  <c r="I50" i="13"/>
  <c r="J50" i="13" s="1"/>
  <c r="J28" i="13"/>
  <c r="I48" i="13"/>
  <c r="J48" i="13" s="1"/>
  <c r="I35" i="13"/>
  <c r="J35" i="13" s="1"/>
  <c r="I52" i="13"/>
  <c r="J52" i="13" s="1"/>
  <c r="I51" i="13"/>
  <c r="J51" i="13" s="1"/>
  <c r="J33" i="13"/>
  <c r="I67" i="13"/>
  <c r="J67" i="13" s="1"/>
  <c r="I38" i="13"/>
  <c r="J38" i="13" s="1"/>
  <c r="I40" i="13"/>
  <c r="J40" i="13" s="1"/>
  <c r="J26" i="13"/>
  <c r="J30" i="13"/>
  <c r="J32" i="13"/>
  <c r="J17" i="13"/>
  <c r="I41" i="13"/>
  <c r="J41" i="13" s="1"/>
  <c r="I36" i="13"/>
  <c r="J36" i="13" s="1"/>
  <c r="J25" i="13"/>
  <c r="I34" i="13"/>
  <c r="J34" i="13" s="1"/>
  <c r="J29" i="13"/>
  <c r="I37" i="13"/>
  <c r="J37" i="13" s="1"/>
  <c r="J27" i="13"/>
  <c r="I42" i="13" l="1"/>
  <c r="J73" i="13"/>
  <c r="J76" i="13" s="1"/>
  <c r="J75" i="13" l="1"/>
  <c r="W77" i="13"/>
  <c r="W78" i="13"/>
  <c r="J77" i="13"/>
  <c r="W75" i="13"/>
  <c r="J78" i="13"/>
  <c r="W76" i="13"/>
  <c r="J80" i="13" l="1"/>
  <c r="W79" i="13"/>
  <c r="J79" i="13"/>
  <c r="W80" i="13"/>
  <c r="W81" i="13" s="1"/>
  <c r="J81" i="13" l="1"/>
  <c r="J83" i="13" s="1"/>
  <c r="J85" i="13" s="1"/>
  <c r="I10" i="13" s="1"/>
  <c r="J10" i="13" s="1"/>
  <c r="J86" i="13" s="1"/>
  <c r="W83" i="13"/>
</calcChain>
</file>

<file path=xl/sharedStrings.xml><?xml version="1.0" encoding="utf-8"?>
<sst xmlns="http://schemas.openxmlformats.org/spreadsheetml/2006/main" count="433" uniqueCount="164">
  <si>
    <t xml:space="preserve">  Job No. </t>
  </si>
  <si>
    <t xml:space="preserve">  Page No.</t>
  </si>
  <si>
    <t xml:space="preserve">  Subject</t>
  </si>
  <si>
    <t xml:space="preserve"> Computed by</t>
  </si>
  <si>
    <t xml:space="preserve">   Date</t>
  </si>
  <si>
    <t xml:space="preserve"> Approved by</t>
  </si>
  <si>
    <t xml:space="preserve">  Sheet No.</t>
  </si>
  <si>
    <t>of</t>
  </si>
  <si>
    <t>Item Description</t>
  </si>
  <si>
    <t>Quantity</t>
  </si>
  <si>
    <t xml:space="preserve">No. of Unit </t>
  </si>
  <si>
    <t>UOM</t>
  </si>
  <si>
    <t>Total Cost</t>
  </si>
  <si>
    <t>Electrical</t>
  </si>
  <si>
    <t>PROBABLE EQUIPMENT &amp; CONSTRUCTION COST</t>
  </si>
  <si>
    <t>CY</t>
  </si>
  <si>
    <t>LF</t>
  </si>
  <si>
    <t>EA</t>
  </si>
  <si>
    <t>Engineering Services</t>
  </si>
  <si>
    <t>Furnish and Erection Subtotal</t>
  </si>
  <si>
    <t>Total Construction Cost</t>
  </si>
  <si>
    <t>Aurora Energy Chena - Dry Sorbent Injection</t>
  </si>
  <si>
    <t>Dry Sorbent Injection System Supply</t>
  </si>
  <si>
    <t>DSI</t>
  </si>
  <si>
    <t xml:space="preserve">Mechanical </t>
  </si>
  <si>
    <t>480V MCC</t>
  </si>
  <si>
    <t xml:space="preserve">Structural </t>
  </si>
  <si>
    <t xml:space="preserve">Silo Foundation </t>
  </si>
  <si>
    <t>Railcar Unloading Skid Foundation</t>
  </si>
  <si>
    <t>Transfer Skid Enclosure Foundation</t>
  </si>
  <si>
    <t>TONS</t>
  </si>
  <si>
    <t>DY</t>
  </si>
  <si>
    <t>Engineering services provided throughout the project to assist with BOP design, technical specifications, procurement, bid evaluation, and construction observation.</t>
  </si>
  <si>
    <t>Note:  All costs presented in this document are Stanley Consultants' opinions of probable project, construction, and/or operation and maintenance costs.  This estimate of probable construction cost is based on our experience and represent our best judgment.  We have no control over cost of labor, materials, equipment, contractor's methods, or over competitive bidding or market conditions.  Therefore, we do not guarantee that proposals, bids, or actual construction costs will not vary from estimates of project costs, construction, and/or operation and maintenance costs presented.  The costs identified are based on Means Building Construction Cost Data, Engineering News Record Construction Cost Index, and/or vendor quotes.</t>
  </si>
  <si>
    <t>480V Panelboard and Xfmr</t>
  </si>
  <si>
    <t>Cable - 480V - MCC, Loads</t>
  </si>
  <si>
    <t>Conduit - RGS</t>
  </si>
  <si>
    <t>Cable Terminations (Mat'l)</t>
  </si>
  <si>
    <t>Light Fixtures Interior/Exterior</t>
  </si>
  <si>
    <t>Surface mounted LED light fixtures (Mtl &amp; Labor)</t>
  </si>
  <si>
    <t>Mtl &amp; Labor</t>
  </si>
  <si>
    <t>Ground Grid extension</t>
  </si>
  <si>
    <t>480V Material &amp; Labor</t>
  </si>
  <si>
    <t>MCC Foundation</t>
  </si>
  <si>
    <t>Ductwork</t>
  </si>
  <si>
    <t>80-ton</t>
  </si>
  <si>
    <t>45' lift, 35' reach, 9000 lb. capacity</t>
  </si>
  <si>
    <t>All Terrain Forklift</t>
  </si>
  <si>
    <t>Hydraulic Crane</t>
  </si>
  <si>
    <t>WK</t>
  </si>
  <si>
    <t>Sorbent Building Substructure</t>
  </si>
  <si>
    <t>Sorbent Building Superstructure</t>
  </si>
  <si>
    <t>Sorbent Building Exterior Closure</t>
  </si>
  <si>
    <t>coal yard front end loader drive under.</t>
  </si>
  <si>
    <t>Pipe Bridge by Silos - Foundations</t>
  </si>
  <si>
    <t>Pipe Bridge by Silos - Steel</t>
  </si>
  <si>
    <t xml:space="preserve">Outside Pipe Supports - Steel </t>
  </si>
  <si>
    <t>Outside Pipe Supports - Foundations</t>
  </si>
  <si>
    <t>Inside Pipe Supports - Steel</t>
  </si>
  <si>
    <t>Field Installation</t>
  </si>
  <si>
    <t>DSI Installation</t>
  </si>
  <si>
    <t>Instrumentation &amp; Controls</t>
  </si>
  <si>
    <t>PROBABLE ENGINEERING, EQUIPMENT &amp; CONSTRUCTION COST</t>
  </si>
  <si>
    <t>Unit 1 Aggregate Piping Cost:
6" Sch 80 Pipe/Fittings/Flanges/Supports - Sorbent Prep to Injection Location</t>
  </si>
  <si>
    <t>Unit 2 Aggregate Piping Cost:
6" Sch 80 Pipe/Fittings/Flanges/Supports - Sorbent Prep to Injection Location</t>
  </si>
  <si>
    <t>Unit 3 Aggregate Piping Cost:
6" Sch 80 Pipe/Fittings/Flanges/Supports - Sorbent Prep to Injection Location</t>
  </si>
  <si>
    <t>Unit 5 Aggregate Piping Cost:
6" Sch 80 Pipe/Flanges/Supports - Sorbent Prep to Injection Location</t>
  </si>
  <si>
    <t>J. Smith / S. Worcester/ D. Bacon</t>
  </si>
  <si>
    <t>BOP DCS Aspects</t>
  </si>
  <si>
    <t>DSI Equipment Freight</t>
  </si>
  <si>
    <t>FOB jobsite</t>
  </si>
  <si>
    <t>Includes Railcar offloading, long term storage silos, day storage silos, milling, metering and feed.</t>
  </si>
  <si>
    <t>MOBILIZATION / DEMOBILIZATION &amp; MISC COSTS</t>
  </si>
  <si>
    <t>PRIME CONTRACTOR INDIRECT LABOR</t>
  </si>
  <si>
    <t>CONTRACTOR OH &amp; LABOR BURDENS ON PRIME CONTRACTORS LABOR</t>
  </si>
  <si>
    <t>EQUIPMENT &amp; SMALL TOOLS</t>
  </si>
  <si>
    <t>CONTINGENCY</t>
  </si>
  <si>
    <t>PROFIT</t>
  </si>
  <si>
    <t>BOND</t>
  </si>
  <si>
    <t>Rev. 1</t>
  </si>
  <si>
    <t>Escalated from 2019 to 2023</t>
  </si>
  <si>
    <t xml:space="preserve"> Updated by</t>
  </si>
  <si>
    <t>Chem. Eng PCI - 2018</t>
  </si>
  <si>
    <t>Chem. Eng PCI - 2022</t>
  </si>
  <si>
    <t>Cost Escallation Factor</t>
  </si>
  <si>
    <t>J. Solan</t>
  </si>
  <si>
    <t>31430.01.00</t>
  </si>
  <si>
    <t>Updatded Opinion of Probable Cost</t>
  </si>
  <si>
    <t>Per Revised BACT Estimate</t>
  </si>
  <si>
    <t>Data Source</t>
  </si>
  <si>
    <t>10% of PROBABLE EQUIPMENT AND CONSTRUCTION COST</t>
  </si>
  <si>
    <t>Heavy Equipment</t>
  </si>
  <si>
    <t>Unit Cost
(2019)</t>
  </si>
  <si>
    <t>Unit Cost
(2023)</t>
  </si>
  <si>
    <t>Baghouse</t>
  </si>
  <si>
    <t>Baghouse Installation</t>
  </si>
  <si>
    <t>Baghouse Freight</t>
  </si>
  <si>
    <t>DDP jobsite</t>
  </si>
  <si>
    <t>Per Andritz Email</t>
  </si>
  <si>
    <t>Haskell 2019 Estimate. Escalated from 2019 to 2023</t>
  </si>
  <si>
    <t>Sorbent Building Roofing</t>
  </si>
  <si>
    <t>Baghouse Substructure</t>
  </si>
  <si>
    <t>Baghouse Superstructure</t>
  </si>
  <si>
    <t>Baghouse Exterior Closure</t>
  </si>
  <si>
    <t>Baghouse Roofing</t>
  </si>
  <si>
    <t>Haskell Estimate</t>
  </si>
  <si>
    <t>5600 ft of 3#12, 500 ft of 3#2/0, 800ft of 6#500. Price from Haskell Estimate</t>
  </si>
  <si>
    <t>2" Average conduit size. Price from Haskell estimate.</t>
  </si>
  <si>
    <t>Cost Manual</t>
  </si>
  <si>
    <t xml:space="preserve">Includes the baghouse casing itself, cleaning system, support steel, local access, stairtower, local instruments, piping from pulse valves to receiver at grade, and an allowance for field service support, but reusing the plant air system for cleaning </t>
  </si>
  <si>
    <t>Baghouse Ash Piping: 6" Sch 80</t>
  </si>
  <si>
    <t>2021 Vendor Quote + RSMeans Labor</t>
  </si>
  <si>
    <t>Medium Voltage Switchgear</t>
  </si>
  <si>
    <t>2023 Vendor Quote + RSMeans Labor</t>
  </si>
  <si>
    <t>13.8kV to 480V Transformers</t>
  </si>
  <si>
    <t>2023 Vendor Quote</t>
  </si>
  <si>
    <t>Mtl</t>
  </si>
  <si>
    <t>Vendor Quote</t>
  </si>
  <si>
    <t>Cable - 15kV, 3 Cond, #2 AWG</t>
  </si>
  <si>
    <t>Per Haskell Estimate</t>
  </si>
  <si>
    <t>Orignal estimate in column J still "ok"</t>
  </si>
  <si>
    <t>Used boilermaker wage rate x 50 hours per ton, which comes from a recently (2023) awarded project.  Used $23000 per ton based on a recent quote.  This does not include refractory.</t>
  </si>
  <si>
    <t>TN</t>
  </si>
  <si>
    <t>Haskell 2019 Estimate. Escalated from 2019 to 2023. Confirm ductwork tonage</t>
  </si>
  <si>
    <t>1000' Feet of Ductwork to accommodate new baghouse</t>
  </si>
  <si>
    <t>Quantities are based on baghouse sketch supplied by Solan.  100% was added for room around the baghouse.  The subcontract includes material and labor for siding and is based on siding and roofing pricing for our SCR building at Healy.</t>
  </si>
  <si>
    <t>SF</t>
  </si>
  <si>
    <t>Quantities are based on baghouse sketch supplied by Solan.  20% was added for additional hieght above and below the baghouse.  The subcontract includes material and labor for siding and is based on siding and roofing pricing for our SCR building at Healy.</t>
  </si>
  <si>
    <t>Used UAF baghouse quantity.  Used a current ironworker journeymen rate ($83.94/hr) x 3% because the wage change happened in July 2023.  Material pricing is based on current price charged for the Healy structure.</t>
  </si>
  <si>
    <t>Used the floor SF of the baghouse drawing supplied by Solan and assumed a foundation 3' thick.  Includes formwork, rebar and concrete labor and material.</t>
  </si>
  <si>
    <t>See if the person that gave you the quote can give you the approximate number of loads that need to be shipped.</t>
  </si>
  <si>
    <t>UAF was a six hopper pulse jet fabric filter.  Used a current boilermaker journeymen rate ($88.77/hr) x 3% because the wage change happens at the end of September 2023.</t>
  </si>
  <si>
    <t>CELL</t>
  </si>
  <si>
    <t>NOTES</t>
  </si>
  <si>
    <t>TOTAL</t>
  </si>
  <si>
    <t>SUBCONTRACT</t>
  </si>
  <si>
    <t>MATERIAL</t>
  </si>
  <si>
    <t>LABOR DOLLARS</t>
  </si>
  <si>
    <t>HOURS</t>
  </si>
  <si>
    <t>QTY</t>
  </si>
  <si>
    <t>Based in 2023 dollars</t>
  </si>
  <si>
    <t>Per Haskell Estimate. 12.5 tons/100 ft.</t>
  </si>
  <si>
    <t>Data Source/Notes</t>
  </si>
  <si>
    <t>LS</t>
  </si>
  <si>
    <t>Includes silo, pump, day bin and and filter receiver installation based on Eielson.  Used a current boilermaker journeymen rate ($88.77/hr) x 3% because the wage change happens at the end of September 2023.</t>
  </si>
  <si>
    <t>Used the SF dimenions of the Eielson sorbent silo foundation. Assumed a thickness of 3'.  Includes formwork, rebar and concrete labor and material.  Used a laborer rate of $70.12 per hour x 1.03 because the rate expired in June 2023.</t>
  </si>
  <si>
    <t>Used the floor SF from the Eielson sorbent building and used a thickness of 3'.  Includes formwork, rebar and concrete labor and material. Used a laborer rate of $70.12 per hour x 1.03 because the rate expired in June 2023.</t>
  </si>
  <si>
    <t>Ratioed the tons of steel based on the tons of steel per SF for the UAF baghouse building.  Used a current ironworker journeymen rate ($83.94/hr) x 3% because the wage change happened in July 2023.  Material pricing is based on current price charged for the Healy structure.</t>
  </si>
  <si>
    <t>Used the height, length and width from the Eielson sorbent building.  The subcontract includes material and labor for siding and is based on siding and roofing pricing for our SCR building at Healy.</t>
  </si>
  <si>
    <t>Used length and width from the Eielson sorbent building.  The subcontract includes material and labor for siding and is based on siding and roofing pricing for our SCR building at Healy.</t>
  </si>
  <si>
    <t>Per Andritz Shipping Email
12% of equipment cost</t>
  </si>
  <si>
    <t>Stack</t>
  </si>
  <si>
    <t>Concrete cylinder with stainless steel flue</t>
  </si>
  <si>
    <t>Per UAF. Not adjusted for inflation</t>
  </si>
  <si>
    <t>ID Fan Building</t>
  </si>
  <si>
    <t>3000 sqft * $500/sqft</t>
  </si>
  <si>
    <t>600' Feet of Ductwork to accommodate new baghouse and new DSI reactors</t>
  </si>
  <si>
    <t>Warehouse Building</t>
  </si>
  <si>
    <t>Demolition</t>
  </si>
  <si>
    <t>Existing Warehouse</t>
  </si>
  <si>
    <t>Existing Baghouse and ID Fan Buidling</t>
  </si>
  <si>
    <t>Per Johnson River $/sqft estimate.</t>
  </si>
  <si>
    <t>23,000 sqft * $750/sqft</t>
  </si>
  <si>
    <t>Per Johnson River $/sqft estimate. Costs reduced due to simplicity of building compared to warehouse.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</si>
</sst>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
    <numFmt numFmtId="165" formatCode="&quot;$&quot;#,##0"/>
    <numFmt numFmtId="166" formatCode="0.0"/>
    <numFmt numFmtId="167" formatCode="_(* #,##0_);_(* \(#,##0\);_(* &quot;-&quot;??_);_(@_)"/>
    <numFmt numFmtId="168" formatCode="_(* #,##0.0_);_(* \(#,##0.0\);_(* &quot;-&quot;??_);_(@_)"/>
  </numFmts>
  <fonts count="10" x14ac:knownFonts="1">
    <font>
      <sz val="10"/>
      <name val="Arial"/>
    </font>
    <font>
      <sz val="10"/>
      <name val="Arial"/>
    </font>
    <font>
      <sz val="12"/>
      <name val="Arial"/>
      <family val="2"/>
    </font>
    <font>
      <i/>
      <sz val="10"/>
      <name val="Modern"/>
      <family val="3"/>
      <charset val="255"/>
    </font>
    <font>
      <b/>
      <sz val="10"/>
      <name val="Arial"/>
      <family val="2"/>
    </font>
    <font>
      <sz val="10"/>
      <name val="Arial"/>
      <family val="2"/>
    </font>
    <font>
      <b/>
      <u/>
      <sz val="10"/>
      <name val="Arial"/>
      <family val="2"/>
    </font>
    <font>
      <sz val="8"/>
      <name val="Arial"/>
      <family val="2"/>
    </font>
    <font>
      <sz val="11"/>
      <color rgb="FF006100"/>
      <name val="Calibri"/>
      <family val="2"/>
      <scheme val="minor"/>
    </font>
    <font>
      <b/>
      <sz val="11"/>
      <color rgb="FF006100"/>
      <name val="Calibri"/>
      <family val="2"/>
      <scheme val="minor"/>
    </font>
  </fonts>
  <fills count="3">
    <fill>
      <patternFill patternType="none"/>
    </fill>
    <fill>
      <patternFill patternType="gray125"/>
    </fill>
    <fill>
      <patternFill patternType="solid">
        <fgColor rgb="FFC6EFCE"/>
      </patternFill>
    </fill>
  </fills>
  <borders count="28">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8"/>
      </top>
      <bottom/>
      <diagonal/>
    </border>
    <border>
      <left/>
      <right style="medium">
        <color indexed="64"/>
      </right>
      <top style="thin">
        <color indexed="8"/>
      </top>
      <bottom/>
      <diagonal/>
    </border>
    <border>
      <left/>
      <right/>
      <top/>
      <bottom style="thin">
        <color indexed="8"/>
      </bottom>
      <diagonal/>
    </border>
    <border>
      <left/>
      <right/>
      <top style="thin">
        <color indexed="8"/>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8"/>
      </top>
      <bottom style="medium">
        <color indexed="64"/>
      </bottom>
      <diagonal/>
    </border>
    <border>
      <left/>
      <right style="medium">
        <color indexed="64"/>
      </right>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0" fontId="2" fillId="0" borderId="0">
      <alignment vertical="top"/>
    </xf>
    <xf numFmtId="9" fontId="1" fillId="0" borderId="0" applyFont="0" applyFill="0" applyBorder="0" applyAlignment="0" applyProtection="0"/>
    <xf numFmtId="0" fontId="8" fillId="2"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150">
    <xf numFmtId="0" fontId="0" fillId="0" borderId="0" xfId="0"/>
    <xf numFmtId="0" fontId="2" fillId="0" borderId="0" xfId="2" applyProtection="1">
      <alignment vertical="top"/>
      <protection locked="0"/>
    </xf>
    <xf numFmtId="0" fontId="0" fillId="0" borderId="1" xfId="0" applyBorder="1" applyAlignment="1">
      <alignment horizontal="center"/>
    </xf>
    <xf numFmtId="0" fontId="0" fillId="0" borderId="2" xfId="0" applyBorder="1" applyAlignment="1">
      <alignment horizontal="center"/>
    </xf>
    <xf numFmtId="0" fontId="3" fillId="0" borderId="3" xfId="2" applyFont="1" applyBorder="1" applyProtection="1">
      <alignment vertical="top"/>
      <protection locked="0"/>
    </xf>
    <xf numFmtId="0" fontId="2" fillId="0" borderId="4" xfId="2" applyBorder="1" applyProtection="1">
      <alignment vertical="top"/>
      <protection locked="0"/>
    </xf>
    <xf numFmtId="0" fontId="4" fillId="0" borderId="4" xfId="2" applyFont="1" applyBorder="1" applyProtection="1">
      <alignment vertical="top"/>
      <protection locked="0"/>
    </xf>
    <xf numFmtId="0" fontId="2" fillId="0" borderId="5" xfId="2" applyBorder="1" applyProtection="1">
      <alignment vertical="top"/>
      <protection locked="0"/>
    </xf>
    <xf numFmtId="0" fontId="1" fillId="0" borderId="5" xfId="2" applyFont="1" applyBorder="1" applyProtection="1">
      <alignment vertical="top"/>
      <protection locked="0"/>
    </xf>
    <xf numFmtId="0" fontId="5" fillId="0" borderId="4" xfId="2" applyFont="1" applyBorder="1" applyProtection="1">
      <alignment vertical="top"/>
      <protection locked="0"/>
    </xf>
    <xf numFmtId="0" fontId="5" fillId="0" borderId="4" xfId="2" applyFont="1" applyBorder="1" applyAlignment="1" applyProtection="1">
      <protection locked="0"/>
    </xf>
    <xf numFmtId="0" fontId="5" fillId="0" borderId="0" xfId="2" applyFont="1" applyProtection="1">
      <alignment vertical="top"/>
      <protection locked="0"/>
    </xf>
    <xf numFmtId="0" fontId="5" fillId="0" borderId="6" xfId="2" applyFont="1" applyBorder="1" applyProtection="1">
      <alignment vertical="top"/>
      <protection locked="0"/>
    </xf>
    <xf numFmtId="0" fontId="5" fillId="0" borderId="7" xfId="2" applyFont="1" applyBorder="1" applyProtection="1">
      <alignment vertical="top"/>
      <protection locked="0"/>
    </xf>
    <xf numFmtId="15" fontId="5" fillId="0" borderId="0" xfId="2" applyNumberFormat="1" applyFont="1" applyProtection="1">
      <alignment vertical="top"/>
      <protection locked="0"/>
    </xf>
    <xf numFmtId="0" fontId="5" fillId="0" borderId="8" xfId="2" applyFont="1" applyBorder="1" applyProtection="1">
      <alignment vertical="top"/>
      <protection locked="0"/>
    </xf>
    <xf numFmtId="0" fontId="5" fillId="0" borderId="0" xfId="0" applyFont="1"/>
    <xf numFmtId="0" fontId="5" fillId="0" borderId="0" xfId="0" applyFont="1" applyAlignment="1">
      <alignment horizontal="right"/>
    </xf>
    <xf numFmtId="0" fontId="0" fillId="0" borderId="0" xfId="0" applyAlignment="1">
      <alignment horizontal="right"/>
    </xf>
    <xf numFmtId="0" fontId="5" fillId="0" borderId="5" xfId="0" applyFont="1" applyBorder="1"/>
    <xf numFmtId="0" fontId="5" fillId="0" borderId="5" xfId="0" applyFont="1" applyBorder="1" applyAlignment="1">
      <alignment wrapText="1"/>
    </xf>
    <xf numFmtId="0" fontId="5" fillId="0" borderId="5" xfId="2" applyFont="1" applyBorder="1" applyProtection="1">
      <alignment vertical="top"/>
      <protection locked="0"/>
    </xf>
    <xf numFmtId="0" fontId="0" fillId="0" borderId="0" xfId="0" applyAlignment="1">
      <alignment horizontal="right" vertical="center"/>
    </xf>
    <xf numFmtId="0" fontId="0" fillId="0" borderId="0" xfId="0" applyAlignment="1">
      <alignment horizontal="left"/>
    </xf>
    <xf numFmtId="0" fontId="5" fillId="0" borderId="0" xfId="0" applyFont="1" applyAlignment="1">
      <alignment horizontal="left" vertical="center"/>
    </xf>
    <xf numFmtId="0" fontId="0" fillId="0" borderId="0" xfId="0" applyAlignment="1">
      <alignment horizontal="left" vertical="center"/>
    </xf>
    <xf numFmtId="165" fontId="5" fillId="0" borderId="0" xfId="0" applyNumberFormat="1" applyFont="1" applyAlignment="1">
      <alignment horizontal="right" vertical="center"/>
    </xf>
    <xf numFmtId="167" fontId="5" fillId="0" borderId="0" xfId="1" applyNumberFormat="1" applyFont="1" applyBorder="1"/>
    <xf numFmtId="165" fontId="4" fillId="0" borderId="0" xfId="0" applyNumberFormat="1" applyFont="1" applyAlignment="1">
      <alignment horizontal="right" vertical="center"/>
    </xf>
    <xf numFmtId="164" fontId="5" fillId="0" borderId="0" xfId="0" applyNumberFormat="1" applyFont="1" applyAlignment="1">
      <alignment horizontal="right" vertical="center"/>
    </xf>
    <xf numFmtId="0" fontId="5" fillId="0" borderId="9" xfId="2" applyFont="1" applyBorder="1" applyAlignment="1" applyProtection="1">
      <alignment horizontal="center" vertical="top"/>
      <protection locked="0"/>
    </xf>
    <xf numFmtId="0" fontId="6" fillId="0" borderId="5" xfId="0" applyFont="1" applyBorder="1"/>
    <xf numFmtId="0" fontId="5" fillId="0" borderId="0" xfId="0" applyFont="1" applyAlignment="1">
      <alignment horizontal="left"/>
    </xf>
    <xf numFmtId="0" fontId="1" fillId="0" borderId="10" xfId="2" applyFont="1" applyBorder="1" applyProtection="1">
      <alignment vertical="top"/>
      <protection locked="0"/>
    </xf>
    <xf numFmtId="0" fontId="5" fillId="0" borderId="11" xfId="2" applyFont="1" applyBorder="1" applyProtection="1">
      <alignment vertical="top"/>
      <protection locked="0"/>
    </xf>
    <xf numFmtId="0" fontId="5" fillId="0" borderId="12" xfId="2" applyFont="1" applyBorder="1" applyAlignment="1" applyProtection="1">
      <alignment horizontal="center" vertical="top"/>
      <protection locked="0"/>
    </xf>
    <xf numFmtId="0" fontId="5" fillId="0" borderId="0" xfId="0" applyFont="1" applyAlignment="1">
      <alignment horizontal="center"/>
    </xf>
    <xf numFmtId="164" fontId="0" fillId="0" borderId="0" xfId="0" applyNumberFormat="1"/>
    <xf numFmtId="166" fontId="0" fillId="0" borderId="0" xfId="0" applyNumberFormat="1"/>
    <xf numFmtId="167" fontId="0" fillId="0" borderId="0" xfId="1" applyNumberFormat="1" applyFont="1" applyBorder="1" applyAlignment="1">
      <alignment horizontal="right"/>
    </xf>
    <xf numFmtId="167" fontId="0" fillId="0" borderId="0" xfId="1" applyNumberFormat="1" applyFont="1" applyFill="1" applyBorder="1" applyAlignment="1">
      <alignment horizontal="right"/>
    </xf>
    <xf numFmtId="0" fontId="5" fillId="0" borderId="4" xfId="2" applyFont="1" applyBorder="1" applyAlignment="1" applyProtection="1">
      <alignment horizontal="center"/>
      <protection locked="0"/>
    </xf>
    <xf numFmtId="0" fontId="5" fillId="0" borderId="0" xfId="0" applyFont="1" applyAlignment="1">
      <alignment wrapText="1"/>
    </xf>
    <xf numFmtId="0" fontId="5" fillId="0" borderId="10" xfId="2" applyFont="1" applyBorder="1" applyProtection="1">
      <alignment vertical="top"/>
      <protection locked="0"/>
    </xf>
    <xf numFmtId="0" fontId="5" fillId="0" borderId="11" xfId="0" applyFont="1" applyBorder="1"/>
    <xf numFmtId="0" fontId="5" fillId="0" borderId="11" xfId="0" applyFont="1" applyBorder="1" applyAlignment="1">
      <alignment horizontal="right"/>
    </xf>
    <xf numFmtId="0" fontId="0" fillId="0" borderId="11" xfId="0" applyBorder="1" applyAlignment="1">
      <alignment horizontal="right"/>
    </xf>
    <xf numFmtId="0" fontId="5" fillId="0" borderId="11" xfId="0" applyFont="1" applyBorder="1" applyAlignment="1">
      <alignment horizontal="left"/>
    </xf>
    <xf numFmtId="164" fontId="5" fillId="0" borderId="0" xfId="0" applyNumberFormat="1" applyFont="1" applyAlignment="1">
      <alignment horizontal="right"/>
    </xf>
    <xf numFmtId="14" fontId="5" fillId="0" borderId="9" xfId="2" applyNumberFormat="1" applyFont="1" applyBorder="1" applyProtection="1">
      <alignment vertical="top"/>
      <protection locked="0"/>
    </xf>
    <xf numFmtId="14" fontId="5" fillId="0" borderId="8" xfId="2" applyNumberFormat="1" applyFont="1" applyBorder="1" applyProtection="1">
      <alignment vertical="top"/>
      <protection locked="0"/>
    </xf>
    <xf numFmtId="0" fontId="5" fillId="0" borderId="5" xfId="2" applyFont="1" applyBorder="1" applyAlignment="1" applyProtection="1">
      <alignment vertical="top" wrapText="1"/>
      <protection locked="0"/>
    </xf>
    <xf numFmtId="0" fontId="5" fillId="0" borderId="0" xfId="2" applyFont="1" applyAlignment="1" applyProtection="1">
      <alignment vertical="top" wrapText="1"/>
      <protection locked="0"/>
    </xf>
    <xf numFmtId="0" fontId="0" fillId="0" borderId="0" xfId="0" applyAlignment="1">
      <alignment wrapText="1"/>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5" fillId="0" borderId="0" xfId="2" applyFont="1" applyAlignment="1" applyProtection="1">
      <alignment horizontal="left" vertical="center" wrapText="1"/>
      <protection locked="0"/>
    </xf>
    <xf numFmtId="0" fontId="5" fillId="0" borderId="5" xfId="2" applyFont="1" applyBorder="1" applyAlignment="1" applyProtection="1">
      <alignment horizontal="left" vertical="center"/>
      <protection locked="0"/>
    </xf>
    <xf numFmtId="164" fontId="0" fillId="0" borderId="13" xfId="0" applyNumberFormat="1" applyBorder="1"/>
    <xf numFmtId="0" fontId="0" fillId="0" borderId="13" xfId="0"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5" fillId="0" borderId="0" xfId="0" applyFont="1" applyAlignment="1">
      <alignment horizontal="center" vertical="center" wrapText="1"/>
    </xf>
    <xf numFmtId="0" fontId="6" fillId="0" borderId="5" xfId="0" applyFont="1" applyBorder="1" applyAlignment="1">
      <alignment horizontal="left" vertical="center"/>
    </xf>
    <xf numFmtId="0" fontId="0" fillId="0" borderId="0" xfId="0" applyAlignment="1">
      <alignment horizontal="center" vertical="center" wrapText="1"/>
    </xf>
    <xf numFmtId="0" fontId="6" fillId="0" borderId="5" xfId="2" applyFont="1" applyBorder="1" applyAlignment="1" applyProtection="1">
      <alignment horizontal="left" vertical="center"/>
      <protection locked="0"/>
    </xf>
    <xf numFmtId="168" fontId="0" fillId="0" borderId="0" xfId="1" applyNumberFormat="1" applyFont="1" applyBorder="1" applyAlignment="1">
      <alignment horizontal="right"/>
    </xf>
    <xf numFmtId="43" fontId="0" fillId="0" borderId="0" xfId="1" applyFont="1" applyBorder="1" applyAlignment="1">
      <alignment horizontal="right"/>
    </xf>
    <xf numFmtId="0" fontId="4" fillId="0" borderId="11" xfId="0" applyFont="1" applyBorder="1" applyAlignment="1">
      <alignment horizontal="right"/>
    </xf>
    <xf numFmtId="0" fontId="5" fillId="0" borderId="14" xfId="2" applyFont="1" applyBorder="1" applyAlignment="1" applyProtection="1">
      <alignment horizontal="center"/>
      <protection locked="0"/>
    </xf>
    <xf numFmtId="0" fontId="5" fillId="0" borderId="0" xfId="2" applyFont="1" applyAlignment="1" applyProtection="1">
      <protection locked="0"/>
    </xf>
    <xf numFmtId="0" fontId="5" fillId="0" borderId="7" xfId="2" applyFont="1" applyBorder="1" applyAlignment="1" applyProtection="1">
      <protection locked="0"/>
    </xf>
    <xf numFmtId="0" fontId="5" fillId="0" borderId="6" xfId="2" applyFont="1" applyBorder="1" applyAlignment="1" applyProtection="1">
      <protection locked="0"/>
    </xf>
    <xf numFmtId="0" fontId="5" fillId="0" borderId="15" xfId="2" applyFont="1" applyBorder="1" applyAlignment="1" applyProtection="1">
      <protection locked="0"/>
    </xf>
    <xf numFmtId="165" fontId="5" fillId="0" borderId="13" xfId="0" applyNumberFormat="1" applyFont="1" applyBorder="1" applyAlignment="1">
      <alignment horizontal="right" vertical="center"/>
    </xf>
    <xf numFmtId="165" fontId="4" fillId="0" borderId="16" xfId="0" applyNumberFormat="1" applyFont="1" applyBorder="1" applyAlignment="1">
      <alignment horizontal="right" vertical="center"/>
    </xf>
    <xf numFmtId="165" fontId="5" fillId="0" borderId="13" xfId="0" applyNumberFormat="1" applyFont="1" applyBorder="1" applyAlignment="1">
      <alignment horizontal="right"/>
    </xf>
    <xf numFmtId="165" fontId="0" fillId="0" borderId="13" xfId="0" applyNumberFormat="1" applyBorder="1" applyAlignment="1">
      <alignment horizontal="center" vertical="center" wrapText="1"/>
    </xf>
    <xf numFmtId="9" fontId="0" fillId="0" borderId="0" xfId="3" applyFont="1"/>
    <xf numFmtId="164" fontId="4" fillId="0" borderId="0" xfId="0" applyNumberFormat="1" applyFont="1"/>
    <xf numFmtId="9" fontId="0" fillId="0" borderId="0" xfId="3" applyFont="1" applyAlignment="1">
      <alignment horizontal="center" vertical="center"/>
    </xf>
    <xf numFmtId="10" fontId="5" fillId="0" borderId="0" xfId="0" applyNumberFormat="1" applyFont="1"/>
    <xf numFmtId="0" fontId="0" fillId="0" borderId="5" xfId="2" applyFont="1" applyBorder="1" applyProtection="1">
      <alignment vertical="top"/>
      <protection locked="0"/>
    </xf>
    <xf numFmtId="0" fontId="5" fillId="0" borderId="15" xfId="0" applyFont="1" applyBorder="1"/>
    <xf numFmtId="0" fontId="6" fillId="0" borderId="0" xfId="0" applyFont="1"/>
    <xf numFmtId="0" fontId="6" fillId="0" borderId="5" xfId="2" applyFont="1" applyBorder="1" applyProtection="1">
      <alignment vertical="top"/>
      <protection locked="0"/>
    </xf>
    <xf numFmtId="43" fontId="0" fillId="0" borderId="0" xfId="1" applyFont="1" applyFill="1" applyBorder="1" applyAlignment="1">
      <alignment horizontal="right"/>
    </xf>
    <xf numFmtId="164" fontId="5" fillId="0" borderId="0" xfId="0" applyNumberFormat="1" applyFont="1"/>
    <xf numFmtId="43" fontId="0" fillId="0" borderId="0" xfId="5" applyFont="1"/>
    <xf numFmtId="167" fontId="5" fillId="0" borderId="0" xfId="5" applyNumberFormat="1" applyFont="1" applyBorder="1"/>
    <xf numFmtId="0" fontId="8" fillId="2" borderId="0" xfId="4" applyAlignment="1">
      <alignment wrapText="1"/>
    </xf>
    <xf numFmtId="0" fontId="8" fillId="2" borderId="0" xfId="4"/>
    <xf numFmtId="164" fontId="8" fillId="2" borderId="0" xfId="4" applyNumberFormat="1"/>
    <xf numFmtId="43" fontId="8" fillId="2" borderId="0" xfId="4" applyNumberFormat="1"/>
    <xf numFmtId="9" fontId="0" fillId="0" borderId="0" xfId="6" applyFont="1"/>
    <xf numFmtId="9" fontId="0" fillId="0" borderId="0" xfId="6" applyFont="1" applyAlignment="1">
      <alignment horizontal="center" vertical="center"/>
    </xf>
    <xf numFmtId="167" fontId="0" fillId="0" borderId="0" xfId="5" applyNumberFormat="1" applyFont="1" applyFill="1" applyBorder="1" applyAlignment="1">
      <alignment horizontal="right"/>
    </xf>
    <xf numFmtId="167" fontId="0" fillId="0" borderId="0" xfId="5" applyNumberFormat="1" applyFont="1" applyBorder="1" applyAlignment="1">
      <alignment horizontal="right"/>
    </xf>
    <xf numFmtId="43" fontId="0" fillId="0" borderId="0" xfId="5" applyFont="1" applyFill="1" applyBorder="1" applyAlignment="1">
      <alignment horizontal="right"/>
    </xf>
    <xf numFmtId="43" fontId="0" fillId="0" borderId="0" xfId="5" applyFont="1" applyBorder="1" applyAlignment="1">
      <alignment horizontal="right"/>
    </xf>
    <xf numFmtId="168" fontId="0" fillId="0" borderId="0" xfId="5" applyNumberFormat="1" applyFont="1" applyBorder="1" applyAlignment="1">
      <alignment horizontal="right"/>
    </xf>
    <xf numFmtId="167" fontId="8" fillId="2" borderId="0" xfId="4" applyNumberFormat="1"/>
    <xf numFmtId="43" fontId="8" fillId="2" borderId="0" xfId="4" applyNumberFormat="1" applyAlignment="1">
      <alignment horizontal="center"/>
    </xf>
    <xf numFmtId="0" fontId="8" fillId="2" borderId="0" xfId="4" applyAlignment="1">
      <alignment horizontal="center" vertical="center" wrapText="1"/>
    </xf>
    <xf numFmtId="164" fontId="8" fillId="2" borderId="0" xfId="4" applyNumberFormat="1" applyAlignment="1">
      <alignment horizontal="center"/>
    </xf>
    <xf numFmtId="164" fontId="8" fillId="2" borderId="0" xfId="4" applyNumberFormat="1" applyAlignment="1">
      <alignment horizontal="center" vertical="center"/>
    </xf>
    <xf numFmtId="0" fontId="8" fillId="2" borderId="0" xfId="4" applyAlignment="1">
      <alignment horizontal="center" vertical="center"/>
    </xf>
    <xf numFmtId="43" fontId="8" fillId="2" borderId="0" xfId="4" applyNumberFormat="1" applyAlignment="1">
      <alignment horizontal="center" vertical="center"/>
    </xf>
    <xf numFmtId="0" fontId="6" fillId="0" borderId="3" xfId="0" applyFont="1" applyBorder="1"/>
    <xf numFmtId="0" fontId="0" fillId="0" borderId="14" xfId="0" applyBorder="1"/>
    <xf numFmtId="0" fontId="0" fillId="0" borderId="13" xfId="0" applyBorder="1"/>
    <xf numFmtId="0" fontId="5" fillId="0" borderId="3" xfId="0" applyFont="1" applyBorder="1"/>
    <xf numFmtId="0" fontId="5" fillId="0" borderId="10" xfId="0" applyFont="1" applyBorder="1"/>
    <xf numFmtId="10" fontId="5" fillId="0" borderId="16" xfId="0" applyNumberFormat="1" applyFont="1" applyBorder="1"/>
    <xf numFmtId="0" fontId="0" fillId="0" borderId="5" xfId="0" applyBorder="1" applyAlignment="1">
      <alignment wrapText="1"/>
    </xf>
    <xf numFmtId="0" fontId="0" fillId="0" borderId="13" xfId="0" applyBorder="1" applyAlignment="1">
      <alignment wrapText="1"/>
    </xf>
    <xf numFmtId="0" fontId="0" fillId="0" borderId="5" xfId="0" applyBorder="1"/>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5" xfId="2" applyFont="1" applyBorder="1" applyAlignment="1" applyProtection="1">
      <alignment vertical="top" wrapText="1"/>
      <protection locked="0"/>
    </xf>
    <xf numFmtId="0" fontId="5" fillId="0" borderId="26" xfId="2" applyFont="1" applyBorder="1" applyAlignment="1" applyProtection="1">
      <alignment vertical="top" wrapText="1"/>
      <protection locked="0"/>
    </xf>
    <xf numFmtId="0" fontId="5" fillId="0" borderId="27" xfId="2" applyFont="1" applyBorder="1" applyAlignment="1" applyProtection="1">
      <alignment vertical="top" wrapText="1"/>
      <protection locked="0"/>
    </xf>
    <xf numFmtId="0" fontId="5" fillId="0" borderId="5" xfId="0" applyFont="1" applyBorder="1" applyAlignment="1">
      <alignment horizontal="left" wrapText="1"/>
    </xf>
    <xf numFmtId="0" fontId="5" fillId="0" borderId="13" xfId="0" applyFont="1" applyBorder="1" applyAlignment="1">
      <alignment horizontal="left" wrapText="1"/>
    </xf>
    <xf numFmtId="0" fontId="5" fillId="0" borderId="9" xfId="2" applyFont="1" applyBorder="1" applyAlignment="1" applyProtection="1">
      <alignment horizontal="center" vertical="top"/>
      <protection locked="0"/>
    </xf>
    <xf numFmtId="0" fontId="0" fillId="0" borderId="5" xfId="0" applyBorder="1" applyAlignment="1">
      <alignment horizontal="left" wrapText="1"/>
    </xf>
    <xf numFmtId="0" fontId="0" fillId="0" borderId="13" xfId="0" applyBorder="1" applyAlignment="1">
      <alignment horizontal="left" wrapText="1"/>
    </xf>
    <xf numFmtId="0" fontId="5" fillId="0" borderId="14" xfId="0" applyFont="1"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5" fillId="0" borderId="5" xfId="0" applyFont="1" applyBorder="1" applyAlignment="1">
      <alignment wrapText="1"/>
    </xf>
    <xf numFmtId="0" fontId="5" fillId="0" borderId="13" xfId="0" applyFont="1" applyBorder="1" applyAlignment="1">
      <alignment wrapText="1"/>
    </xf>
    <xf numFmtId="0" fontId="0" fillId="0" borderId="5" xfId="0" applyBorder="1" applyAlignment="1">
      <alignment wrapText="1"/>
    </xf>
    <xf numFmtId="0" fontId="0" fillId="0" borderId="13" xfId="0" applyBorder="1" applyAlignment="1">
      <alignment wrapText="1"/>
    </xf>
    <xf numFmtId="0" fontId="0" fillId="0" borderId="5" xfId="0" applyBorder="1" applyAlignment="1">
      <alignment horizontal="center" wrapText="1"/>
    </xf>
    <xf numFmtId="0" fontId="0" fillId="0" borderId="13" xfId="0" applyBorder="1" applyAlignment="1">
      <alignment horizontal="center" wrapText="1"/>
    </xf>
    <xf numFmtId="2" fontId="9" fillId="2" borderId="0" xfId="4" applyNumberFormat="1" applyFont="1" applyAlignment="1">
      <alignment horizontal="center"/>
    </xf>
  </cellXfs>
  <cellStyles count="7">
    <cellStyle name="Comma" xfId="1" builtinId="3"/>
    <cellStyle name="Comma 2" xfId="5" xr:uid="{40FA0C9C-2D20-4B28-8E55-276199D63DA5}"/>
    <cellStyle name="Good" xfId="4" builtinId="26"/>
    <cellStyle name="Normal" xfId="0" builtinId="0"/>
    <cellStyle name="Normal_1598 elevations" xfId="2" xr:uid="{00000000-0005-0000-0000-000003000000}"/>
    <cellStyle name="Percent" xfId="3" builtinId="5"/>
    <cellStyle name="Percent 2" xfId="6" xr:uid="{B8927836-8032-4632-9749-98CCC4B945C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0</xdr:col>
      <xdr:colOff>1447800</xdr:colOff>
      <xdr:row>1</xdr:row>
      <xdr:rowOff>180975</xdr:rowOff>
    </xdr:to>
    <xdr:pic>
      <xdr:nvPicPr>
        <xdr:cNvPr id="13663" name="Picture 1">
          <a:extLst>
            <a:ext uri="{FF2B5EF4-FFF2-40B4-BE49-F238E27FC236}">
              <a16:creationId xmlns:a16="http://schemas.microsoft.com/office/drawing/2014/main" id="{2FE6827A-2875-E9BB-4773-980FA0DEA2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8100"/>
          <a:ext cx="1333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619125</xdr:colOff>
      <xdr:row>90</xdr:row>
      <xdr:rowOff>142875</xdr:rowOff>
    </xdr:from>
    <xdr:to>
      <xdr:col>8</xdr:col>
      <xdr:colOff>952500</xdr:colOff>
      <xdr:row>124</xdr:row>
      <xdr:rowOff>114300</xdr:rowOff>
    </xdr:to>
    <xdr:pic>
      <xdr:nvPicPr>
        <xdr:cNvPr id="13664" name="Picture 1">
          <a:extLst>
            <a:ext uri="{FF2B5EF4-FFF2-40B4-BE49-F238E27FC236}">
              <a16:creationId xmlns:a16="http://schemas.microsoft.com/office/drawing/2014/main" id="{1AD40EF8-9481-348C-262C-B2EE814752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6097250"/>
          <a:ext cx="8658225" cy="547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0</xdr:col>
      <xdr:colOff>1447800</xdr:colOff>
      <xdr:row>1</xdr:row>
      <xdr:rowOff>180975</xdr:rowOff>
    </xdr:to>
    <xdr:pic>
      <xdr:nvPicPr>
        <xdr:cNvPr id="2" name="Picture 1">
          <a:extLst>
            <a:ext uri="{FF2B5EF4-FFF2-40B4-BE49-F238E27FC236}">
              <a16:creationId xmlns:a16="http://schemas.microsoft.com/office/drawing/2014/main" id="{7C4EC480-F4B2-4A75-8196-A69BC17798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8100"/>
          <a:ext cx="1333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619125</xdr:colOff>
      <xdr:row>72</xdr:row>
      <xdr:rowOff>142875</xdr:rowOff>
    </xdr:from>
    <xdr:to>
      <xdr:col>8</xdr:col>
      <xdr:colOff>952500</xdr:colOff>
      <xdr:row>106</xdr:row>
      <xdr:rowOff>114300</xdr:rowOff>
    </xdr:to>
    <xdr:pic>
      <xdr:nvPicPr>
        <xdr:cNvPr id="3" name="Picture 1">
          <a:extLst>
            <a:ext uri="{FF2B5EF4-FFF2-40B4-BE49-F238E27FC236}">
              <a16:creationId xmlns:a16="http://schemas.microsoft.com/office/drawing/2014/main" id="{7ABD9104-C9F2-4D19-A8D8-6031D69358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28946475"/>
          <a:ext cx="8658225" cy="547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12"/>
  <sheetViews>
    <sheetView topLeftCell="A66" zoomScaleNormal="100" zoomScaleSheetLayoutView="100" workbookViewId="0">
      <selection activeCell="K48" sqref="K48:L48"/>
    </sheetView>
  </sheetViews>
  <sheetFormatPr defaultRowHeight="12.75" x14ac:dyDescent="0.2"/>
  <cols>
    <col min="1" max="1" width="35" bestFit="1" customWidth="1"/>
    <col min="2" max="2" width="28.42578125" customWidth="1"/>
    <col min="3" max="3" width="6.5703125" bestFit="1" customWidth="1"/>
    <col min="4" max="4" width="10.140625" customWidth="1"/>
    <col min="5" max="5" width="4.42578125" customWidth="1"/>
    <col min="6" max="6" width="12.28515625" customWidth="1"/>
    <col min="7" max="7" width="13" customWidth="1"/>
    <col min="8" max="9" width="15" customWidth="1"/>
    <col min="10" max="10" width="18.5703125" customWidth="1"/>
    <col min="11" max="11" width="24.140625" customWidth="1"/>
    <col min="12" max="12" width="10.140625" customWidth="1"/>
    <col min="13" max="13" width="10.42578125" bestFit="1" customWidth="1"/>
    <col min="14" max="14" width="10.140625" bestFit="1" customWidth="1"/>
    <col min="23" max="23" width="16.42578125" customWidth="1"/>
  </cols>
  <sheetData>
    <row r="1" spans="1:14" ht="24" customHeight="1" x14ac:dyDescent="0.2">
      <c r="A1" s="4"/>
      <c r="B1" s="5"/>
      <c r="C1" s="6"/>
      <c r="D1" s="10" t="s">
        <v>79</v>
      </c>
      <c r="E1" s="9"/>
      <c r="F1" s="10" t="s">
        <v>0</v>
      </c>
      <c r="G1" s="41" t="s">
        <v>86</v>
      </c>
      <c r="H1" s="10" t="s">
        <v>1</v>
      </c>
      <c r="I1" s="10"/>
      <c r="J1" s="70">
        <v>1</v>
      </c>
    </row>
    <row r="2" spans="1:14" ht="15" x14ac:dyDescent="0.2">
      <c r="A2" s="7"/>
      <c r="B2" s="1"/>
      <c r="C2" s="11"/>
      <c r="D2" s="11"/>
      <c r="E2" s="11"/>
      <c r="F2" s="11" t="s">
        <v>2</v>
      </c>
      <c r="G2" s="74" t="s">
        <v>21</v>
      </c>
      <c r="H2" s="71"/>
      <c r="I2" s="71"/>
      <c r="J2" s="72"/>
    </row>
    <row r="3" spans="1:14" x14ac:dyDescent="0.2">
      <c r="A3" s="8" t="s">
        <v>3</v>
      </c>
      <c r="B3" s="15" t="s">
        <v>67</v>
      </c>
      <c r="C3" s="11" t="s">
        <v>4</v>
      </c>
      <c r="D3" s="50">
        <v>43504</v>
      </c>
      <c r="E3" s="14"/>
      <c r="F3" s="11"/>
      <c r="G3" s="84" t="s">
        <v>87</v>
      </c>
      <c r="H3" s="73"/>
      <c r="I3" s="73"/>
      <c r="J3" s="72"/>
    </row>
    <row r="4" spans="1:14" x14ac:dyDescent="0.2">
      <c r="A4" s="83" t="s">
        <v>81</v>
      </c>
      <c r="B4" s="15" t="s">
        <v>85</v>
      </c>
      <c r="C4" s="11" t="s">
        <v>4</v>
      </c>
      <c r="D4" s="50">
        <v>44948</v>
      </c>
      <c r="E4" s="14"/>
      <c r="F4" s="11"/>
      <c r="H4" s="12"/>
      <c r="I4" s="12"/>
      <c r="J4" s="13"/>
    </row>
    <row r="5" spans="1:14" ht="13.5" thickBot="1" x14ac:dyDescent="0.25">
      <c r="A5" s="33"/>
      <c r="B5" s="11"/>
      <c r="C5" s="34"/>
      <c r="D5" s="49"/>
      <c r="E5" s="34"/>
      <c r="F5" s="34" t="s">
        <v>6</v>
      </c>
      <c r="G5" s="30">
        <v>1</v>
      </c>
      <c r="H5" s="137" t="s">
        <v>7</v>
      </c>
      <c r="I5" s="137"/>
      <c r="J5" s="35">
        <v>1</v>
      </c>
    </row>
    <row r="6" spans="1:14" x14ac:dyDescent="0.2">
      <c r="A6" s="118" t="s">
        <v>8</v>
      </c>
      <c r="B6" s="119"/>
      <c r="C6" s="119"/>
      <c r="D6" s="119"/>
      <c r="E6" s="120"/>
      <c r="F6" s="127" t="s">
        <v>9</v>
      </c>
      <c r="G6" s="120"/>
      <c r="H6" s="129" t="s">
        <v>92</v>
      </c>
      <c r="I6" s="129" t="s">
        <v>93</v>
      </c>
      <c r="J6" s="140" t="s">
        <v>12</v>
      </c>
      <c r="K6" s="112" t="s">
        <v>82</v>
      </c>
      <c r="L6" s="110">
        <v>603.1</v>
      </c>
    </row>
    <row r="7" spans="1:14" x14ac:dyDescent="0.2">
      <c r="A7" s="121"/>
      <c r="B7" s="122"/>
      <c r="C7" s="122"/>
      <c r="D7" s="122"/>
      <c r="E7" s="123"/>
      <c r="F7" s="128"/>
      <c r="G7" s="126"/>
      <c r="H7" s="130"/>
      <c r="I7" s="130"/>
      <c r="J7" s="141"/>
      <c r="K7" s="19" t="s">
        <v>83</v>
      </c>
      <c r="L7" s="111">
        <v>816</v>
      </c>
      <c r="N7" s="38"/>
    </row>
    <row r="8" spans="1:14" ht="13.5" thickBot="1" x14ac:dyDescent="0.25">
      <c r="A8" s="124"/>
      <c r="B8" s="125"/>
      <c r="C8" s="125"/>
      <c r="D8" s="125"/>
      <c r="E8" s="126"/>
      <c r="F8" s="2" t="s">
        <v>10</v>
      </c>
      <c r="G8" s="3" t="s">
        <v>11</v>
      </c>
      <c r="H8" s="131"/>
      <c r="I8" s="131"/>
      <c r="J8" s="142"/>
      <c r="K8" s="113" t="s">
        <v>84</v>
      </c>
      <c r="L8" s="114">
        <f>L7/L6</f>
        <v>1.3530094511689603</v>
      </c>
      <c r="M8" s="16"/>
      <c r="N8" s="36"/>
    </row>
    <row r="9" spans="1:14" x14ac:dyDescent="0.2">
      <c r="A9" s="64" t="s">
        <v>18</v>
      </c>
      <c r="B9" s="61"/>
      <c r="C9" s="61"/>
      <c r="D9" s="61"/>
      <c r="E9" s="61"/>
      <c r="F9" s="62"/>
      <c r="G9" s="62"/>
      <c r="H9" s="63"/>
      <c r="I9" s="63"/>
      <c r="J9" s="59"/>
      <c r="K9" s="109" t="s">
        <v>142</v>
      </c>
      <c r="L9" s="110"/>
      <c r="M9" s="16"/>
      <c r="N9" s="36"/>
    </row>
    <row r="10" spans="1:14" ht="63.75" x14ac:dyDescent="0.2">
      <c r="A10" s="54" t="s">
        <v>32</v>
      </c>
      <c r="B10" s="65"/>
      <c r="C10" s="61"/>
      <c r="D10" s="61"/>
      <c r="E10" s="61"/>
      <c r="F10" s="18">
        <v>1</v>
      </c>
      <c r="G10" s="32" t="s">
        <v>17</v>
      </c>
      <c r="I10" s="48">
        <f>10%*J85</f>
        <v>7483700</v>
      </c>
      <c r="J10" s="77">
        <f>I10*F10</f>
        <v>7483700</v>
      </c>
      <c r="K10" s="135" t="s">
        <v>90</v>
      </c>
      <c r="L10" s="136"/>
      <c r="M10" s="16"/>
      <c r="N10" s="36"/>
    </row>
    <row r="11" spans="1:14" x14ac:dyDescent="0.2">
      <c r="A11" s="60"/>
      <c r="B11" s="61"/>
      <c r="C11" s="61"/>
      <c r="D11" s="61"/>
      <c r="E11" s="61"/>
      <c r="F11" s="62"/>
      <c r="G11" s="62"/>
      <c r="H11" s="63"/>
      <c r="I11" s="63"/>
      <c r="J11" s="78"/>
      <c r="K11" s="138"/>
      <c r="L11" s="139"/>
      <c r="M11" s="16"/>
      <c r="N11" s="36"/>
    </row>
    <row r="12" spans="1:14" x14ac:dyDescent="0.2">
      <c r="A12" s="31" t="s">
        <v>22</v>
      </c>
      <c r="B12" s="16"/>
      <c r="C12" s="16"/>
      <c r="D12" s="16"/>
      <c r="E12" s="16"/>
      <c r="F12" s="18"/>
      <c r="G12" s="23"/>
      <c r="H12" s="26"/>
      <c r="I12" s="26"/>
      <c r="J12" s="75"/>
      <c r="K12" s="138"/>
      <c r="L12" s="139"/>
    </row>
    <row r="13" spans="1:14" ht="38.25" x14ac:dyDescent="0.2">
      <c r="A13" s="57" t="s">
        <v>23</v>
      </c>
      <c r="B13" s="56" t="s">
        <v>71</v>
      </c>
      <c r="C13" s="11"/>
      <c r="D13" s="11"/>
      <c r="E13" s="11"/>
      <c r="F13" s="39">
        <v>1</v>
      </c>
      <c r="G13" s="32" t="s">
        <v>17</v>
      </c>
      <c r="I13" s="48">
        <v>5990000</v>
      </c>
      <c r="J13" s="77">
        <f t="shared" ref="J13:J18" si="0">I13*F13</f>
        <v>5990000</v>
      </c>
      <c r="K13" s="135" t="s">
        <v>88</v>
      </c>
      <c r="L13" s="136"/>
      <c r="M13" s="37"/>
      <c r="N13" s="37"/>
    </row>
    <row r="14" spans="1:14" x14ac:dyDescent="0.2">
      <c r="A14" s="51" t="s">
        <v>60</v>
      </c>
      <c r="B14" s="52" t="s">
        <v>59</v>
      </c>
      <c r="C14" s="11"/>
      <c r="D14" s="11"/>
      <c r="E14" s="11"/>
      <c r="F14" s="39">
        <v>1</v>
      </c>
      <c r="G14" s="32" t="s">
        <v>17</v>
      </c>
      <c r="H14" s="48"/>
      <c r="I14" s="48">
        <f>'Haskell Cost_Est Detail'!T14</f>
        <v>488847.06915</v>
      </c>
      <c r="J14" s="77">
        <f t="shared" si="0"/>
        <v>488847.06915</v>
      </c>
      <c r="K14" s="143" t="s">
        <v>80</v>
      </c>
      <c r="L14" s="144"/>
      <c r="M14" s="37"/>
      <c r="N14" s="37"/>
    </row>
    <row r="15" spans="1:14" x14ac:dyDescent="0.2">
      <c r="A15" s="51" t="s">
        <v>69</v>
      </c>
      <c r="B15" s="52" t="s">
        <v>97</v>
      </c>
      <c r="C15" s="11"/>
      <c r="D15" s="11"/>
      <c r="E15" s="11"/>
      <c r="F15" s="39">
        <v>1</v>
      </c>
      <c r="G15" s="32" t="s">
        <v>17</v>
      </c>
      <c r="I15" s="48">
        <v>250000</v>
      </c>
      <c r="J15" s="77">
        <f t="shared" si="0"/>
        <v>250000</v>
      </c>
      <c r="K15" s="143" t="s">
        <v>88</v>
      </c>
      <c r="L15" s="144"/>
      <c r="M15" s="37"/>
      <c r="N15" s="37"/>
    </row>
    <row r="16" spans="1:14" ht="102" x14ac:dyDescent="0.2">
      <c r="A16" s="57" t="s">
        <v>94</v>
      </c>
      <c r="B16" s="56" t="s">
        <v>109</v>
      </c>
      <c r="C16" s="11"/>
      <c r="D16" s="11"/>
      <c r="E16" s="11"/>
      <c r="F16" s="39">
        <v>1</v>
      </c>
      <c r="G16" s="32" t="s">
        <v>17</v>
      </c>
      <c r="I16" s="48">
        <v>2900000</v>
      </c>
      <c r="J16" s="77">
        <f t="shared" si="0"/>
        <v>2900000</v>
      </c>
      <c r="K16" s="143" t="s">
        <v>98</v>
      </c>
      <c r="L16" s="144"/>
      <c r="M16" s="37"/>
      <c r="N16" s="37"/>
    </row>
    <row r="17" spans="1:14" x14ac:dyDescent="0.2">
      <c r="A17" s="51" t="s">
        <v>95</v>
      </c>
      <c r="B17" s="52" t="s">
        <v>59</v>
      </c>
      <c r="C17" s="11"/>
      <c r="D17" s="11"/>
      <c r="E17" s="11"/>
      <c r="F17" s="39">
        <v>1</v>
      </c>
      <c r="G17" s="32" t="s">
        <v>17</v>
      </c>
      <c r="H17" s="48"/>
      <c r="I17" s="48">
        <f>'Haskell Cost_Est Detail'!T17</f>
        <v>322667.40989999997</v>
      </c>
      <c r="J17" s="77">
        <f t="shared" si="0"/>
        <v>322667.40989999997</v>
      </c>
      <c r="K17" s="143" t="s">
        <v>119</v>
      </c>
      <c r="L17" s="144"/>
      <c r="M17" s="37"/>
      <c r="N17" s="37"/>
    </row>
    <row r="18" spans="1:14" ht="26.25" customHeight="1" x14ac:dyDescent="0.2">
      <c r="A18" s="51" t="s">
        <v>96</v>
      </c>
      <c r="B18" s="52" t="s">
        <v>97</v>
      </c>
      <c r="C18" s="11"/>
      <c r="D18" s="11"/>
      <c r="E18" s="11"/>
      <c r="F18" s="39">
        <v>1</v>
      </c>
      <c r="G18" s="32" t="s">
        <v>17</v>
      </c>
      <c r="I18" s="48">
        <f>I16*0.12</f>
        <v>348000</v>
      </c>
      <c r="J18" s="77">
        <f t="shared" si="0"/>
        <v>348000</v>
      </c>
      <c r="K18" s="143" t="s">
        <v>150</v>
      </c>
      <c r="L18" s="144"/>
      <c r="M18" s="37"/>
      <c r="N18" s="37"/>
    </row>
    <row r="19" spans="1:14" x14ac:dyDescent="0.2">
      <c r="A19" s="51"/>
      <c r="B19" s="52"/>
      <c r="C19" s="11"/>
      <c r="D19" s="11"/>
      <c r="E19" s="11"/>
      <c r="F19" s="39"/>
      <c r="G19" s="32"/>
      <c r="H19" s="48"/>
      <c r="I19" s="48"/>
      <c r="J19" s="77"/>
      <c r="K19" s="145"/>
      <c r="L19" s="146"/>
      <c r="M19" s="37"/>
      <c r="N19" s="37"/>
    </row>
    <row r="20" spans="1:14" x14ac:dyDescent="0.2">
      <c r="A20" s="66" t="s">
        <v>158</v>
      </c>
      <c r="B20" s="56"/>
      <c r="C20" s="11"/>
      <c r="D20" s="11"/>
      <c r="E20" s="11"/>
      <c r="F20" s="39"/>
      <c r="G20" s="32"/>
      <c r="H20" s="48"/>
      <c r="I20" s="48"/>
      <c r="J20" s="77"/>
      <c r="K20" s="145"/>
      <c r="L20" s="146"/>
      <c r="M20" s="37"/>
      <c r="N20" s="37"/>
    </row>
    <row r="21" spans="1:14" x14ac:dyDescent="0.2">
      <c r="A21" s="57" t="s">
        <v>159</v>
      </c>
      <c r="B21" s="56"/>
      <c r="C21" s="11"/>
      <c r="D21" s="11"/>
      <c r="E21" s="11"/>
      <c r="F21" s="39">
        <v>1</v>
      </c>
      <c r="G21" s="32" t="s">
        <v>17</v>
      </c>
      <c r="H21" s="48"/>
      <c r="I21" s="48">
        <v>500000</v>
      </c>
      <c r="J21" s="77">
        <f>I21*F21</f>
        <v>500000</v>
      </c>
      <c r="K21" s="115"/>
      <c r="L21" s="116"/>
      <c r="M21" s="37"/>
      <c r="N21" s="37"/>
    </row>
    <row r="22" spans="1:14" x14ac:dyDescent="0.2">
      <c r="A22" s="57" t="s">
        <v>160</v>
      </c>
      <c r="B22" s="56"/>
      <c r="C22" s="11"/>
      <c r="D22" s="11"/>
      <c r="E22" s="11"/>
      <c r="F22" s="39">
        <v>1</v>
      </c>
      <c r="G22" s="32" t="s">
        <v>17</v>
      </c>
      <c r="H22" s="48"/>
      <c r="I22" s="48">
        <v>500000</v>
      </c>
      <c r="J22" s="77">
        <f>I22*F22</f>
        <v>500000</v>
      </c>
      <c r="K22" s="115"/>
      <c r="L22" s="116"/>
      <c r="M22" s="37"/>
      <c r="N22" s="37"/>
    </row>
    <row r="23" spans="1:14" x14ac:dyDescent="0.2">
      <c r="A23" s="66"/>
      <c r="B23" s="56"/>
      <c r="C23" s="11"/>
      <c r="D23" s="11"/>
      <c r="E23" s="11"/>
      <c r="F23" s="39"/>
      <c r="G23" s="32"/>
      <c r="H23" s="48"/>
      <c r="I23" s="48"/>
      <c r="J23" s="77"/>
      <c r="K23" s="115"/>
      <c r="L23" s="116"/>
      <c r="M23" s="37"/>
      <c r="N23" s="37"/>
    </row>
    <row r="24" spans="1:14" x14ac:dyDescent="0.2">
      <c r="A24" s="66" t="s">
        <v>26</v>
      </c>
      <c r="B24" s="56"/>
      <c r="C24" s="11"/>
      <c r="D24" s="11"/>
      <c r="E24" s="11"/>
      <c r="F24" s="39"/>
      <c r="G24" s="32"/>
      <c r="H24" s="48"/>
      <c r="I24" s="48"/>
      <c r="J24" s="77"/>
      <c r="K24" s="115"/>
      <c r="L24" s="116"/>
      <c r="M24" s="37"/>
      <c r="N24" s="37"/>
    </row>
    <row r="25" spans="1:14" x14ac:dyDescent="0.2">
      <c r="A25" s="57" t="s">
        <v>27</v>
      </c>
      <c r="B25" s="56"/>
      <c r="C25" s="11"/>
      <c r="D25" s="11"/>
      <c r="E25" s="11"/>
      <c r="F25" s="39">
        <v>2</v>
      </c>
      <c r="G25" s="32" t="s">
        <v>17</v>
      </c>
      <c r="H25" s="48"/>
      <c r="I25" s="48">
        <f>'Haskell Cost_Est Detail'!T21</f>
        <v>186396</v>
      </c>
      <c r="J25" s="77">
        <f t="shared" ref="J25:J41" si="1">F25*I25</f>
        <v>372792</v>
      </c>
      <c r="K25" s="145" t="s">
        <v>119</v>
      </c>
      <c r="L25" s="146"/>
      <c r="M25" s="37"/>
      <c r="N25" s="37"/>
    </row>
    <row r="26" spans="1:14" x14ac:dyDescent="0.2">
      <c r="A26" s="57" t="s">
        <v>50</v>
      </c>
      <c r="B26" s="56"/>
      <c r="C26" s="11"/>
      <c r="D26" s="11"/>
      <c r="E26" s="11"/>
      <c r="F26" s="39">
        <v>1</v>
      </c>
      <c r="G26" s="32" t="s">
        <v>17</v>
      </c>
      <c r="H26" s="48"/>
      <c r="I26" s="48">
        <f>'Haskell Cost_Est Detail'!T22</f>
        <v>183008.8</v>
      </c>
      <c r="J26" s="77">
        <f t="shared" si="1"/>
        <v>183008.8</v>
      </c>
      <c r="K26" s="145" t="s">
        <v>119</v>
      </c>
      <c r="L26" s="146"/>
      <c r="M26" s="37"/>
      <c r="N26" s="37"/>
    </row>
    <row r="27" spans="1:14" x14ac:dyDescent="0.2">
      <c r="A27" s="57" t="s">
        <v>51</v>
      </c>
      <c r="B27" s="56"/>
      <c r="C27" s="11"/>
      <c r="D27" s="11"/>
      <c r="E27" s="11"/>
      <c r="F27" s="39">
        <v>1</v>
      </c>
      <c r="G27" s="32" t="s">
        <v>17</v>
      </c>
      <c r="H27" s="48"/>
      <c r="I27" s="48">
        <f>'Haskell Cost_Est Detail'!T23</f>
        <v>2754613.1053500827</v>
      </c>
      <c r="J27" s="77">
        <f t="shared" si="1"/>
        <v>2754613.1053500827</v>
      </c>
      <c r="K27" s="145" t="s">
        <v>119</v>
      </c>
      <c r="L27" s="146"/>
      <c r="M27" s="37"/>
      <c r="N27" s="37"/>
    </row>
    <row r="28" spans="1:14" x14ac:dyDescent="0.2">
      <c r="A28" s="57" t="s">
        <v>52</v>
      </c>
      <c r="B28" s="56"/>
      <c r="C28" s="11"/>
      <c r="D28" s="11"/>
      <c r="E28" s="11"/>
      <c r="F28" s="39">
        <v>1</v>
      </c>
      <c r="G28" s="32" t="s">
        <v>17</v>
      </c>
      <c r="H28" s="48"/>
      <c r="I28" s="48">
        <f>'Haskell Cost_Est Detail'!T24</f>
        <v>642600</v>
      </c>
      <c r="J28" s="77">
        <f t="shared" si="1"/>
        <v>642600</v>
      </c>
      <c r="K28" s="145" t="s">
        <v>119</v>
      </c>
      <c r="L28" s="146"/>
      <c r="M28" s="37"/>
      <c r="N28" s="37"/>
    </row>
    <row r="29" spans="1:14" x14ac:dyDescent="0.2">
      <c r="A29" s="57" t="s">
        <v>100</v>
      </c>
      <c r="B29" s="56"/>
      <c r="C29" s="11"/>
      <c r="D29" s="11"/>
      <c r="E29" s="11"/>
      <c r="F29" s="39">
        <v>1</v>
      </c>
      <c r="G29" s="32" t="s">
        <v>17</v>
      </c>
      <c r="H29" s="48"/>
      <c r="I29" s="48">
        <f>'Haskell Cost_Est Detail'!T25</f>
        <v>140940</v>
      </c>
      <c r="J29" s="77">
        <f t="shared" si="1"/>
        <v>140940</v>
      </c>
      <c r="K29" s="145" t="s">
        <v>119</v>
      </c>
      <c r="L29" s="146"/>
      <c r="M29" s="37"/>
      <c r="N29" s="37"/>
    </row>
    <row r="30" spans="1:14" x14ac:dyDescent="0.2">
      <c r="A30" s="57" t="s">
        <v>101</v>
      </c>
      <c r="B30" s="56"/>
      <c r="C30" s="11"/>
      <c r="D30" s="11"/>
      <c r="E30" s="11"/>
      <c r="F30" s="39">
        <v>1</v>
      </c>
      <c r="G30" s="32" t="s">
        <v>17</v>
      </c>
      <c r="H30" s="48"/>
      <c r="I30" s="48">
        <f>'Haskell Cost_Est Detail'!T26</f>
        <v>567933.09566619131</v>
      </c>
      <c r="J30" s="77">
        <f t="shared" si="1"/>
        <v>567933.09566619131</v>
      </c>
      <c r="K30" s="145" t="s">
        <v>119</v>
      </c>
      <c r="L30" s="146"/>
      <c r="M30" s="37"/>
      <c r="N30" s="37"/>
    </row>
    <row r="31" spans="1:14" x14ac:dyDescent="0.2">
      <c r="A31" s="57" t="s">
        <v>102</v>
      </c>
      <c r="B31" s="56"/>
      <c r="C31" s="11"/>
      <c r="D31" s="11"/>
      <c r="E31" s="11"/>
      <c r="F31" s="39">
        <v>1</v>
      </c>
      <c r="G31" s="32" t="s">
        <v>17</v>
      </c>
      <c r="H31" s="48"/>
      <c r="I31" s="48">
        <f>'Haskell Cost_Est Detail'!T27</f>
        <v>4087081.611</v>
      </c>
      <c r="J31" s="77">
        <f t="shared" si="1"/>
        <v>4087081.611</v>
      </c>
      <c r="K31" s="145" t="s">
        <v>119</v>
      </c>
      <c r="L31" s="146"/>
      <c r="M31" s="37"/>
      <c r="N31" s="37"/>
    </row>
    <row r="32" spans="1:14" x14ac:dyDescent="0.2">
      <c r="A32" s="57" t="s">
        <v>103</v>
      </c>
      <c r="B32" s="56"/>
      <c r="C32" s="11"/>
      <c r="D32" s="11"/>
      <c r="E32" s="11"/>
      <c r="F32" s="39">
        <v>1</v>
      </c>
      <c r="G32" s="32" t="s">
        <v>17</v>
      </c>
      <c r="H32" s="48"/>
      <c r="I32" s="48">
        <f>'Haskell Cost_Est Detail'!T28</f>
        <v>987425.03410006815</v>
      </c>
      <c r="J32" s="77">
        <f t="shared" si="1"/>
        <v>987425.03410006815</v>
      </c>
      <c r="K32" s="145" t="s">
        <v>119</v>
      </c>
      <c r="L32" s="146"/>
      <c r="M32" s="37"/>
      <c r="N32" s="37"/>
    </row>
    <row r="33" spans="1:14" x14ac:dyDescent="0.2">
      <c r="A33" s="57" t="s">
        <v>104</v>
      </c>
      <c r="B33" s="56"/>
      <c r="C33" s="11"/>
      <c r="D33" s="11"/>
      <c r="E33" s="11"/>
      <c r="F33" s="39">
        <v>1</v>
      </c>
      <c r="G33" s="32" t="s">
        <v>17</v>
      </c>
      <c r="H33" s="48"/>
      <c r="I33" s="48">
        <f>'Haskell Cost_Est Detail'!T29</f>
        <v>437542.62508525013</v>
      </c>
      <c r="J33" s="77">
        <f t="shared" si="1"/>
        <v>437542.62508525013</v>
      </c>
      <c r="K33" s="145" t="s">
        <v>119</v>
      </c>
      <c r="L33" s="146"/>
      <c r="M33" s="37"/>
      <c r="N33" s="37"/>
    </row>
    <row r="34" spans="1:14" x14ac:dyDescent="0.2">
      <c r="A34" s="57" t="s">
        <v>28</v>
      </c>
      <c r="B34" s="56"/>
      <c r="C34" s="11"/>
      <c r="D34" s="11"/>
      <c r="E34" s="11"/>
      <c r="F34" s="39">
        <v>5</v>
      </c>
      <c r="G34" s="32" t="s">
        <v>15</v>
      </c>
      <c r="H34" s="48">
        <v>1500</v>
      </c>
      <c r="I34" s="48">
        <f t="shared" ref="I34:I36" si="2">H34*$L$8</f>
        <v>2029.5141767534406</v>
      </c>
      <c r="J34" s="77">
        <f t="shared" si="1"/>
        <v>10147.570883767203</v>
      </c>
      <c r="K34" s="145" t="s">
        <v>119</v>
      </c>
      <c r="L34" s="146"/>
      <c r="M34" s="37"/>
      <c r="N34" s="37"/>
    </row>
    <row r="35" spans="1:14" ht="12.75" customHeight="1" x14ac:dyDescent="0.2">
      <c r="A35" s="57" t="s">
        <v>29</v>
      </c>
      <c r="B35" s="56"/>
      <c r="C35" s="11"/>
      <c r="D35" s="11"/>
      <c r="E35" s="11"/>
      <c r="F35" s="39">
        <v>5</v>
      </c>
      <c r="G35" s="32" t="s">
        <v>15</v>
      </c>
      <c r="H35" s="48">
        <v>1500</v>
      </c>
      <c r="I35" s="48">
        <f t="shared" si="2"/>
        <v>2029.5141767534406</v>
      </c>
      <c r="J35" s="77">
        <f t="shared" si="1"/>
        <v>10147.570883767203</v>
      </c>
      <c r="K35" s="145" t="s">
        <v>119</v>
      </c>
      <c r="L35" s="146"/>
      <c r="M35" s="37"/>
      <c r="N35" s="37"/>
    </row>
    <row r="36" spans="1:14" ht="12.75" customHeight="1" x14ac:dyDescent="0.2">
      <c r="A36" s="57" t="s">
        <v>43</v>
      </c>
      <c r="B36" s="56"/>
      <c r="C36" s="11"/>
      <c r="D36" s="11"/>
      <c r="E36" s="11"/>
      <c r="F36" s="39">
        <v>4</v>
      </c>
      <c r="G36" s="32" t="s">
        <v>15</v>
      </c>
      <c r="H36" s="48">
        <v>1500</v>
      </c>
      <c r="I36" s="48">
        <f t="shared" si="2"/>
        <v>2029.5141767534406</v>
      </c>
      <c r="J36" s="77">
        <f t="shared" si="1"/>
        <v>8118.0567070137622</v>
      </c>
      <c r="K36" s="145" t="s">
        <v>119</v>
      </c>
      <c r="L36" s="146"/>
      <c r="M36" s="37"/>
      <c r="N36" s="37"/>
    </row>
    <row r="37" spans="1:14" ht="25.5" x14ac:dyDescent="0.2">
      <c r="A37" s="57" t="s">
        <v>55</v>
      </c>
      <c r="B37" s="56" t="s">
        <v>53</v>
      </c>
      <c r="C37" s="11"/>
      <c r="D37" s="11"/>
      <c r="E37" s="11"/>
      <c r="F37" s="39">
        <v>4</v>
      </c>
      <c r="G37" s="32" t="s">
        <v>30</v>
      </c>
      <c r="H37" s="48">
        <v>10800</v>
      </c>
      <c r="I37" s="48">
        <f t="shared" ref="I37:I41" si="3">H37*$L$8</f>
        <v>14612.502072624771</v>
      </c>
      <c r="J37" s="77">
        <f t="shared" si="1"/>
        <v>58450.008290499085</v>
      </c>
      <c r="K37" s="145" t="s">
        <v>119</v>
      </c>
      <c r="L37" s="146"/>
      <c r="M37" s="37"/>
      <c r="N37" s="37"/>
    </row>
    <row r="38" spans="1:14" ht="12.75" customHeight="1" x14ac:dyDescent="0.2">
      <c r="A38" s="57" t="s">
        <v>54</v>
      </c>
      <c r="B38" s="56"/>
      <c r="C38" s="11"/>
      <c r="D38" s="11"/>
      <c r="E38" s="11"/>
      <c r="F38" s="39">
        <v>6</v>
      </c>
      <c r="G38" s="32" t="s">
        <v>15</v>
      </c>
      <c r="H38" s="48">
        <v>1250</v>
      </c>
      <c r="I38" s="48">
        <f t="shared" si="3"/>
        <v>1691.2618139612005</v>
      </c>
      <c r="J38" s="77">
        <f t="shared" si="1"/>
        <v>10147.570883767203</v>
      </c>
      <c r="K38" s="145" t="s">
        <v>119</v>
      </c>
      <c r="L38" s="146"/>
      <c r="M38" s="37"/>
      <c r="N38" s="37"/>
    </row>
    <row r="39" spans="1:14" ht="12.75" customHeight="1" x14ac:dyDescent="0.2">
      <c r="A39" s="57" t="s">
        <v>56</v>
      </c>
      <c r="B39" s="56"/>
      <c r="C39" s="11"/>
      <c r="D39" s="11"/>
      <c r="E39" s="11"/>
      <c r="F39" s="67">
        <v>10</v>
      </c>
      <c r="G39" s="32" t="s">
        <v>30</v>
      </c>
      <c r="H39" s="48">
        <v>10800</v>
      </c>
      <c r="I39" s="48">
        <f t="shared" si="3"/>
        <v>14612.502072624771</v>
      </c>
      <c r="J39" s="77">
        <f t="shared" si="1"/>
        <v>146125.02072624772</v>
      </c>
      <c r="K39" s="145" t="s">
        <v>119</v>
      </c>
      <c r="L39" s="146"/>
      <c r="M39" s="37"/>
      <c r="N39" s="37"/>
    </row>
    <row r="40" spans="1:14" ht="12.75" customHeight="1" x14ac:dyDescent="0.2">
      <c r="A40" s="57" t="s">
        <v>57</v>
      </c>
      <c r="B40" s="56"/>
      <c r="C40" s="11"/>
      <c r="D40" s="11"/>
      <c r="E40" s="11"/>
      <c r="F40" s="39">
        <v>40</v>
      </c>
      <c r="G40" s="32" t="s">
        <v>15</v>
      </c>
      <c r="H40" s="48">
        <v>1000</v>
      </c>
      <c r="I40" s="48">
        <f t="shared" si="3"/>
        <v>1353.0094511689604</v>
      </c>
      <c r="J40" s="77">
        <f t="shared" si="1"/>
        <v>54120.378046758415</v>
      </c>
      <c r="K40" s="145" t="s">
        <v>119</v>
      </c>
      <c r="L40" s="146"/>
      <c r="M40" s="37"/>
      <c r="N40" s="37"/>
    </row>
    <row r="41" spans="1:14" ht="12.75" customHeight="1" x14ac:dyDescent="0.2">
      <c r="A41" s="57" t="s">
        <v>58</v>
      </c>
      <c r="B41" s="56"/>
      <c r="C41" s="11"/>
      <c r="D41" s="11"/>
      <c r="E41" s="11"/>
      <c r="F41" s="68">
        <v>3</v>
      </c>
      <c r="G41" s="32" t="s">
        <v>30</v>
      </c>
      <c r="H41" s="48">
        <v>10800</v>
      </c>
      <c r="I41" s="48">
        <f t="shared" si="3"/>
        <v>14612.502072624771</v>
      </c>
      <c r="J41" s="77">
        <f t="shared" si="1"/>
        <v>43837.50621787431</v>
      </c>
      <c r="K41" s="145" t="s">
        <v>119</v>
      </c>
      <c r="L41" s="146"/>
      <c r="M41" s="37"/>
      <c r="N41" s="37"/>
    </row>
    <row r="42" spans="1:14" ht="38.25" x14ac:dyDescent="0.2">
      <c r="A42" s="57" t="s">
        <v>44</v>
      </c>
      <c r="B42" s="56" t="s">
        <v>156</v>
      </c>
      <c r="C42" s="11"/>
      <c r="D42" s="11"/>
      <c r="E42" s="11"/>
      <c r="F42" s="87">
        <v>50</v>
      </c>
      <c r="G42" s="32" t="s">
        <v>30</v>
      </c>
      <c r="H42" s="48"/>
      <c r="I42" s="48">
        <f>J42/F42</f>
        <v>27571.654999999999</v>
      </c>
      <c r="J42" s="77">
        <f>'Haskell Cost_Est Detail'!T38</f>
        <v>1378582.75</v>
      </c>
      <c r="K42" s="145" t="s">
        <v>141</v>
      </c>
      <c r="L42" s="146"/>
      <c r="M42" s="37"/>
      <c r="N42" s="37"/>
    </row>
    <row r="43" spans="1:14" ht="25.5" x14ac:dyDescent="0.2">
      <c r="A43" s="57" t="s">
        <v>151</v>
      </c>
      <c r="B43" s="56" t="s">
        <v>152</v>
      </c>
      <c r="C43" s="11"/>
      <c r="D43" s="11"/>
      <c r="E43" s="11"/>
      <c r="F43" s="87">
        <v>1</v>
      </c>
      <c r="G43" s="32" t="s">
        <v>17</v>
      </c>
      <c r="H43" s="48">
        <v>958150</v>
      </c>
      <c r="I43" s="48">
        <f>H43</f>
        <v>958150</v>
      </c>
      <c r="J43" s="77">
        <f>I43*F43</f>
        <v>958150</v>
      </c>
      <c r="K43" s="138" t="s">
        <v>153</v>
      </c>
      <c r="L43" s="139"/>
      <c r="M43" s="37"/>
      <c r="N43" s="37"/>
    </row>
    <row r="44" spans="1:14" ht="51" customHeight="1" x14ac:dyDescent="0.2">
      <c r="A44" s="57" t="s">
        <v>154</v>
      </c>
      <c r="B44" s="56" t="s">
        <v>155</v>
      </c>
      <c r="C44" s="11"/>
      <c r="D44" s="11"/>
      <c r="E44" s="11"/>
      <c r="F44" s="87">
        <v>1</v>
      </c>
      <c r="G44" s="32" t="s">
        <v>17</v>
      </c>
      <c r="H44" s="48">
        <f>3000*500</f>
        <v>1500000</v>
      </c>
      <c r="I44" s="48">
        <v>1500000</v>
      </c>
      <c r="J44" s="77">
        <f>H44*F44</f>
        <v>1500000</v>
      </c>
      <c r="K44" s="138" t="s">
        <v>163</v>
      </c>
      <c r="L44" s="139"/>
      <c r="M44" s="37"/>
      <c r="N44" s="37"/>
    </row>
    <row r="45" spans="1:14" x14ac:dyDescent="0.2">
      <c r="A45" s="57" t="s">
        <v>157</v>
      </c>
      <c r="B45" s="56" t="s">
        <v>162</v>
      </c>
      <c r="C45" s="11"/>
      <c r="D45" s="11"/>
      <c r="E45" s="11"/>
      <c r="F45" s="87">
        <v>1</v>
      </c>
      <c r="G45" s="32" t="s">
        <v>17</v>
      </c>
      <c r="H45" s="48">
        <f>23000*750</f>
        <v>17250000</v>
      </c>
      <c r="I45" s="48">
        <f>H45</f>
        <v>17250000</v>
      </c>
      <c r="J45" s="77">
        <f>H45*F45</f>
        <v>17250000</v>
      </c>
      <c r="K45" s="117" t="s">
        <v>161</v>
      </c>
      <c r="L45" s="111"/>
      <c r="M45" s="37"/>
      <c r="N45" s="37"/>
    </row>
    <row r="46" spans="1:14" x14ac:dyDescent="0.2">
      <c r="A46" s="21"/>
      <c r="B46" s="11"/>
      <c r="C46" s="11"/>
      <c r="D46" s="11"/>
      <c r="E46" s="11"/>
      <c r="F46" s="39"/>
      <c r="G46" s="32"/>
      <c r="H46" s="29"/>
      <c r="I46" s="29"/>
      <c r="J46" s="75"/>
      <c r="K46" s="147"/>
      <c r="L46" s="148"/>
      <c r="M46" s="37"/>
      <c r="N46" s="37"/>
    </row>
    <row r="47" spans="1:14" x14ac:dyDescent="0.2">
      <c r="A47" s="31" t="s">
        <v>24</v>
      </c>
      <c r="B47" s="11"/>
      <c r="C47" s="11"/>
      <c r="D47" s="11"/>
      <c r="E47" s="11"/>
      <c r="F47" s="39"/>
      <c r="G47" s="32"/>
      <c r="H47" s="29"/>
      <c r="I47" s="29"/>
      <c r="J47" s="75"/>
      <c r="K47" s="145"/>
      <c r="L47" s="146"/>
      <c r="M47" s="37"/>
      <c r="N47" s="37"/>
    </row>
    <row r="48" spans="1:14" ht="51" x14ac:dyDescent="0.2">
      <c r="A48" s="54" t="s">
        <v>63</v>
      </c>
      <c r="B48" s="56"/>
      <c r="C48" s="11"/>
      <c r="D48" s="11"/>
      <c r="E48" s="11"/>
      <c r="F48" s="18">
        <v>300</v>
      </c>
      <c r="G48" s="16" t="s">
        <v>16</v>
      </c>
      <c r="H48" s="48">
        <v>350</v>
      </c>
      <c r="I48" s="48">
        <f t="shared" ref="I48:I52" si="4">H48*$L$8</f>
        <v>473.55330790913609</v>
      </c>
      <c r="J48" s="77">
        <f t="shared" ref="J48:J52" si="5">F48*I48</f>
        <v>142065.99237274082</v>
      </c>
      <c r="K48" s="145" t="s">
        <v>119</v>
      </c>
      <c r="L48" s="146"/>
      <c r="M48" s="37"/>
      <c r="N48" s="37"/>
    </row>
    <row r="49" spans="1:14" ht="51" x14ac:dyDescent="0.2">
      <c r="A49" s="54" t="s">
        <v>64</v>
      </c>
      <c r="B49" s="56"/>
      <c r="C49" s="11"/>
      <c r="D49" s="11"/>
      <c r="E49" s="11"/>
      <c r="F49" s="40">
        <v>310</v>
      </c>
      <c r="G49" s="32" t="s">
        <v>16</v>
      </c>
      <c r="H49" s="48">
        <v>350</v>
      </c>
      <c r="I49" s="48">
        <f t="shared" si="4"/>
        <v>473.55330790913609</v>
      </c>
      <c r="J49" s="77">
        <f t="shared" si="5"/>
        <v>146801.52545183219</v>
      </c>
      <c r="K49" s="145" t="s">
        <v>119</v>
      </c>
      <c r="L49" s="146"/>
      <c r="M49" s="37"/>
      <c r="N49" s="37"/>
    </row>
    <row r="50" spans="1:14" ht="51" x14ac:dyDescent="0.2">
      <c r="A50" s="54" t="s">
        <v>65</v>
      </c>
      <c r="B50" s="56"/>
      <c r="C50" s="11"/>
      <c r="D50" s="11"/>
      <c r="E50" s="11"/>
      <c r="F50" s="40">
        <v>280</v>
      </c>
      <c r="G50" s="32" t="s">
        <v>16</v>
      </c>
      <c r="H50" s="48">
        <v>350</v>
      </c>
      <c r="I50" s="48">
        <f t="shared" si="4"/>
        <v>473.55330790913609</v>
      </c>
      <c r="J50" s="77">
        <f t="shared" si="5"/>
        <v>132594.9262145581</v>
      </c>
      <c r="K50" s="145" t="s">
        <v>119</v>
      </c>
      <c r="L50" s="146"/>
      <c r="M50" s="37"/>
      <c r="N50" s="37"/>
    </row>
    <row r="51" spans="1:14" ht="38.25" x14ac:dyDescent="0.2">
      <c r="A51" s="54" t="s">
        <v>66</v>
      </c>
      <c r="B51" s="56"/>
      <c r="C51" s="11"/>
      <c r="D51" s="11"/>
      <c r="E51" s="11"/>
      <c r="F51" s="40">
        <v>200</v>
      </c>
      <c r="G51" s="32" t="s">
        <v>16</v>
      </c>
      <c r="H51" s="48">
        <v>350</v>
      </c>
      <c r="I51" s="48">
        <f t="shared" si="4"/>
        <v>473.55330790913609</v>
      </c>
      <c r="J51" s="77">
        <f t="shared" si="5"/>
        <v>94710.661581827226</v>
      </c>
      <c r="K51" s="145" t="s">
        <v>119</v>
      </c>
      <c r="L51" s="146"/>
      <c r="M51" s="37"/>
      <c r="N51" s="37"/>
    </row>
    <row r="52" spans="1:14" ht="12.75" customHeight="1" x14ac:dyDescent="0.2">
      <c r="A52" s="54" t="s">
        <v>110</v>
      </c>
      <c r="B52" s="56"/>
      <c r="C52" s="11"/>
      <c r="D52" s="11"/>
      <c r="E52" s="11"/>
      <c r="F52" s="40">
        <v>200</v>
      </c>
      <c r="G52" s="32" t="s">
        <v>16</v>
      </c>
      <c r="H52" s="48">
        <v>350</v>
      </c>
      <c r="I52" s="48">
        <f t="shared" si="4"/>
        <v>473.55330790913609</v>
      </c>
      <c r="J52" s="77">
        <f t="shared" si="5"/>
        <v>94710.661581827226</v>
      </c>
      <c r="K52" s="145" t="s">
        <v>119</v>
      </c>
      <c r="L52" s="146"/>
      <c r="M52" s="37"/>
      <c r="N52" s="37"/>
    </row>
    <row r="53" spans="1:14" x14ac:dyDescent="0.2">
      <c r="A53" s="54"/>
      <c r="B53" s="56"/>
      <c r="C53" s="11"/>
      <c r="D53" s="11"/>
      <c r="E53" s="11"/>
      <c r="F53" s="40"/>
      <c r="G53" s="32"/>
      <c r="H53" s="48"/>
      <c r="I53" s="48"/>
      <c r="J53" s="77"/>
      <c r="K53" s="145"/>
      <c r="L53" s="146"/>
      <c r="M53" s="37"/>
      <c r="N53" s="37"/>
    </row>
    <row r="54" spans="1:14" x14ac:dyDescent="0.2">
      <c r="A54" s="31" t="s">
        <v>13</v>
      </c>
      <c r="B54" s="11"/>
      <c r="C54" s="11"/>
      <c r="D54" s="11"/>
      <c r="E54" s="11"/>
      <c r="F54" s="39"/>
      <c r="G54" s="32"/>
      <c r="H54" s="29"/>
      <c r="I54" s="29"/>
      <c r="J54" s="75"/>
      <c r="K54" s="145"/>
      <c r="L54" s="146"/>
      <c r="M54" s="37"/>
      <c r="N54" s="37"/>
    </row>
    <row r="55" spans="1:14" x14ac:dyDescent="0.2">
      <c r="A55" s="19" t="s">
        <v>112</v>
      </c>
      <c r="B55" s="11" t="s">
        <v>40</v>
      </c>
      <c r="C55" s="11"/>
      <c r="D55" s="11"/>
      <c r="E55" s="11"/>
      <c r="F55" s="39">
        <v>1</v>
      </c>
      <c r="G55" s="32" t="s">
        <v>17</v>
      </c>
      <c r="H55" s="29"/>
      <c r="I55" s="29">
        <v>192750</v>
      </c>
      <c r="J55" s="75">
        <f>I55</f>
        <v>192750</v>
      </c>
      <c r="K55" s="145" t="s">
        <v>113</v>
      </c>
      <c r="L55" s="146"/>
      <c r="M55" s="37"/>
      <c r="N55" s="37"/>
    </row>
    <row r="56" spans="1:14" x14ac:dyDescent="0.2">
      <c r="A56" s="19" t="s">
        <v>114</v>
      </c>
      <c r="B56" s="11" t="s">
        <v>116</v>
      </c>
      <c r="C56" s="11"/>
      <c r="D56" s="11"/>
      <c r="E56" s="11"/>
      <c r="F56" s="40">
        <v>2</v>
      </c>
      <c r="G56" s="32" t="s">
        <v>17</v>
      </c>
      <c r="H56" s="29"/>
      <c r="I56" s="29">
        <v>110000</v>
      </c>
      <c r="J56" s="75">
        <f t="shared" ref="J56:J64" si="6">I56*F56</f>
        <v>220000</v>
      </c>
      <c r="K56" s="145" t="s">
        <v>115</v>
      </c>
      <c r="L56" s="146"/>
      <c r="M56" s="37"/>
      <c r="N56" s="37"/>
    </row>
    <row r="57" spans="1:14" x14ac:dyDescent="0.2">
      <c r="A57" s="54" t="s">
        <v>25</v>
      </c>
      <c r="B57" s="56" t="s">
        <v>40</v>
      </c>
      <c r="C57" s="11"/>
      <c r="D57" s="11"/>
      <c r="E57" s="11"/>
      <c r="F57" s="39">
        <v>2</v>
      </c>
      <c r="G57" s="16" t="s">
        <v>17</v>
      </c>
      <c r="H57" s="48"/>
      <c r="I57" s="48">
        <v>103750</v>
      </c>
      <c r="J57" s="77">
        <f t="shared" si="6"/>
        <v>207500</v>
      </c>
      <c r="K57" s="145" t="s">
        <v>111</v>
      </c>
      <c r="L57" s="146"/>
      <c r="M57" s="37"/>
      <c r="N57" s="37"/>
    </row>
    <row r="58" spans="1:14" x14ac:dyDescent="0.2">
      <c r="A58" s="54" t="s">
        <v>34</v>
      </c>
      <c r="B58" s="56" t="s">
        <v>40</v>
      </c>
      <c r="C58" s="11"/>
      <c r="D58" s="11"/>
      <c r="E58" s="11"/>
      <c r="F58" s="39">
        <v>2</v>
      </c>
      <c r="G58" s="16" t="s">
        <v>17</v>
      </c>
      <c r="H58" s="48"/>
      <c r="I58" s="48">
        <v>11805</v>
      </c>
      <c r="J58" s="77">
        <f t="shared" si="6"/>
        <v>23610</v>
      </c>
      <c r="K58" s="145" t="s">
        <v>111</v>
      </c>
      <c r="L58" s="146"/>
      <c r="M58" s="37"/>
      <c r="N58" s="37"/>
    </row>
    <row r="59" spans="1:14" x14ac:dyDescent="0.2">
      <c r="A59" s="54" t="s">
        <v>118</v>
      </c>
      <c r="B59" s="56" t="s">
        <v>40</v>
      </c>
      <c r="C59" s="11"/>
      <c r="D59" s="11"/>
      <c r="E59" s="11"/>
      <c r="F59" s="40">
        <v>2500</v>
      </c>
      <c r="G59" s="32" t="s">
        <v>16</v>
      </c>
      <c r="H59" s="48"/>
      <c r="I59" s="48">
        <v>35</v>
      </c>
      <c r="J59" s="77">
        <f t="shared" si="6"/>
        <v>87500</v>
      </c>
      <c r="K59" s="145" t="s">
        <v>117</v>
      </c>
      <c r="L59" s="146"/>
      <c r="M59" s="37"/>
      <c r="N59" s="37"/>
    </row>
    <row r="60" spans="1:14" x14ac:dyDescent="0.2">
      <c r="A60" s="55" t="s">
        <v>35</v>
      </c>
      <c r="B60" s="56" t="s">
        <v>40</v>
      </c>
      <c r="C60" s="11"/>
      <c r="D60" s="11"/>
      <c r="E60" s="11"/>
      <c r="F60">
        <v>9000</v>
      </c>
      <c r="G60" s="16" t="s">
        <v>16</v>
      </c>
      <c r="I60" s="48">
        <v>20</v>
      </c>
      <c r="J60" s="77">
        <f t="shared" si="6"/>
        <v>180000</v>
      </c>
      <c r="K60" s="145" t="s">
        <v>106</v>
      </c>
      <c r="L60" s="146"/>
      <c r="M60" s="37"/>
      <c r="N60" s="37"/>
    </row>
    <row r="61" spans="1:14" x14ac:dyDescent="0.2">
      <c r="A61" s="55" t="s">
        <v>36</v>
      </c>
      <c r="B61" s="56" t="s">
        <v>40</v>
      </c>
      <c r="C61" s="11"/>
      <c r="D61" s="11"/>
      <c r="E61" s="11"/>
      <c r="F61">
        <v>9300</v>
      </c>
      <c r="G61" s="16" t="s">
        <v>16</v>
      </c>
      <c r="I61" s="48">
        <v>30</v>
      </c>
      <c r="J61" s="77">
        <f t="shared" si="6"/>
        <v>279000</v>
      </c>
      <c r="K61" s="145" t="s">
        <v>107</v>
      </c>
      <c r="L61" s="146"/>
      <c r="M61" s="37"/>
      <c r="N61" s="37"/>
    </row>
    <row r="62" spans="1:14" x14ac:dyDescent="0.2">
      <c r="A62" s="55" t="s">
        <v>37</v>
      </c>
      <c r="B62" s="56" t="s">
        <v>42</v>
      </c>
      <c r="C62" s="11"/>
      <c r="D62" s="11"/>
      <c r="E62" s="11"/>
      <c r="F62">
        <v>496</v>
      </c>
      <c r="G62" s="16" t="s">
        <v>17</v>
      </c>
      <c r="H62" s="48"/>
      <c r="I62" s="48">
        <v>100</v>
      </c>
      <c r="J62" s="77">
        <f t="shared" si="6"/>
        <v>49600</v>
      </c>
      <c r="K62" s="145" t="s">
        <v>119</v>
      </c>
      <c r="L62" s="146"/>
      <c r="M62" s="37"/>
      <c r="N62" s="88"/>
    </row>
    <row r="63" spans="1:14" ht="25.5" x14ac:dyDescent="0.2">
      <c r="A63" s="55" t="s">
        <v>38</v>
      </c>
      <c r="B63" s="56" t="s">
        <v>39</v>
      </c>
      <c r="C63" s="11"/>
      <c r="D63" s="11"/>
      <c r="E63" s="11"/>
      <c r="F63">
        <v>50</v>
      </c>
      <c r="G63" s="16" t="s">
        <v>17</v>
      </c>
      <c r="I63" s="48">
        <v>2000</v>
      </c>
      <c r="J63" s="77">
        <f t="shared" si="6"/>
        <v>100000</v>
      </c>
      <c r="K63" s="145" t="s">
        <v>119</v>
      </c>
      <c r="L63" s="146"/>
      <c r="M63" s="37"/>
      <c r="N63" s="37"/>
    </row>
    <row r="64" spans="1:14" x14ac:dyDescent="0.2">
      <c r="A64" s="55" t="s">
        <v>41</v>
      </c>
      <c r="B64" s="56" t="s">
        <v>40</v>
      </c>
      <c r="C64" s="11"/>
      <c r="D64" s="11"/>
      <c r="E64" s="11"/>
      <c r="F64">
        <v>1050</v>
      </c>
      <c r="G64" s="16" t="s">
        <v>16</v>
      </c>
      <c r="I64" s="48">
        <v>15</v>
      </c>
      <c r="J64" s="77">
        <f t="shared" si="6"/>
        <v>15750</v>
      </c>
      <c r="K64" s="145" t="s">
        <v>119</v>
      </c>
      <c r="L64" s="146"/>
      <c r="M64" s="37"/>
      <c r="N64" s="37"/>
    </row>
    <row r="65" spans="1:23" x14ac:dyDescent="0.2">
      <c r="A65" s="21"/>
      <c r="B65" s="11"/>
      <c r="C65" s="11"/>
      <c r="D65" s="11"/>
      <c r="E65" s="11"/>
      <c r="F65" s="40"/>
      <c r="G65" s="32"/>
      <c r="H65" s="29"/>
      <c r="I65" s="29"/>
      <c r="J65" s="75"/>
      <c r="K65" s="145"/>
      <c r="L65" s="146"/>
      <c r="M65" s="37"/>
      <c r="N65" s="37"/>
    </row>
    <row r="66" spans="1:23" x14ac:dyDescent="0.2">
      <c r="A66" s="31" t="s">
        <v>61</v>
      </c>
      <c r="B66" s="11"/>
      <c r="C66" s="11"/>
      <c r="D66" s="11"/>
      <c r="E66" s="11"/>
      <c r="F66" s="40"/>
      <c r="G66" s="32"/>
      <c r="H66" s="29"/>
      <c r="I66" s="29"/>
      <c r="J66" s="75"/>
      <c r="K66" s="145"/>
      <c r="L66" s="146"/>
      <c r="M66" s="37"/>
      <c r="N66" s="37"/>
    </row>
    <row r="67" spans="1:23" x14ac:dyDescent="0.2">
      <c r="A67" s="21" t="s">
        <v>68</v>
      </c>
      <c r="B67" s="11"/>
      <c r="C67" s="11"/>
      <c r="D67" s="11"/>
      <c r="E67" s="11"/>
      <c r="F67" s="40">
        <v>1</v>
      </c>
      <c r="G67" s="32" t="s">
        <v>17</v>
      </c>
      <c r="H67" s="29">
        <f>76428</f>
        <v>76428</v>
      </c>
      <c r="I67" s="29">
        <f>76428*$L$8</f>
        <v>103407.80633394131</v>
      </c>
      <c r="J67" s="77">
        <f>F67*I67</f>
        <v>103407.80633394131</v>
      </c>
      <c r="K67" s="145"/>
      <c r="L67" s="146"/>
      <c r="M67" s="37"/>
      <c r="N67" s="37"/>
    </row>
    <row r="68" spans="1:23" x14ac:dyDescent="0.2">
      <c r="A68" s="21"/>
      <c r="B68" s="11"/>
      <c r="C68" s="11"/>
      <c r="D68" s="11"/>
      <c r="E68" s="11"/>
      <c r="F68" s="40"/>
      <c r="G68" s="32"/>
      <c r="H68" s="29"/>
      <c r="I68" s="29"/>
      <c r="J68" s="77"/>
      <c r="K68" s="145"/>
      <c r="L68" s="146"/>
      <c r="M68" s="37"/>
      <c r="N68" s="37"/>
    </row>
    <row r="69" spans="1:23" x14ac:dyDescent="0.2">
      <c r="A69" s="86" t="s">
        <v>91</v>
      </c>
      <c r="B69" s="11"/>
      <c r="C69" s="11"/>
      <c r="D69" s="11"/>
      <c r="E69" s="11"/>
      <c r="F69" s="40"/>
      <c r="G69" s="32"/>
      <c r="H69" s="29"/>
      <c r="I69" s="29"/>
      <c r="J69" s="77"/>
      <c r="K69" s="145"/>
      <c r="L69" s="146"/>
      <c r="M69" s="37"/>
      <c r="N69" s="37"/>
    </row>
    <row r="70" spans="1:23" ht="25.5" x14ac:dyDescent="0.2">
      <c r="A70" s="55" t="s">
        <v>47</v>
      </c>
      <c r="B70" s="56" t="s">
        <v>46</v>
      </c>
      <c r="C70" s="11"/>
      <c r="D70" s="11"/>
      <c r="E70" s="11"/>
      <c r="F70" s="40">
        <v>24</v>
      </c>
      <c r="G70" s="32" t="s">
        <v>49</v>
      </c>
      <c r="H70" s="29"/>
      <c r="I70" s="29">
        <v>7200</v>
      </c>
      <c r="J70" s="77">
        <f>F70*I70</f>
        <v>172800</v>
      </c>
      <c r="K70" s="145" t="s">
        <v>119</v>
      </c>
      <c r="L70" s="146"/>
      <c r="M70" s="37"/>
      <c r="N70" s="37"/>
    </row>
    <row r="71" spans="1:23" x14ac:dyDescent="0.2">
      <c r="A71" s="55" t="s">
        <v>48</v>
      </c>
      <c r="B71" s="56" t="s">
        <v>45</v>
      </c>
      <c r="C71" s="11"/>
      <c r="D71" s="11"/>
      <c r="E71" s="11"/>
      <c r="F71" s="40">
        <v>135</v>
      </c>
      <c r="G71" s="32" t="s">
        <v>31</v>
      </c>
      <c r="H71" s="29"/>
      <c r="I71" s="29">
        <v>4900</v>
      </c>
      <c r="J71" s="77">
        <f>F71*I71</f>
        <v>661500</v>
      </c>
      <c r="K71" s="145" t="s">
        <v>119</v>
      </c>
      <c r="L71" s="146"/>
      <c r="M71" s="37"/>
      <c r="N71" s="37"/>
    </row>
    <row r="72" spans="1:23" x14ac:dyDescent="0.2">
      <c r="A72" s="21"/>
      <c r="B72" s="11"/>
      <c r="C72" s="11"/>
      <c r="D72" s="11"/>
      <c r="E72" s="11"/>
      <c r="F72" s="40"/>
      <c r="G72" s="32"/>
      <c r="H72" s="29"/>
      <c r="I72" s="29"/>
      <c r="J72" s="75"/>
      <c r="K72" s="145"/>
      <c r="L72" s="146"/>
      <c r="M72" s="37"/>
      <c r="N72" s="37"/>
    </row>
    <row r="73" spans="1:23" x14ac:dyDescent="0.2">
      <c r="A73" s="20"/>
      <c r="B73" s="16"/>
      <c r="C73" s="16"/>
      <c r="D73" s="16"/>
      <c r="E73" s="16"/>
      <c r="F73" s="22"/>
      <c r="G73" s="25"/>
      <c r="H73" s="26" t="s">
        <v>19</v>
      </c>
      <c r="I73" s="26"/>
      <c r="J73" s="75">
        <f>SUM(J13:J71)</f>
        <v>45805578.756428018</v>
      </c>
      <c r="K73" s="145"/>
      <c r="L73" s="146"/>
    </row>
    <row r="74" spans="1:23" x14ac:dyDescent="0.2">
      <c r="A74" s="21"/>
      <c r="B74" s="16"/>
      <c r="C74" s="16"/>
      <c r="D74" s="16"/>
      <c r="E74" s="16"/>
      <c r="F74" s="22"/>
      <c r="G74" s="25"/>
      <c r="H74" s="26"/>
      <c r="I74" s="26"/>
      <c r="J74" s="75"/>
      <c r="K74" s="145"/>
      <c r="L74" s="146"/>
    </row>
    <row r="75" spans="1:23" x14ac:dyDescent="0.2">
      <c r="A75" s="21"/>
      <c r="B75" s="16"/>
      <c r="C75" s="16"/>
      <c r="F75" s="22"/>
      <c r="G75" s="18" t="s">
        <v>72</v>
      </c>
      <c r="H75" s="81">
        <v>0.05</v>
      </c>
      <c r="I75" s="81"/>
      <c r="J75" s="75">
        <f>$J$73*H75</f>
        <v>2290278.9378214008</v>
      </c>
      <c r="K75" s="145" t="s">
        <v>119</v>
      </c>
      <c r="L75" s="146"/>
      <c r="U75" s="79">
        <v>0.08</v>
      </c>
      <c r="W75" s="37">
        <f>$J$73*U75</f>
        <v>3664446.3005142417</v>
      </c>
    </row>
    <row r="76" spans="1:23" x14ac:dyDescent="0.2">
      <c r="A76" s="21"/>
      <c r="B76" s="16"/>
      <c r="C76" s="16"/>
      <c r="F76" s="22"/>
      <c r="G76" s="18" t="s">
        <v>73</v>
      </c>
      <c r="H76" s="81">
        <v>0.1</v>
      </c>
      <c r="I76" s="81"/>
      <c r="J76" s="75">
        <f>($J$73--J70-J71)*H76</f>
        <v>4531687.8756428016</v>
      </c>
      <c r="K76" s="145" t="s">
        <v>119</v>
      </c>
      <c r="L76" s="146"/>
      <c r="U76" s="79">
        <v>0.4</v>
      </c>
      <c r="W76" s="37">
        <f>($J$73-$J$13-$J$15-$J$70-$J$71)*U76</f>
        <v>15492511.502571208</v>
      </c>
    </row>
    <row r="77" spans="1:23" x14ac:dyDescent="0.2">
      <c r="A77" s="21"/>
      <c r="B77" s="16"/>
      <c r="C77" s="16"/>
      <c r="F77" s="22"/>
      <c r="G77" s="18" t="s">
        <v>74</v>
      </c>
      <c r="H77" s="81">
        <v>0.15</v>
      </c>
      <c r="I77" s="81"/>
      <c r="J77" s="75">
        <f>$J$73*H77</f>
        <v>6870836.8134642029</v>
      </c>
      <c r="K77" s="145" t="s">
        <v>119</v>
      </c>
      <c r="L77" s="146"/>
      <c r="U77" s="79">
        <v>0.15</v>
      </c>
      <c r="W77" s="37">
        <f>$J$73*U77</f>
        <v>6870836.8134642029</v>
      </c>
    </row>
    <row r="78" spans="1:23" x14ac:dyDescent="0.2">
      <c r="B78" s="17"/>
      <c r="C78" s="17"/>
      <c r="F78" s="18"/>
      <c r="G78" s="18" t="s">
        <v>75</v>
      </c>
      <c r="H78" s="81">
        <v>0.05</v>
      </c>
      <c r="I78" s="81"/>
      <c r="J78" s="75">
        <f>($J$73-J70-J71)*H78</f>
        <v>2248563.9378214008</v>
      </c>
      <c r="K78" s="145" t="s">
        <v>119</v>
      </c>
      <c r="L78" s="146"/>
      <c r="U78" s="79">
        <v>0.1</v>
      </c>
      <c r="W78" s="37">
        <f>($J$73-J71)*U78</f>
        <v>4514407.8756428016</v>
      </c>
    </row>
    <row r="79" spans="1:23" x14ac:dyDescent="0.2">
      <c r="A79" s="19"/>
      <c r="B79" s="17"/>
      <c r="C79" s="17"/>
      <c r="F79" s="18"/>
      <c r="G79" s="18" t="s">
        <v>76</v>
      </c>
      <c r="H79" s="81">
        <v>0.1</v>
      </c>
      <c r="I79" s="81"/>
      <c r="J79" s="75">
        <f>($J$73+J75+J76+J77+J78)*H79</f>
        <v>6174694.6321177827</v>
      </c>
      <c r="K79" s="145" t="s">
        <v>108</v>
      </c>
      <c r="L79" s="146"/>
      <c r="U79" s="79">
        <v>0.15</v>
      </c>
      <c r="W79" s="37">
        <f>($J$73+W75+W76+W77+W78)*U79</f>
        <v>11452167.187293071</v>
      </c>
    </row>
    <row r="80" spans="1:23" x14ac:dyDescent="0.2">
      <c r="A80" s="19"/>
      <c r="B80" s="17"/>
      <c r="C80" s="17"/>
      <c r="F80" s="18"/>
      <c r="G80" s="18" t="s">
        <v>77</v>
      </c>
      <c r="H80" s="81">
        <v>0.1</v>
      </c>
      <c r="I80" s="81"/>
      <c r="J80" s="75">
        <f>($J$73+J75+J76+J77+J78)*H80</f>
        <v>6174694.6321177827</v>
      </c>
      <c r="K80" s="145" t="s">
        <v>119</v>
      </c>
      <c r="L80" s="146"/>
      <c r="U80" s="79">
        <v>0.1</v>
      </c>
      <c r="W80" s="37">
        <f>($J$73+W75+W76+W77+W78)*U80</f>
        <v>7634778.1248620488</v>
      </c>
    </row>
    <row r="81" spans="1:23" x14ac:dyDescent="0.2">
      <c r="A81" s="19"/>
      <c r="B81" s="17"/>
      <c r="C81" s="17"/>
      <c r="F81" s="18"/>
      <c r="G81" s="18" t="s">
        <v>78</v>
      </c>
      <c r="H81" s="81">
        <v>0.01</v>
      </c>
      <c r="I81" s="81"/>
      <c r="J81" s="75">
        <f>($J$73+J75+J76+J77+J78+J79+J80)*H81</f>
        <v>740963.35585413384</v>
      </c>
      <c r="K81" s="145" t="s">
        <v>119</v>
      </c>
      <c r="L81" s="146"/>
      <c r="U81" s="79">
        <v>0.02</v>
      </c>
      <c r="W81" s="37">
        <f>($J$73+W75+W76+W77+W78+W79+W80)*U81</f>
        <v>1908694.531215512</v>
      </c>
    </row>
    <row r="82" spans="1:23" x14ac:dyDescent="0.2">
      <c r="A82" s="19"/>
      <c r="B82" s="16"/>
      <c r="C82" s="16"/>
      <c r="D82" s="16"/>
      <c r="E82" s="16"/>
      <c r="F82" s="18"/>
      <c r="G82" s="23"/>
      <c r="H82" s="26"/>
      <c r="I82" s="26"/>
      <c r="J82" s="75"/>
      <c r="K82" s="145"/>
      <c r="L82" s="146"/>
    </row>
    <row r="83" spans="1:23" x14ac:dyDescent="0.2">
      <c r="A83" s="19"/>
      <c r="B83" s="16"/>
      <c r="C83" s="16"/>
      <c r="D83" s="16"/>
      <c r="E83" s="16"/>
      <c r="F83" s="18"/>
      <c r="G83" s="23"/>
      <c r="H83" s="26" t="s">
        <v>20</v>
      </c>
      <c r="I83" s="26"/>
      <c r="J83" s="75">
        <f>J73+SUM(J75:J81)</f>
        <v>74837298.94126752</v>
      </c>
      <c r="K83" s="145"/>
      <c r="L83" s="146"/>
      <c r="W83" s="80">
        <f>J73+SUM(W75:W81)</f>
        <v>97343421.091991097</v>
      </c>
    </row>
    <row r="84" spans="1:23" ht="13.5" customHeight="1" x14ac:dyDescent="0.2">
      <c r="A84" s="31"/>
      <c r="B84" s="16"/>
      <c r="C84" s="16"/>
      <c r="D84" s="16"/>
      <c r="E84" s="16"/>
      <c r="F84" s="18"/>
      <c r="G84" s="23"/>
      <c r="J84" s="58"/>
      <c r="K84" s="145"/>
      <c r="L84" s="146"/>
    </row>
    <row r="85" spans="1:23" ht="12.75" customHeight="1" x14ac:dyDescent="0.2">
      <c r="A85" s="21"/>
      <c r="B85" s="16"/>
      <c r="C85" s="17"/>
      <c r="D85" s="17"/>
      <c r="E85" s="16"/>
      <c r="F85" s="18"/>
      <c r="G85" s="32"/>
      <c r="H85" s="26" t="s">
        <v>14</v>
      </c>
      <c r="I85" s="26"/>
      <c r="J85" s="75">
        <f>ROUND(J83,-3)</f>
        <v>74837000</v>
      </c>
      <c r="K85" s="145"/>
      <c r="L85" s="146"/>
    </row>
    <row r="86" spans="1:23" ht="12.75" customHeight="1" thickBot="1" x14ac:dyDescent="0.25">
      <c r="A86" s="43"/>
      <c r="B86" s="44"/>
      <c r="C86" s="45"/>
      <c r="D86" s="45"/>
      <c r="E86" s="44"/>
      <c r="F86" s="46"/>
      <c r="G86" s="47"/>
      <c r="H86" s="69" t="s">
        <v>62</v>
      </c>
      <c r="I86" s="69"/>
      <c r="J86" s="76">
        <f>ROUND(J85+J10,-3)</f>
        <v>82321000</v>
      </c>
      <c r="K86" s="145"/>
      <c r="L86" s="146"/>
    </row>
    <row r="87" spans="1:23" ht="68.25" customHeight="1" thickBot="1" x14ac:dyDescent="0.25">
      <c r="A87" s="132" t="s">
        <v>33</v>
      </c>
      <c r="B87" s="133"/>
      <c r="C87" s="133"/>
      <c r="D87" s="133"/>
      <c r="E87" s="133"/>
      <c r="F87" s="133"/>
      <c r="G87" s="133"/>
      <c r="H87" s="133"/>
      <c r="I87" s="133"/>
      <c r="J87" s="134"/>
    </row>
    <row r="88" spans="1:23" x14ac:dyDescent="0.2">
      <c r="A88" s="11"/>
      <c r="B88" s="16"/>
      <c r="C88" s="17"/>
      <c r="D88" s="17"/>
      <c r="E88" s="16"/>
      <c r="F88" s="18"/>
      <c r="G88" s="32"/>
      <c r="H88" s="29"/>
      <c r="I88" s="29"/>
      <c r="J88" s="26"/>
    </row>
    <row r="89" spans="1:23" x14ac:dyDescent="0.2">
      <c r="A89" s="11"/>
      <c r="B89" s="16"/>
      <c r="C89" s="17"/>
      <c r="D89" s="17"/>
      <c r="E89" s="16"/>
      <c r="F89" s="18"/>
      <c r="G89" s="32"/>
      <c r="H89" s="29"/>
      <c r="I89" s="29"/>
      <c r="J89" s="26"/>
    </row>
    <row r="90" spans="1:23" x14ac:dyDescent="0.2">
      <c r="A90" s="11"/>
      <c r="B90" s="16"/>
      <c r="C90" s="17"/>
      <c r="D90" s="17"/>
      <c r="E90" s="16"/>
      <c r="F90" s="18"/>
      <c r="G90" s="32"/>
      <c r="H90" s="29"/>
      <c r="I90" s="29"/>
      <c r="J90" s="26"/>
    </row>
    <row r="91" spans="1:23" x14ac:dyDescent="0.2">
      <c r="A91" s="11"/>
      <c r="B91" s="16"/>
      <c r="C91" s="17"/>
      <c r="D91" s="17"/>
      <c r="E91" s="16"/>
      <c r="F91" s="18"/>
      <c r="G91" s="32"/>
      <c r="H91" s="29"/>
      <c r="I91" s="29"/>
      <c r="J91" s="26"/>
    </row>
    <row r="92" spans="1:23" x14ac:dyDescent="0.2">
      <c r="A92" s="11"/>
      <c r="B92" s="16"/>
      <c r="C92" s="17"/>
      <c r="D92" s="17"/>
      <c r="E92" s="16"/>
      <c r="F92" s="18"/>
      <c r="G92" s="32"/>
      <c r="H92" s="29"/>
      <c r="I92" s="29"/>
      <c r="J92" s="26"/>
    </row>
    <row r="93" spans="1:23" x14ac:dyDescent="0.2">
      <c r="A93" s="11"/>
      <c r="B93" s="16"/>
      <c r="C93" s="17"/>
      <c r="D93" s="17"/>
      <c r="E93" s="16"/>
      <c r="F93" s="18"/>
      <c r="G93" s="32"/>
      <c r="H93" s="29"/>
      <c r="I93" s="29"/>
      <c r="J93" s="26"/>
    </row>
    <row r="94" spans="1:23" x14ac:dyDescent="0.2">
      <c r="A94" s="11"/>
      <c r="B94" s="16"/>
      <c r="C94" s="17"/>
      <c r="D94" s="17"/>
      <c r="E94" s="16"/>
      <c r="F94" s="18"/>
      <c r="G94" s="32"/>
      <c r="H94" s="29"/>
      <c r="I94" s="29"/>
      <c r="J94" s="26"/>
    </row>
    <row r="95" spans="1:23" x14ac:dyDescent="0.2">
      <c r="A95" s="11"/>
      <c r="B95" s="16"/>
      <c r="C95" s="16"/>
      <c r="D95" s="27"/>
      <c r="E95" s="16"/>
      <c r="F95" s="22"/>
      <c r="G95" s="24"/>
      <c r="H95" s="29"/>
      <c r="I95" s="29"/>
      <c r="J95" s="26"/>
    </row>
    <row r="96" spans="1:23" x14ac:dyDescent="0.2">
      <c r="A96" s="11"/>
      <c r="B96" s="16"/>
      <c r="C96" s="16"/>
      <c r="D96" s="16"/>
      <c r="E96" s="16"/>
      <c r="F96" s="22"/>
      <c r="G96" s="25"/>
      <c r="H96" s="26"/>
      <c r="I96" s="26"/>
      <c r="J96" s="26"/>
    </row>
    <row r="97" spans="1:10" x14ac:dyDescent="0.2">
      <c r="A97" s="42"/>
      <c r="B97" s="16"/>
      <c r="C97" s="16"/>
      <c r="D97" s="16"/>
      <c r="E97" s="16"/>
      <c r="F97" s="22"/>
      <c r="G97" s="25"/>
      <c r="H97" s="26"/>
      <c r="I97" s="26"/>
      <c r="J97" s="26"/>
    </row>
    <row r="98" spans="1:10" x14ac:dyDescent="0.2">
      <c r="A98" s="11"/>
      <c r="B98" s="16"/>
      <c r="C98" s="16"/>
      <c r="D98" s="16"/>
      <c r="E98" s="16"/>
      <c r="F98" s="22"/>
      <c r="G98" s="25"/>
      <c r="H98" s="26"/>
      <c r="I98" s="26"/>
      <c r="J98" s="26"/>
    </row>
    <row r="99" spans="1:10" x14ac:dyDescent="0.2">
      <c r="A99" s="11"/>
      <c r="B99" s="16"/>
      <c r="C99" s="16"/>
      <c r="D99" s="16"/>
      <c r="E99" s="16"/>
      <c r="F99" s="22"/>
      <c r="G99" s="25"/>
      <c r="H99" s="26"/>
      <c r="I99" s="26"/>
      <c r="J99" s="26"/>
    </row>
    <row r="100" spans="1:10" x14ac:dyDescent="0.2">
      <c r="A100" s="42"/>
      <c r="B100" s="16"/>
      <c r="C100" s="16"/>
      <c r="D100" s="16"/>
      <c r="E100" s="16"/>
      <c r="F100" s="18"/>
      <c r="G100" s="23"/>
      <c r="H100" s="26"/>
      <c r="I100" s="26"/>
      <c r="J100" s="26"/>
    </row>
    <row r="101" spans="1:10" x14ac:dyDescent="0.2">
      <c r="A101" s="11"/>
      <c r="B101" s="16"/>
      <c r="C101" s="16"/>
      <c r="D101" s="16"/>
      <c r="E101" s="16"/>
      <c r="F101" s="22"/>
      <c r="G101" s="25"/>
      <c r="H101" s="26"/>
      <c r="I101" s="26"/>
      <c r="J101" s="26"/>
    </row>
    <row r="102" spans="1:10" x14ac:dyDescent="0.2">
      <c r="A102" s="16"/>
      <c r="B102" s="17"/>
      <c r="C102" s="17"/>
      <c r="D102" s="16"/>
      <c r="E102" s="16"/>
      <c r="F102" s="18"/>
      <c r="G102" s="23"/>
      <c r="H102" s="26"/>
      <c r="I102" s="26"/>
      <c r="J102" s="26"/>
    </row>
    <row r="103" spans="1:10" x14ac:dyDescent="0.2">
      <c r="A103" s="16"/>
      <c r="B103" s="16"/>
      <c r="C103" s="16"/>
      <c r="D103" s="16"/>
      <c r="E103" s="16"/>
      <c r="F103" s="18"/>
      <c r="G103" s="23"/>
      <c r="H103" s="26"/>
      <c r="I103" s="26"/>
      <c r="J103" s="26"/>
    </row>
    <row r="104" spans="1:10" x14ac:dyDescent="0.2">
      <c r="A104" s="16"/>
      <c r="B104" s="16"/>
      <c r="C104" s="16"/>
      <c r="D104" s="16"/>
      <c r="E104" s="16"/>
      <c r="F104" s="18"/>
      <c r="G104" s="23"/>
      <c r="H104" s="26"/>
      <c r="I104" s="26"/>
      <c r="J104" s="26"/>
    </row>
    <row r="105" spans="1:10" x14ac:dyDescent="0.2">
      <c r="A105" s="16"/>
      <c r="B105" s="16"/>
      <c r="C105" s="16"/>
      <c r="D105" s="16"/>
      <c r="E105" s="16"/>
      <c r="F105" s="18"/>
      <c r="G105" s="23"/>
      <c r="H105" s="28"/>
      <c r="I105" s="28"/>
      <c r="J105" s="26"/>
    </row>
    <row r="106" spans="1:10" x14ac:dyDescent="0.2">
      <c r="A106" s="16"/>
      <c r="B106" s="16"/>
      <c r="C106" s="16"/>
      <c r="D106" s="16"/>
      <c r="E106" s="16"/>
      <c r="F106" s="18"/>
      <c r="G106" s="23"/>
      <c r="H106" s="26"/>
      <c r="I106" s="26"/>
      <c r="J106" s="26"/>
    </row>
    <row r="107" spans="1:10" x14ac:dyDescent="0.2">
      <c r="A107" s="42"/>
      <c r="B107" s="16"/>
      <c r="C107" s="16"/>
      <c r="D107" s="16"/>
      <c r="E107" s="16"/>
      <c r="F107" s="22"/>
      <c r="G107" s="25"/>
      <c r="H107" s="26"/>
      <c r="I107" s="26"/>
      <c r="J107" s="26"/>
    </row>
    <row r="108" spans="1:10" x14ac:dyDescent="0.2">
      <c r="A108" s="11"/>
      <c r="B108" s="16"/>
      <c r="C108" s="16"/>
      <c r="D108" s="16"/>
      <c r="E108" s="16"/>
      <c r="F108" s="22"/>
      <c r="G108" s="25"/>
      <c r="H108" s="26"/>
      <c r="I108" s="26"/>
      <c r="J108" s="26"/>
    </row>
    <row r="109" spans="1:10" x14ac:dyDescent="0.2">
      <c r="A109" s="11"/>
      <c r="B109" s="16"/>
      <c r="C109" s="16"/>
      <c r="D109" s="16"/>
      <c r="E109" s="16"/>
      <c r="F109" s="22"/>
      <c r="G109" s="25"/>
      <c r="H109" s="26"/>
      <c r="I109" s="26"/>
      <c r="J109" s="26"/>
    </row>
    <row r="110" spans="1:10" x14ac:dyDescent="0.2">
      <c r="A110" s="16"/>
      <c r="B110" s="16"/>
      <c r="C110" s="16"/>
      <c r="D110" s="16"/>
      <c r="E110" s="16"/>
      <c r="F110" s="18"/>
      <c r="G110" s="23"/>
      <c r="H110" s="26"/>
      <c r="I110" s="26"/>
      <c r="J110" s="26"/>
    </row>
    <row r="111" spans="1:10" x14ac:dyDescent="0.2">
      <c r="A111" s="16"/>
      <c r="B111" s="16"/>
      <c r="C111" s="16"/>
      <c r="D111" s="16"/>
      <c r="E111" s="16"/>
      <c r="F111" s="18"/>
      <c r="G111" s="23"/>
      <c r="H111" s="26"/>
      <c r="I111" s="26"/>
      <c r="J111" s="26"/>
    </row>
    <row r="112" spans="1:10" x14ac:dyDescent="0.2">
      <c r="A112" s="16"/>
      <c r="B112" s="16"/>
      <c r="C112" s="16"/>
      <c r="D112" s="16"/>
      <c r="E112" s="16"/>
      <c r="F112" s="18"/>
      <c r="G112" s="23"/>
      <c r="H112" s="28"/>
      <c r="I112" s="28"/>
      <c r="J112" s="26"/>
    </row>
  </sheetData>
  <sheetProtection algorithmName="SHA-512" hashValue="AdHZabvJrG0bSKFfTpcQir+AXGhtXEPLx9ngRaUhgR9WQerpAKdv96fzzWNoAD+AePjPTyl/oZzVIxQm5qOthQ==" saltValue="BfRSxwm8Ij5xdz4GzWNSVw==" spinCount="100000" sheet="1" objects="1" scenarios="1"/>
  <mergeCells count="79">
    <mergeCell ref="K76:L76"/>
    <mergeCell ref="K77:L77"/>
    <mergeCell ref="K78:L78"/>
    <mergeCell ref="K79:L79"/>
    <mergeCell ref="K80:L80"/>
    <mergeCell ref="K86:L86"/>
    <mergeCell ref="K81:L81"/>
    <mergeCell ref="K82:L82"/>
    <mergeCell ref="K83:L83"/>
    <mergeCell ref="K84:L84"/>
    <mergeCell ref="K85:L85"/>
    <mergeCell ref="K74:L74"/>
    <mergeCell ref="K75:L75"/>
    <mergeCell ref="K66:L66"/>
    <mergeCell ref="K67:L67"/>
    <mergeCell ref="K68:L68"/>
    <mergeCell ref="K69:L69"/>
    <mergeCell ref="K70:L70"/>
    <mergeCell ref="K71:L71"/>
    <mergeCell ref="K72:L72"/>
    <mergeCell ref="K73:L73"/>
    <mergeCell ref="K61:L61"/>
    <mergeCell ref="K62:L62"/>
    <mergeCell ref="K63:L63"/>
    <mergeCell ref="K64:L64"/>
    <mergeCell ref="K65:L65"/>
    <mergeCell ref="K56:L56"/>
    <mergeCell ref="K57:L57"/>
    <mergeCell ref="K58:L58"/>
    <mergeCell ref="K59:L59"/>
    <mergeCell ref="K60:L60"/>
    <mergeCell ref="K51:L51"/>
    <mergeCell ref="K52:L52"/>
    <mergeCell ref="K53:L53"/>
    <mergeCell ref="K54:L54"/>
    <mergeCell ref="K55:L55"/>
    <mergeCell ref="K47:L47"/>
    <mergeCell ref="K48:L48"/>
    <mergeCell ref="K49:L49"/>
    <mergeCell ref="K50:L50"/>
    <mergeCell ref="K38:L38"/>
    <mergeCell ref="K39:L39"/>
    <mergeCell ref="K40:L40"/>
    <mergeCell ref="K41:L41"/>
    <mergeCell ref="K42:L42"/>
    <mergeCell ref="K43:L43"/>
    <mergeCell ref="K46:L46"/>
    <mergeCell ref="K44:L44"/>
    <mergeCell ref="K33:L33"/>
    <mergeCell ref="K34:L34"/>
    <mergeCell ref="K35:L35"/>
    <mergeCell ref="K36:L36"/>
    <mergeCell ref="K37:L37"/>
    <mergeCell ref="K28:L28"/>
    <mergeCell ref="K29:L29"/>
    <mergeCell ref="K30:L30"/>
    <mergeCell ref="K31:L31"/>
    <mergeCell ref="K32:L32"/>
    <mergeCell ref="K19:L19"/>
    <mergeCell ref="K20:L20"/>
    <mergeCell ref="K25:L25"/>
    <mergeCell ref="K26:L26"/>
    <mergeCell ref="K27:L27"/>
    <mergeCell ref="K14:L14"/>
    <mergeCell ref="K15:L15"/>
    <mergeCell ref="K16:L16"/>
    <mergeCell ref="K17:L17"/>
    <mergeCell ref="K18:L18"/>
    <mergeCell ref="K10:L10"/>
    <mergeCell ref="H5:I5"/>
    <mergeCell ref="K11:L11"/>
    <mergeCell ref="K12:L12"/>
    <mergeCell ref="K13:L13"/>
    <mergeCell ref="J6:J8"/>
    <mergeCell ref="A6:E8"/>
    <mergeCell ref="F6:G7"/>
    <mergeCell ref="H6:H8"/>
    <mergeCell ref="A87:J87"/>
    <mergeCell ref="I6:I8"/>
  </mergeCells>
  <phoneticPr fontId="7" type="noConversion"/>
  <printOptions horizontalCentered="1"/>
  <pageMargins left="0.7" right="0.7" top="0.75" bottom="0.75" header="0.3" footer="0.3"/>
  <pageSetup scale="4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C3E58-FFA0-41BC-BB8B-6683A3362AE9}">
  <sheetPr codeName="Sheet2">
    <pageSetUpPr fitToPage="1"/>
  </sheetPr>
  <dimension ref="A1:Y94"/>
  <sheetViews>
    <sheetView tabSelected="1" zoomScaleNormal="100" zoomScaleSheetLayoutView="100" workbookViewId="0">
      <pane xSplit="7" ySplit="9" topLeftCell="N31" activePane="bottomRight" state="frozen"/>
      <selection pane="topRight" activeCell="H1" sqref="H1"/>
      <selection pane="bottomLeft" activeCell="A10" sqref="A10"/>
      <selection pane="bottomRight" activeCell="N1" sqref="N1"/>
    </sheetView>
  </sheetViews>
  <sheetFormatPr defaultRowHeight="12.75" x14ac:dyDescent="0.2"/>
  <cols>
    <col min="1" max="1" width="35" bestFit="1" customWidth="1"/>
    <col min="2" max="2" width="28.42578125" customWidth="1"/>
    <col min="3" max="3" width="6.5703125" bestFit="1" customWidth="1"/>
    <col min="4" max="4" width="10.140625" customWidth="1"/>
    <col min="5" max="5" width="4.42578125" customWidth="1"/>
    <col min="6" max="6" width="12.28515625" customWidth="1"/>
    <col min="7" max="7" width="13" customWidth="1"/>
    <col min="8" max="9" width="15" customWidth="1"/>
    <col min="10" max="10" width="18.5703125" customWidth="1"/>
    <col min="11" max="11" width="39.140625" customWidth="1"/>
    <col min="12" max="12" width="24.28515625" customWidth="1"/>
    <col min="13" max="13" width="10.42578125" bestFit="1" customWidth="1"/>
    <col min="14" max="14" width="24" style="89" bestFit="1" customWidth="1"/>
    <col min="15" max="15" width="5.5703125" bestFit="1" customWidth="1"/>
    <col min="16" max="16" width="11.28515625" bestFit="1" customWidth="1"/>
    <col min="17" max="17" width="17" style="37" bestFit="1" customWidth="1"/>
    <col min="18" max="19" width="17" style="37" customWidth="1"/>
    <col min="20" max="20" width="16" style="37" customWidth="1"/>
    <col min="21" max="21" width="3.7109375" customWidth="1"/>
    <col min="22" max="22" width="48.7109375" style="53" customWidth="1"/>
    <col min="25" max="25" width="16.42578125" customWidth="1"/>
  </cols>
  <sheetData>
    <row r="1" spans="1:22" ht="24" customHeight="1" x14ac:dyDescent="0.2">
      <c r="A1" s="4"/>
      <c r="B1" s="5"/>
      <c r="C1" s="6"/>
      <c r="D1" s="10" t="s">
        <v>79</v>
      </c>
      <c r="E1" s="9"/>
      <c r="F1" s="10" t="s">
        <v>0</v>
      </c>
      <c r="G1" s="41" t="s">
        <v>86</v>
      </c>
      <c r="H1" s="10" t="s">
        <v>1</v>
      </c>
      <c r="I1" s="10"/>
      <c r="J1" s="70">
        <v>1</v>
      </c>
    </row>
    <row r="2" spans="1:22" ht="15" x14ac:dyDescent="0.2">
      <c r="A2" s="7"/>
      <c r="B2" s="1"/>
      <c r="C2" s="11"/>
      <c r="D2" s="11"/>
      <c r="E2" s="11"/>
      <c r="F2" s="11" t="s">
        <v>2</v>
      </c>
      <c r="G2" s="74" t="s">
        <v>21</v>
      </c>
      <c r="H2" s="71"/>
      <c r="I2" s="71"/>
      <c r="J2" s="72"/>
    </row>
    <row r="3" spans="1:22" x14ac:dyDescent="0.2">
      <c r="A3" s="21" t="s">
        <v>3</v>
      </c>
      <c r="B3" s="15" t="s">
        <v>67</v>
      </c>
      <c r="C3" s="11" t="s">
        <v>4</v>
      </c>
      <c r="D3" s="50">
        <v>43504</v>
      </c>
      <c r="E3" s="14"/>
      <c r="F3" s="11"/>
      <c r="G3" s="84" t="s">
        <v>87</v>
      </c>
      <c r="H3" s="73"/>
      <c r="I3" s="73"/>
      <c r="J3" s="72"/>
    </row>
    <row r="4" spans="1:22" x14ac:dyDescent="0.2">
      <c r="A4" s="83" t="s">
        <v>81</v>
      </c>
      <c r="B4" s="15" t="s">
        <v>85</v>
      </c>
      <c r="C4" s="11" t="s">
        <v>4</v>
      </c>
      <c r="D4" s="50">
        <v>45176</v>
      </c>
      <c r="E4" s="14"/>
      <c r="F4" s="11"/>
      <c r="H4" s="12"/>
      <c r="I4" s="12"/>
      <c r="J4" s="13"/>
    </row>
    <row r="5" spans="1:22" ht="13.5" thickBot="1" x14ac:dyDescent="0.25">
      <c r="A5" s="43" t="s">
        <v>5</v>
      </c>
      <c r="B5" s="11"/>
      <c r="C5" s="34" t="s">
        <v>4</v>
      </c>
      <c r="D5" s="49"/>
      <c r="E5" s="34"/>
      <c r="F5" s="34" t="s">
        <v>6</v>
      </c>
      <c r="G5" s="30">
        <v>1</v>
      </c>
      <c r="H5" s="30" t="s">
        <v>7</v>
      </c>
      <c r="I5" s="30"/>
      <c r="J5" s="35">
        <v>1</v>
      </c>
    </row>
    <row r="6" spans="1:22" x14ac:dyDescent="0.2">
      <c r="A6" s="118" t="s">
        <v>8</v>
      </c>
      <c r="B6" s="119"/>
      <c r="C6" s="119"/>
      <c r="D6" s="119"/>
      <c r="E6" s="120"/>
      <c r="F6" s="127" t="s">
        <v>9</v>
      </c>
      <c r="G6" s="120"/>
      <c r="H6" s="129" t="s">
        <v>92</v>
      </c>
      <c r="I6" s="129" t="s">
        <v>93</v>
      </c>
      <c r="J6" s="140" t="s">
        <v>12</v>
      </c>
      <c r="K6" s="16" t="s">
        <v>82</v>
      </c>
      <c r="L6">
        <v>603.1</v>
      </c>
    </row>
    <row r="7" spans="1:22" ht="15" x14ac:dyDescent="0.25">
      <c r="A7" s="121"/>
      <c r="B7" s="122"/>
      <c r="C7" s="122"/>
      <c r="D7" s="122"/>
      <c r="E7" s="123"/>
      <c r="F7" s="128"/>
      <c r="G7" s="126"/>
      <c r="H7" s="130"/>
      <c r="I7" s="130"/>
      <c r="J7" s="141"/>
      <c r="K7" s="16" t="s">
        <v>83</v>
      </c>
      <c r="L7">
        <v>816</v>
      </c>
      <c r="N7" s="149" t="s">
        <v>140</v>
      </c>
      <c r="O7" s="149"/>
      <c r="P7" s="149"/>
      <c r="Q7" s="149"/>
      <c r="R7" s="149"/>
      <c r="S7" s="149"/>
      <c r="T7" s="149"/>
      <c r="U7" s="92"/>
      <c r="V7" s="91"/>
    </row>
    <row r="8" spans="1:22" ht="15" x14ac:dyDescent="0.25">
      <c r="A8" s="124"/>
      <c r="B8" s="125"/>
      <c r="C8" s="125"/>
      <c r="D8" s="125"/>
      <c r="E8" s="126"/>
      <c r="F8" s="2" t="s">
        <v>10</v>
      </c>
      <c r="G8" s="3" t="s">
        <v>11</v>
      </c>
      <c r="H8" s="131"/>
      <c r="I8" s="131"/>
      <c r="J8" s="142"/>
      <c r="K8" s="16" t="s">
        <v>84</v>
      </c>
      <c r="L8" s="82">
        <f>L7/L6</f>
        <v>1.3530094511689603</v>
      </c>
      <c r="M8" s="16"/>
      <c r="N8" s="108" t="s">
        <v>139</v>
      </c>
      <c r="O8" s="107" t="s">
        <v>11</v>
      </c>
      <c r="P8" s="107" t="s">
        <v>138</v>
      </c>
      <c r="Q8" s="106" t="s">
        <v>137</v>
      </c>
      <c r="R8" s="106" t="s">
        <v>136</v>
      </c>
      <c r="S8" s="106" t="s">
        <v>135</v>
      </c>
      <c r="T8" s="105" t="s">
        <v>134</v>
      </c>
      <c r="U8" s="92"/>
      <c r="V8" s="104" t="s">
        <v>133</v>
      </c>
    </row>
    <row r="9" spans="1:22" ht="15" x14ac:dyDescent="0.25">
      <c r="A9" s="64" t="s">
        <v>18</v>
      </c>
      <c r="B9" s="61"/>
      <c r="C9" s="61"/>
      <c r="D9" s="61"/>
      <c r="E9" s="61"/>
      <c r="F9" s="62"/>
      <c r="G9" s="62"/>
      <c r="H9" s="63"/>
      <c r="I9" s="63"/>
      <c r="J9" s="59"/>
      <c r="K9" s="85" t="s">
        <v>89</v>
      </c>
      <c r="M9" s="16"/>
      <c r="N9" s="103"/>
      <c r="O9" s="92"/>
      <c r="P9" s="92"/>
      <c r="Q9" s="93"/>
      <c r="R9" s="93"/>
      <c r="S9" s="93"/>
      <c r="T9" s="93"/>
      <c r="U9" s="92"/>
      <c r="V9" s="91"/>
    </row>
    <row r="10" spans="1:22" ht="63.75" x14ac:dyDescent="0.25">
      <c r="A10" s="54" t="s">
        <v>32</v>
      </c>
      <c r="B10" s="65"/>
      <c r="C10" s="61"/>
      <c r="D10" s="61"/>
      <c r="E10" s="61"/>
      <c r="F10" s="18">
        <v>1</v>
      </c>
      <c r="G10" s="32" t="s">
        <v>17</v>
      </c>
      <c r="I10" s="48">
        <f>10%*J67</f>
        <v>0</v>
      </c>
      <c r="J10" s="77">
        <f>I10*F10</f>
        <v>0</v>
      </c>
      <c r="K10" s="16" t="s">
        <v>90</v>
      </c>
      <c r="L10" s="16"/>
      <c r="M10" s="16"/>
      <c r="N10" s="103"/>
      <c r="O10" s="92"/>
      <c r="P10" s="92"/>
      <c r="Q10" s="93"/>
      <c r="R10" s="93"/>
      <c r="S10" s="93"/>
      <c r="T10" s="93">
        <f t="shared" ref="T10:T16" si="0">SUM(Q10:S10)</f>
        <v>0</v>
      </c>
      <c r="U10" s="92"/>
      <c r="V10" s="91"/>
    </row>
    <row r="11" spans="1:22" ht="15" x14ac:dyDescent="0.25">
      <c r="A11" s="60"/>
      <c r="B11" s="61"/>
      <c r="C11" s="61"/>
      <c r="D11" s="61"/>
      <c r="E11" s="61"/>
      <c r="F11" s="62"/>
      <c r="G11" s="62"/>
      <c r="H11" s="63"/>
      <c r="I11" s="63"/>
      <c r="J11" s="78"/>
      <c r="L11" s="16"/>
      <c r="M11" s="16"/>
      <c r="N11" s="103"/>
      <c r="O11" s="92"/>
      <c r="P11" s="92"/>
      <c r="Q11" s="93"/>
      <c r="R11" s="93"/>
      <c r="S11" s="93"/>
      <c r="T11" s="93">
        <f t="shared" si="0"/>
        <v>0</v>
      </c>
      <c r="U11" s="92"/>
      <c r="V11" s="91"/>
    </row>
    <row r="12" spans="1:22" ht="15" x14ac:dyDescent="0.25">
      <c r="A12" s="31" t="s">
        <v>22</v>
      </c>
      <c r="B12" s="16"/>
      <c r="C12" s="16"/>
      <c r="D12" s="16"/>
      <c r="E12" s="16"/>
      <c r="F12" s="18"/>
      <c r="G12" s="23"/>
      <c r="H12" s="26"/>
      <c r="I12" s="26"/>
      <c r="J12" s="75"/>
      <c r="N12" s="94"/>
      <c r="O12" s="92"/>
      <c r="P12" s="92"/>
      <c r="Q12" s="93"/>
      <c r="R12" s="93"/>
      <c r="S12" s="93"/>
      <c r="T12" s="93">
        <f t="shared" si="0"/>
        <v>0</v>
      </c>
      <c r="U12" s="92"/>
      <c r="V12" s="91"/>
    </row>
    <row r="13" spans="1:22" ht="38.25" x14ac:dyDescent="0.25">
      <c r="A13" s="57" t="s">
        <v>23</v>
      </c>
      <c r="B13" s="56" t="s">
        <v>71</v>
      </c>
      <c r="C13" s="11"/>
      <c r="D13" s="11"/>
      <c r="E13" s="11"/>
      <c r="F13" s="98">
        <v>1</v>
      </c>
      <c r="G13" s="32" t="s">
        <v>17</v>
      </c>
      <c r="I13" s="48">
        <v>5990000</v>
      </c>
      <c r="J13" s="77">
        <f t="shared" ref="J13:J18" si="1">I13*F13</f>
        <v>5990000</v>
      </c>
      <c r="K13" s="16" t="s">
        <v>88</v>
      </c>
      <c r="L13" s="37"/>
      <c r="M13" s="37"/>
      <c r="N13" s="94"/>
      <c r="O13" s="92"/>
      <c r="P13" s="92"/>
      <c r="Q13" s="93"/>
      <c r="R13" s="93"/>
      <c r="S13" s="93"/>
      <c r="T13" s="93">
        <f t="shared" si="0"/>
        <v>0</v>
      </c>
      <c r="U13" s="92"/>
      <c r="V13" s="91"/>
    </row>
    <row r="14" spans="1:22" ht="75" x14ac:dyDescent="0.25">
      <c r="A14" s="51" t="s">
        <v>60</v>
      </c>
      <c r="B14" s="52" t="s">
        <v>59</v>
      </c>
      <c r="C14" s="11"/>
      <c r="D14" s="11"/>
      <c r="E14" s="11"/>
      <c r="F14" s="98">
        <v>1</v>
      </c>
      <c r="G14" s="32" t="s">
        <v>17</v>
      </c>
      <c r="H14" s="48">
        <f>1550000</f>
        <v>1550000</v>
      </c>
      <c r="I14" s="48">
        <f>H14*$L$8</f>
        <v>2097164.6493118885</v>
      </c>
      <c r="J14" s="77">
        <f t="shared" si="1"/>
        <v>2097164.6493118885</v>
      </c>
      <c r="K14" s="16" t="s">
        <v>80</v>
      </c>
      <c r="L14" s="37"/>
      <c r="M14" s="37"/>
      <c r="N14" s="94">
        <v>1</v>
      </c>
      <c r="O14" s="92" t="s">
        <v>143</v>
      </c>
      <c r="P14" s="92">
        <f>30+4224+1092.5</f>
        <v>5346.5</v>
      </c>
      <c r="Q14" s="93">
        <f>88.77*P14*1.03</f>
        <v>488847.06915</v>
      </c>
      <c r="R14" s="93"/>
      <c r="S14" s="93"/>
      <c r="T14" s="93">
        <f t="shared" si="0"/>
        <v>488847.06915</v>
      </c>
      <c r="U14" s="92"/>
      <c r="V14" s="91" t="s">
        <v>144</v>
      </c>
    </row>
    <row r="15" spans="1:22" ht="15" x14ac:dyDescent="0.25">
      <c r="A15" s="51" t="s">
        <v>69</v>
      </c>
      <c r="B15" s="52" t="s">
        <v>70</v>
      </c>
      <c r="C15" s="11"/>
      <c r="D15" s="11"/>
      <c r="E15" s="11"/>
      <c r="F15" s="98">
        <v>1</v>
      </c>
      <c r="G15" s="32" t="s">
        <v>17</v>
      </c>
      <c r="I15" s="48">
        <v>250000</v>
      </c>
      <c r="J15" s="77">
        <f t="shared" si="1"/>
        <v>250000</v>
      </c>
      <c r="K15" s="16" t="s">
        <v>88</v>
      </c>
      <c r="L15" s="37"/>
      <c r="M15" s="37"/>
      <c r="N15" s="94"/>
      <c r="O15" s="92"/>
      <c r="P15" s="92"/>
      <c r="Q15" s="93"/>
      <c r="R15" s="93"/>
      <c r="S15" s="93"/>
      <c r="T15" s="93">
        <f t="shared" si="0"/>
        <v>0</v>
      </c>
      <c r="U15" s="92"/>
      <c r="V15" s="91"/>
    </row>
    <row r="16" spans="1:22" ht="102" x14ac:dyDescent="0.25">
      <c r="A16" s="57" t="s">
        <v>94</v>
      </c>
      <c r="B16" s="56" t="s">
        <v>109</v>
      </c>
      <c r="C16" s="11"/>
      <c r="D16" s="11"/>
      <c r="E16" s="11"/>
      <c r="F16" s="98">
        <v>1</v>
      </c>
      <c r="G16" s="32" t="s">
        <v>17</v>
      </c>
      <c r="I16" s="48">
        <v>2900000</v>
      </c>
      <c r="J16" s="77">
        <f t="shared" si="1"/>
        <v>2900000</v>
      </c>
      <c r="K16" s="16" t="s">
        <v>98</v>
      </c>
      <c r="L16" s="37"/>
      <c r="M16" s="37"/>
      <c r="N16" s="94"/>
      <c r="O16" s="92"/>
      <c r="P16" s="92"/>
      <c r="Q16" s="93"/>
      <c r="R16" s="93"/>
      <c r="S16" s="93"/>
      <c r="T16" s="93">
        <f t="shared" si="0"/>
        <v>0</v>
      </c>
      <c r="U16" s="92"/>
      <c r="V16" s="91"/>
    </row>
    <row r="17" spans="1:22" ht="60" x14ac:dyDescent="0.25">
      <c r="A17" s="51" t="s">
        <v>95</v>
      </c>
      <c r="B17" s="52" t="s">
        <v>59</v>
      </c>
      <c r="C17" s="11"/>
      <c r="D17" s="11"/>
      <c r="E17" s="11"/>
      <c r="F17" s="98">
        <v>1</v>
      </c>
      <c r="G17" s="32" t="s">
        <v>17</v>
      </c>
      <c r="H17" s="48"/>
      <c r="I17" s="48">
        <f>H17*L8</f>
        <v>0</v>
      </c>
      <c r="J17" s="77">
        <f t="shared" si="1"/>
        <v>0</v>
      </c>
      <c r="K17" s="16"/>
      <c r="L17" s="37"/>
      <c r="M17" s="37"/>
      <c r="N17" s="94">
        <v>6</v>
      </c>
      <c r="O17" s="92" t="s">
        <v>132</v>
      </c>
      <c r="P17" s="92">
        <v>3529</v>
      </c>
      <c r="Q17" s="93">
        <f>88.77*P17*1.03</f>
        <v>322667.40989999997</v>
      </c>
      <c r="R17" s="93"/>
      <c r="S17" s="93"/>
      <c r="T17" s="93">
        <f>SUM(Q17:S17)</f>
        <v>322667.40989999997</v>
      </c>
      <c r="U17" s="92"/>
      <c r="V17" s="91" t="s">
        <v>131</v>
      </c>
    </row>
    <row r="18" spans="1:22" ht="45" x14ac:dyDescent="0.25">
      <c r="A18" s="51" t="s">
        <v>96</v>
      </c>
      <c r="B18" s="52" t="s">
        <v>97</v>
      </c>
      <c r="C18" s="11"/>
      <c r="D18" s="11"/>
      <c r="E18" s="11"/>
      <c r="F18" s="98">
        <v>1</v>
      </c>
      <c r="G18" s="32" t="s">
        <v>17</v>
      </c>
      <c r="I18" s="48">
        <v>0</v>
      </c>
      <c r="J18" s="77">
        <f t="shared" si="1"/>
        <v>0</v>
      </c>
      <c r="K18" s="16"/>
      <c r="L18" s="37"/>
      <c r="M18" s="37"/>
      <c r="N18" s="94"/>
      <c r="O18" s="92"/>
      <c r="P18" s="92"/>
      <c r="Q18" s="93"/>
      <c r="R18" s="93"/>
      <c r="S18" s="93"/>
      <c r="T18" s="93">
        <f t="shared" ref="T18:T68" si="2">SUM(Q18:S18)</f>
        <v>0</v>
      </c>
      <c r="U18" s="92"/>
      <c r="V18" s="91" t="s">
        <v>130</v>
      </c>
    </row>
    <row r="19" spans="1:22" ht="15" x14ac:dyDescent="0.25">
      <c r="A19" s="51"/>
      <c r="B19" s="52"/>
      <c r="C19" s="11"/>
      <c r="D19" s="11"/>
      <c r="E19" s="11"/>
      <c r="F19" s="98"/>
      <c r="G19" s="32"/>
      <c r="H19" s="48"/>
      <c r="I19" s="48"/>
      <c r="J19" s="77"/>
      <c r="L19" s="37"/>
      <c r="M19" s="37"/>
      <c r="N19" s="94"/>
      <c r="O19" s="92"/>
      <c r="P19" s="92"/>
      <c r="Q19" s="93"/>
      <c r="R19" s="93"/>
      <c r="S19" s="93"/>
      <c r="T19" s="93">
        <f t="shared" si="2"/>
        <v>0</v>
      </c>
      <c r="U19" s="92"/>
      <c r="V19" s="91"/>
    </row>
    <row r="20" spans="1:22" ht="15" x14ac:dyDescent="0.25">
      <c r="A20" s="66" t="s">
        <v>26</v>
      </c>
      <c r="B20" s="56"/>
      <c r="C20" s="11"/>
      <c r="D20" s="11"/>
      <c r="E20" s="11"/>
      <c r="F20" s="98"/>
      <c r="G20" s="32"/>
      <c r="H20" s="48"/>
      <c r="I20" s="48"/>
      <c r="J20" s="77"/>
      <c r="L20" s="37"/>
      <c r="M20" s="37"/>
      <c r="N20" s="94"/>
      <c r="O20" s="92"/>
      <c r="P20" s="92"/>
      <c r="Q20" s="93"/>
      <c r="R20" s="93"/>
      <c r="S20" s="93"/>
      <c r="T20" s="93">
        <f t="shared" si="2"/>
        <v>0</v>
      </c>
      <c r="U20" s="92"/>
      <c r="V20" s="91"/>
    </row>
    <row r="21" spans="1:22" ht="75" x14ac:dyDescent="0.25">
      <c r="A21" s="57" t="s">
        <v>27</v>
      </c>
      <c r="B21" s="56"/>
      <c r="C21" s="11"/>
      <c r="D21" s="11"/>
      <c r="E21" s="11"/>
      <c r="F21" s="98">
        <v>2</v>
      </c>
      <c r="G21" s="32" t="s">
        <v>17</v>
      </c>
      <c r="H21" s="48">
        <f>244304</f>
        <v>244304</v>
      </c>
      <c r="I21" s="48">
        <f t="shared" ref="I21:I38" si="3">H21*$L$8</f>
        <v>330545.62095838168</v>
      </c>
      <c r="J21" s="77">
        <f t="shared" ref="J21:J38" si="4">F21*I21</f>
        <v>661091.24191676336</v>
      </c>
      <c r="K21" t="s">
        <v>80</v>
      </c>
      <c r="L21" s="37"/>
      <c r="M21" s="37"/>
      <c r="N21" s="94">
        <f>55*29*3/27</f>
        <v>177.22222222222223</v>
      </c>
      <c r="O21" s="92" t="s">
        <v>15</v>
      </c>
      <c r="P21" s="94">
        <f>N21*10</f>
        <v>1772.2222222222222</v>
      </c>
      <c r="Q21" s="93">
        <f>70.12*P21</f>
        <v>124268.22222222223</v>
      </c>
      <c r="R21" s="93">
        <f>N21*200+N21*150*1+100</f>
        <v>62127.777777777781</v>
      </c>
      <c r="S21" s="93"/>
      <c r="T21" s="93">
        <f t="shared" si="2"/>
        <v>186396</v>
      </c>
      <c r="U21" s="92"/>
      <c r="V21" s="91" t="s">
        <v>145</v>
      </c>
    </row>
    <row r="22" spans="1:22" ht="75" x14ac:dyDescent="0.25">
      <c r="A22" s="57" t="s">
        <v>50</v>
      </c>
      <c r="B22" s="56"/>
      <c r="C22" s="11"/>
      <c r="D22" s="11"/>
      <c r="E22" s="11"/>
      <c r="F22" s="98">
        <v>1</v>
      </c>
      <c r="G22" s="32" t="s">
        <v>17</v>
      </c>
      <c r="H22" s="48">
        <f>247047</f>
        <v>247047</v>
      </c>
      <c r="I22" s="48">
        <f t="shared" si="3"/>
        <v>334256.92588293814</v>
      </c>
      <c r="J22" s="77">
        <f t="shared" si="4"/>
        <v>334256.92588293814</v>
      </c>
      <c r="K22" t="s">
        <v>80</v>
      </c>
      <c r="L22" s="37"/>
      <c r="M22" s="37"/>
      <c r="N22" s="94">
        <f>58*27*3/27</f>
        <v>174</v>
      </c>
      <c r="O22" s="92" t="s">
        <v>15</v>
      </c>
      <c r="P22" s="94">
        <f>N22*10</f>
        <v>1740</v>
      </c>
      <c r="Q22" s="93">
        <f>70.12*P22</f>
        <v>122008.8</v>
      </c>
      <c r="R22" s="93">
        <f>N22*200+N22*150*1+100</f>
        <v>61000</v>
      </c>
      <c r="S22" s="93"/>
      <c r="T22" s="93">
        <f t="shared" si="2"/>
        <v>183008.8</v>
      </c>
      <c r="U22" s="92"/>
      <c r="V22" s="91" t="s">
        <v>146</v>
      </c>
    </row>
    <row r="23" spans="1:22" ht="90" x14ac:dyDescent="0.25">
      <c r="A23" s="57" t="s">
        <v>51</v>
      </c>
      <c r="B23" s="56"/>
      <c r="C23" s="11"/>
      <c r="D23" s="11"/>
      <c r="E23" s="11"/>
      <c r="F23" s="98">
        <v>1</v>
      </c>
      <c r="G23" s="32" t="s">
        <v>17</v>
      </c>
      <c r="H23" s="48">
        <f>183067</f>
        <v>183067</v>
      </c>
      <c r="I23" s="48">
        <f t="shared" si="3"/>
        <v>247691.38119714806</v>
      </c>
      <c r="J23" s="77">
        <f t="shared" si="4"/>
        <v>247691.38119714806</v>
      </c>
      <c r="K23" t="s">
        <v>80</v>
      </c>
      <c r="L23" s="37"/>
      <c r="M23" s="37"/>
      <c r="N23" s="94">
        <f>N27/N28*N24</f>
        <v>186.12410426427866</v>
      </c>
      <c r="O23" s="92" t="s">
        <v>122</v>
      </c>
      <c r="P23" s="102">
        <f>N23*15</f>
        <v>2791.8615639641798</v>
      </c>
      <c r="Q23" s="93">
        <f>P23*83.94*1.03</f>
        <v>241379.32546952786</v>
      </c>
      <c r="R23" s="93">
        <f>13503*N23</f>
        <v>2513233.7798805549</v>
      </c>
      <c r="S23" s="93"/>
      <c r="T23" s="93">
        <f t="shared" si="2"/>
        <v>2754613.1053500827</v>
      </c>
      <c r="U23" s="92"/>
      <c r="V23" s="91" t="s">
        <v>147</v>
      </c>
    </row>
    <row r="24" spans="1:22" ht="60" x14ac:dyDescent="0.25">
      <c r="A24" s="57" t="s">
        <v>52</v>
      </c>
      <c r="B24" s="56"/>
      <c r="C24" s="11"/>
      <c r="D24" s="11"/>
      <c r="E24" s="11"/>
      <c r="F24" s="98">
        <v>1</v>
      </c>
      <c r="G24" s="32" t="s">
        <v>17</v>
      </c>
      <c r="H24" s="48">
        <f>160334</f>
        <v>160334</v>
      </c>
      <c r="I24" s="48">
        <f t="shared" si="3"/>
        <v>216933.41734372408</v>
      </c>
      <c r="J24" s="77">
        <f t="shared" si="4"/>
        <v>216933.41734372408</v>
      </c>
      <c r="K24" t="s">
        <v>80</v>
      </c>
      <c r="L24" s="37"/>
      <c r="M24" s="37"/>
      <c r="N24" s="94">
        <f>42*58*2+27*42*2</f>
        <v>7140</v>
      </c>
      <c r="O24" s="92" t="s">
        <v>126</v>
      </c>
      <c r="P24" s="92"/>
      <c r="Q24" s="93"/>
      <c r="R24" s="93"/>
      <c r="S24" s="93">
        <f>90*N24</f>
        <v>642600</v>
      </c>
      <c r="T24" s="93">
        <f t="shared" ref="T24:T25" si="5">SUM(Q24:S24)</f>
        <v>642600</v>
      </c>
      <c r="U24" s="92"/>
      <c r="V24" s="91" t="s">
        <v>148</v>
      </c>
    </row>
    <row r="25" spans="1:22" ht="60" x14ac:dyDescent="0.25">
      <c r="A25" s="57" t="s">
        <v>100</v>
      </c>
      <c r="B25" s="56"/>
      <c r="C25" s="11"/>
      <c r="D25" s="11"/>
      <c r="E25" s="11"/>
      <c r="F25" s="98">
        <v>1</v>
      </c>
      <c r="G25" s="32" t="s">
        <v>17</v>
      </c>
      <c r="H25" s="48">
        <f>12149</f>
        <v>12149</v>
      </c>
      <c r="I25" s="48">
        <f t="shared" si="3"/>
        <v>16437.711822251698</v>
      </c>
      <c r="J25" s="77">
        <f t="shared" si="4"/>
        <v>16437.711822251698</v>
      </c>
      <c r="K25" t="s">
        <v>80</v>
      </c>
      <c r="L25" s="37"/>
      <c r="M25" s="37"/>
      <c r="N25" s="94">
        <f>58*27</f>
        <v>1566</v>
      </c>
      <c r="O25" s="92" t="s">
        <v>126</v>
      </c>
      <c r="P25" s="92"/>
      <c r="Q25" s="93"/>
      <c r="R25" s="93"/>
      <c r="S25" s="93">
        <f>90*N25</f>
        <v>140940</v>
      </c>
      <c r="T25" s="93">
        <f t="shared" si="5"/>
        <v>140940</v>
      </c>
      <c r="U25" s="92"/>
      <c r="V25" s="91" t="s">
        <v>149</v>
      </c>
    </row>
    <row r="26" spans="1:22" ht="60" x14ac:dyDescent="0.25">
      <c r="A26" s="57" t="s">
        <v>101</v>
      </c>
      <c r="B26" s="56"/>
      <c r="C26" s="11"/>
      <c r="D26" s="11"/>
      <c r="E26" s="11"/>
      <c r="F26" s="98">
        <v>1</v>
      </c>
      <c r="G26" s="32" t="s">
        <v>17</v>
      </c>
      <c r="H26" s="48">
        <f>247047</f>
        <v>247047</v>
      </c>
      <c r="I26" s="48">
        <f t="shared" si="3"/>
        <v>334256.92588293814</v>
      </c>
      <c r="J26" s="77">
        <f t="shared" si="4"/>
        <v>334256.92588293814</v>
      </c>
      <c r="K26" t="s">
        <v>80</v>
      </c>
      <c r="L26" s="37"/>
      <c r="M26" s="37"/>
      <c r="N26" s="94">
        <f>(((3600+3735+3735)*(2940+4320+2940)*2)/(25.4*25.4)/144*2*3)/27</f>
        <v>540.17608035216062</v>
      </c>
      <c r="O26" s="92" t="s">
        <v>15</v>
      </c>
      <c r="P26" s="94">
        <f>N26*10</f>
        <v>5401.7608035216062</v>
      </c>
      <c r="Q26" s="93">
        <f>70.12*P26</f>
        <v>378771.46754293505</v>
      </c>
      <c r="R26" s="93">
        <f>N26*200+N26*150*1+100</f>
        <v>189161.6281232562</v>
      </c>
      <c r="S26" s="93"/>
      <c r="T26" s="93">
        <f t="shared" si="2"/>
        <v>567933.09566619131</v>
      </c>
      <c r="U26" s="92"/>
      <c r="V26" s="91" t="s">
        <v>129</v>
      </c>
    </row>
    <row r="27" spans="1:22" ht="75" x14ac:dyDescent="0.25">
      <c r="A27" s="57" t="s">
        <v>102</v>
      </c>
      <c r="B27" s="56"/>
      <c r="C27" s="11"/>
      <c r="D27" s="11"/>
      <c r="E27" s="11"/>
      <c r="F27" s="98">
        <v>1</v>
      </c>
      <c r="G27" s="32" t="s">
        <v>17</v>
      </c>
      <c r="H27" s="48">
        <f>183067</f>
        <v>183067</v>
      </c>
      <c r="I27" s="48">
        <f t="shared" si="3"/>
        <v>247691.38119714806</v>
      </c>
      <c r="J27" s="77">
        <f t="shared" si="4"/>
        <v>247691.38119714806</v>
      </c>
      <c r="K27" t="s">
        <v>80</v>
      </c>
      <c r="L27" s="37"/>
      <c r="M27" s="37"/>
      <c r="N27" s="94">
        <v>286</v>
      </c>
      <c r="O27" s="92" t="s">
        <v>122</v>
      </c>
      <c r="P27" s="92">
        <f>2605</f>
        <v>2605</v>
      </c>
      <c r="Q27" s="93">
        <f>P27*83.94*1.03</f>
        <v>225223.61099999998</v>
      </c>
      <c r="R27" s="93">
        <f>13503*N27</f>
        <v>3861858</v>
      </c>
      <c r="S27" s="93"/>
      <c r="T27" s="93">
        <f t="shared" si="2"/>
        <v>4087081.611</v>
      </c>
      <c r="U27" s="92"/>
      <c r="V27" s="91" t="s">
        <v>128</v>
      </c>
    </row>
    <row r="28" spans="1:22" ht="90" x14ac:dyDescent="0.25">
      <c r="A28" s="57" t="s">
        <v>103</v>
      </c>
      <c r="B28" s="56"/>
      <c r="C28" s="11"/>
      <c r="D28" s="11"/>
      <c r="E28" s="11"/>
      <c r="F28" s="98">
        <v>1</v>
      </c>
      <c r="G28" s="32" t="s">
        <v>17</v>
      </c>
      <c r="H28" s="48">
        <f>160334</f>
        <v>160334</v>
      </c>
      <c r="I28" s="48">
        <f t="shared" si="3"/>
        <v>216933.41734372408</v>
      </c>
      <c r="J28" s="77">
        <f t="shared" si="4"/>
        <v>216933.41734372408</v>
      </c>
      <c r="K28" t="s">
        <v>80</v>
      </c>
      <c r="L28" s="37"/>
      <c r="M28" s="37"/>
      <c r="N28" s="94">
        <f>(((3600+3735+3735)*(30732-10765)*2+(2940+4320+2940)*(30732-10765)*2)/(25.4*25.4)/144)*1.2</f>
        <v>10971.389267778535</v>
      </c>
      <c r="O28" s="92" t="s">
        <v>126</v>
      </c>
      <c r="P28" s="94"/>
      <c r="Q28" s="93"/>
      <c r="R28" s="93"/>
      <c r="S28" s="93">
        <f>90*N28</f>
        <v>987425.03410006815</v>
      </c>
      <c r="T28" s="93">
        <f t="shared" si="2"/>
        <v>987425.03410006815</v>
      </c>
      <c r="U28" s="92"/>
      <c r="V28" s="91" t="s">
        <v>127</v>
      </c>
    </row>
    <row r="29" spans="1:22" ht="75" x14ac:dyDescent="0.25">
      <c r="A29" s="57" t="s">
        <v>104</v>
      </c>
      <c r="B29" s="56"/>
      <c r="C29" s="11"/>
      <c r="D29" s="11"/>
      <c r="E29" s="11"/>
      <c r="F29" s="98">
        <v>1</v>
      </c>
      <c r="G29" s="32" t="s">
        <v>17</v>
      </c>
      <c r="H29" s="48">
        <f>12149</f>
        <v>12149</v>
      </c>
      <c r="I29" s="48">
        <f t="shared" si="3"/>
        <v>16437.711822251698</v>
      </c>
      <c r="J29" s="77">
        <f t="shared" si="4"/>
        <v>16437.711822251698</v>
      </c>
      <c r="K29" t="s">
        <v>80</v>
      </c>
      <c r="L29" s="37"/>
      <c r="M29" s="37"/>
      <c r="N29" s="94">
        <f>(((3600+3735+3735)*(2940+4320+2940)*2)/(25.4*25.4)/144*2)</f>
        <v>4861.5847231694461</v>
      </c>
      <c r="O29" s="92" t="s">
        <v>126</v>
      </c>
      <c r="P29" s="92"/>
      <c r="Q29" s="93"/>
      <c r="R29" s="93"/>
      <c r="S29" s="93">
        <f>90*N29</f>
        <v>437542.62508525013</v>
      </c>
      <c r="T29" s="93">
        <f t="shared" si="2"/>
        <v>437542.62508525013</v>
      </c>
      <c r="U29" s="92"/>
      <c r="V29" s="91" t="s">
        <v>125</v>
      </c>
    </row>
    <row r="30" spans="1:22" ht="15" x14ac:dyDescent="0.25">
      <c r="A30" s="57" t="s">
        <v>28</v>
      </c>
      <c r="B30" s="56"/>
      <c r="C30" s="11"/>
      <c r="D30" s="11"/>
      <c r="E30" s="11"/>
      <c r="F30" s="98">
        <v>5</v>
      </c>
      <c r="G30" s="32" t="s">
        <v>15</v>
      </c>
      <c r="H30" s="48">
        <v>1500</v>
      </c>
      <c r="I30" s="48">
        <f t="shared" si="3"/>
        <v>2029.5141767534406</v>
      </c>
      <c r="J30" s="77">
        <f t="shared" si="4"/>
        <v>10147.570883767203</v>
      </c>
      <c r="K30" t="s">
        <v>99</v>
      </c>
      <c r="L30" s="37"/>
      <c r="M30" s="37"/>
      <c r="N30" s="94"/>
      <c r="O30" s="92"/>
      <c r="P30" s="92"/>
      <c r="Q30" s="93"/>
      <c r="R30" s="93"/>
      <c r="S30" s="93"/>
      <c r="T30" s="93">
        <f t="shared" si="2"/>
        <v>0</v>
      </c>
      <c r="U30" s="92"/>
      <c r="V30" s="91" t="s">
        <v>120</v>
      </c>
    </row>
    <row r="31" spans="1:22" ht="15" x14ac:dyDescent="0.25">
      <c r="A31" s="57" t="s">
        <v>29</v>
      </c>
      <c r="B31" s="56"/>
      <c r="C31" s="11"/>
      <c r="D31" s="11"/>
      <c r="E31" s="11"/>
      <c r="F31" s="98">
        <v>5</v>
      </c>
      <c r="G31" s="32" t="s">
        <v>15</v>
      </c>
      <c r="H31" s="48">
        <v>1500</v>
      </c>
      <c r="I31" s="48">
        <f t="shared" si="3"/>
        <v>2029.5141767534406</v>
      </c>
      <c r="J31" s="77">
        <f t="shared" si="4"/>
        <v>10147.570883767203</v>
      </c>
      <c r="K31" t="s">
        <v>99</v>
      </c>
      <c r="L31" s="37"/>
      <c r="M31" s="37"/>
      <c r="N31" s="94"/>
      <c r="O31" s="92"/>
      <c r="P31" s="92"/>
      <c r="Q31" s="93"/>
      <c r="R31" s="93"/>
      <c r="S31" s="93"/>
      <c r="T31" s="93">
        <f t="shared" si="2"/>
        <v>0</v>
      </c>
      <c r="U31" s="92"/>
      <c r="V31" s="91" t="s">
        <v>120</v>
      </c>
    </row>
    <row r="32" spans="1:22" ht="15" x14ac:dyDescent="0.25">
      <c r="A32" s="57" t="s">
        <v>43</v>
      </c>
      <c r="B32" s="56"/>
      <c r="C32" s="11"/>
      <c r="D32" s="11"/>
      <c r="E32" s="11"/>
      <c r="F32" s="98">
        <v>4</v>
      </c>
      <c r="G32" s="32" t="s">
        <v>15</v>
      </c>
      <c r="H32" s="48">
        <v>1500</v>
      </c>
      <c r="I32" s="48">
        <f t="shared" si="3"/>
        <v>2029.5141767534406</v>
      </c>
      <c r="J32" s="77">
        <f t="shared" si="4"/>
        <v>8118.0567070137622</v>
      </c>
      <c r="K32" t="s">
        <v>99</v>
      </c>
      <c r="L32" s="37"/>
      <c r="M32" s="37"/>
      <c r="N32" s="94"/>
      <c r="O32" s="92"/>
      <c r="P32" s="92"/>
      <c r="Q32" s="93"/>
      <c r="R32" s="93"/>
      <c r="S32" s="93"/>
      <c r="T32" s="93">
        <f t="shared" si="2"/>
        <v>0</v>
      </c>
      <c r="U32" s="92"/>
      <c r="V32" s="91" t="s">
        <v>120</v>
      </c>
    </row>
    <row r="33" spans="1:22" ht="25.5" x14ac:dyDescent="0.25">
      <c r="A33" s="57" t="s">
        <v>55</v>
      </c>
      <c r="B33" s="56" t="s">
        <v>53</v>
      </c>
      <c r="C33" s="11"/>
      <c r="D33" s="11"/>
      <c r="E33" s="11"/>
      <c r="F33" s="98">
        <v>4</v>
      </c>
      <c r="G33" s="32" t="s">
        <v>30</v>
      </c>
      <c r="H33" s="48">
        <v>10800</v>
      </c>
      <c r="I33" s="48">
        <f t="shared" si="3"/>
        <v>14612.502072624771</v>
      </c>
      <c r="J33" s="77">
        <f t="shared" si="4"/>
        <v>58450.008290499085</v>
      </c>
      <c r="K33" t="s">
        <v>99</v>
      </c>
      <c r="L33" s="37"/>
      <c r="M33" s="37"/>
      <c r="N33" s="94"/>
      <c r="O33" s="92"/>
      <c r="P33" s="92"/>
      <c r="Q33" s="93"/>
      <c r="R33" s="93"/>
      <c r="S33" s="93"/>
      <c r="T33" s="93">
        <f t="shared" si="2"/>
        <v>0</v>
      </c>
      <c r="U33" s="92"/>
      <c r="V33" s="91" t="s">
        <v>120</v>
      </c>
    </row>
    <row r="34" spans="1:22" ht="15" x14ac:dyDescent="0.25">
      <c r="A34" s="57" t="s">
        <v>54</v>
      </c>
      <c r="B34" s="56"/>
      <c r="C34" s="11"/>
      <c r="D34" s="11"/>
      <c r="E34" s="11"/>
      <c r="F34" s="98">
        <v>6</v>
      </c>
      <c r="G34" s="32" t="s">
        <v>15</v>
      </c>
      <c r="H34" s="48">
        <v>1250</v>
      </c>
      <c r="I34" s="48">
        <f t="shared" si="3"/>
        <v>1691.2618139612005</v>
      </c>
      <c r="J34" s="77">
        <f t="shared" si="4"/>
        <v>10147.570883767203</v>
      </c>
      <c r="K34" t="s">
        <v>99</v>
      </c>
      <c r="L34" s="37"/>
      <c r="M34" s="37"/>
      <c r="N34" s="94"/>
      <c r="O34" s="92"/>
      <c r="P34" s="92"/>
      <c r="Q34" s="93"/>
      <c r="R34" s="93"/>
      <c r="S34" s="93"/>
      <c r="T34" s="93">
        <f t="shared" si="2"/>
        <v>0</v>
      </c>
      <c r="U34" s="92"/>
      <c r="V34" s="91" t="s">
        <v>120</v>
      </c>
    </row>
    <row r="35" spans="1:22" ht="15" x14ac:dyDescent="0.25">
      <c r="A35" s="57" t="s">
        <v>56</v>
      </c>
      <c r="B35" s="56"/>
      <c r="C35" s="11"/>
      <c r="D35" s="11"/>
      <c r="E35" s="11"/>
      <c r="F35" s="101">
        <v>10</v>
      </c>
      <c r="G35" s="32" t="s">
        <v>30</v>
      </c>
      <c r="H35" s="48">
        <v>10800</v>
      </c>
      <c r="I35" s="48">
        <f t="shared" si="3"/>
        <v>14612.502072624771</v>
      </c>
      <c r="J35" s="77">
        <f t="shared" si="4"/>
        <v>146125.02072624772</v>
      </c>
      <c r="K35" t="s">
        <v>99</v>
      </c>
      <c r="L35" s="37"/>
      <c r="M35" s="37"/>
      <c r="N35" s="94"/>
      <c r="O35" s="92"/>
      <c r="P35" s="92"/>
      <c r="Q35" s="93"/>
      <c r="R35" s="93"/>
      <c r="S35" s="93"/>
      <c r="T35" s="93">
        <f t="shared" si="2"/>
        <v>0</v>
      </c>
      <c r="U35" s="92"/>
      <c r="V35" s="91" t="s">
        <v>120</v>
      </c>
    </row>
    <row r="36" spans="1:22" ht="15" x14ac:dyDescent="0.25">
      <c r="A36" s="57" t="s">
        <v>57</v>
      </c>
      <c r="B36" s="56"/>
      <c r="C36" s="11"/>
      <c r="D36" s="11"/>
      <c r="E36" s="11"/>
      <c r="F36" s="98">
        <v>40</v>
      </c>
      <c r="G36" s="32" t="s">
        <v>15</v>
      </c>
      <c r="H36" s="48">
        <v>1000</v>
      </c>
      <c r="I36" s="48">
        <f t="shared" si="3"/>
        <v>1353.0094511689604</v>
      </c>
      <c r="J36" s="77">
        <f t="shared" si="4"/>
        <v>54120.378046758415</v>
      </c>
      <c r="K36" t="s">
        <v>99</v>
      </c>
      <c r="L36" s="37"/>
      <c r="M36" s="37"/>
      <c r="N36" s="94"/>
      <c r="O36" s="92"/>
      <c r="P36" s="92"/>
      <c r="Q36" s="93"/>
      <c r="R36" s="93"/>
      <c r="S36" s="93"/>
      <c r="T36" s="93">
        <f t="shared" si="2"/>
        <v>0</v>
      </c>
      <c r="U36" s="92"/>
      <c r="V36" s="91" t="s">
        <v>120</v>
      </c>
    </row>
    <row r="37" spans="1:22" ht="15" x14ac:dyDescent="0.25">
      <c r="A37" s="57" t="s">
        <v>58</v>
      </c>
      <c r="B37" s="56"/>
      <c r="C37" s="11"/>
      <c r="D37" s="11"/>
      <c r="E37" s="11"/>
      <c r="F37" s="100">
        <v>3</v>
      </c>
      <c r="G37" s="32" t="s">
        <v>30</v>
      </c>
      <c r="H37" s="48">
        <v>10800</v>
      </c>
      <c r="I37" s="48">
        <f t="shared" si="3"/>
        <v>14612.502072624771</v>
      </c>
      <c r="J37" s="77">
        <f t="shared" si="4"/>
        <v>43837.50621787431</v>
      </c>
      <c r="K37" t="s">
        <v>99</v>
      </c>
      <c r="L37" s="37"/>
      <c r="M37" s="37"/>
      <c r="N37" s="94"/>
      <c r="O37" s="92"/>
      <c r="P37" s="92"/>
      <c r="Q37" s="93"/>
      <c r="R37" s="93"/>
      <c r="S37" s="93"/>
      <c r="T37" s="93">
        <f t="shared" si="2"/>
        <v>0</v>
      </c>
      <c r="U37" s="92"/>
      <c r="V37" s="91" t="s">
        <v>120</v>
      </c>
    </row>
    <row r="38" spans="1:22" ht="60" x14ac:dyDescent="0.25">
      <c r="A38" s="57" t="s">
        <v>44</v>
      </c>
      <c r="B38" s="56" t="s">
        <v>124</v>
      </c>
      <c r="C38" s="11"/>
      <c r="D38" s="11"/>
      <c r="E38" s="11"/>
      <c r="F38" s="99">
        <v>50</v>
      </c>
      <c r="G38" s="32" t="s">
        <v>30</v>
      </c>
      <c r="H38" s="48">
        <v>15000</v>
      </c>
      <c r="I38" s="48">
        <f t="shared" si="3"/>
        <v>20295.141767534406</v>
      </c>
      <c r="J38" s="77">
        <f t="shared" si="4"/>
        <v>1014757.0883767203</v>
      </c>
      <c r="K38" t="s">
        <v>123</v>
      </c>
      <c r="L38" s="37"/>
      <c r="M38" s="37"/>
      <c r="N38" s="94">
        <f>F38</f>
        <v>50</v>
      </c>
      <c r="O38" s="92" t="s">
        <v>122</v>
      </c>
      <c r="P38" s="94">
        <f>50*N38</f>
        <v>2500</v>
      </c>
      <c r="Q38" s="93">
        <f>88.77*P38*1.03</f>
        <v>228582.75</v>
      </c>
      <c r="R38" s="93">
        <f>23000*N38</f>
        <v>1150000</v>
      </c>
      <c r="S38" s="93"/>
      <c r="T38" s="93">
        <f t="shared" si="2"/>
        <v>1378582.75</v>
      </c>
      <c r="U38" s="92"/>
      <c r="V38" s="91" t="s">
        <v>121</v>
      </c>
    </row>
    <row r="39" spans="1:22" ht="15" x14ac:dyDescent="0.25">
      <c r="A39" s="21"/>
      <c r="B39" s="11"/>
      <c r="C39" s="11"/>
      <c r="D39" s="11"/>
      <c r="E39" s="11"/>
      <c r="F39" s="98"/>
      <c r="G39" s="32"/>
      <c r="H39" s="29"/>
      <c r="I39" s="29"/>
      <c r="J39" s="75"/>
      <c r="L39" s="37"/>
      <c r="M39" s="37"/>
      <c r="N39" s="94"/>
      <c r="O39" s="92"/>
      <c r="P39" s="92"/>
      <c r="Q39" s="93"/>
      <c r="R39" s="93"/>
      <c r="S39" s="93"/>
      <c r="T39" s="93">
        <f t="shared" si="2"/>
        <v>0</v>
      </c>
      <c r="U39" s="92"/>
      <c r="V39" s="91"/>
    </row>
    <row r="40" spans="1:22" ht="15" x14ac:dyDescent="0.25">
      <c r="A40" s="31" t="s">
        <v>24</v>
      </c>
      <c r="B40" s="11"/>
      <c r="C40" s="11"/>
      <c r="D40" s="11"/>
      <c r="E40" s="11"/>
      <c r="F40" s="98"/>
      <c r="G40" s="32"/>
      <c r="H40" s="29"/>
      <c r="I40" s="29"/>
      <c r="J40" s="75"/>
      <c r="L40" s="37"/>
      <c r="M40" s="37"/>
      <c r="N40" s="94"/>
      <c r="O40" s="92"/>
      <c r="P40" s="92"/>
      <c r="Q40" s="93"/>
      <c r="R40" s="93"/>
      <c r="S40" s="93"/>
      <c r="T40" s="93">
        <f t="shared" si="2"/>
        <v>0</v>
      </c>
      <c r="U40" s="92"/>
      <c r="V40" s="91"/>
    </row>
    <row r="41" spans="1:22" ht="51" x14ac:dyDescent="0.25">
      <c r="A41" s="54" t="s">
        <v>63</v>
      </c>
      <c r="B41" s="56"/>
      <c r="C41" s="11"/>
      <c r="D41" s="11"/>
      <c r="E41" s="11"/>
      <c r="F41" s="18">
        <v>300</v>
      </c>
      <c r="G41" s="16" t="s">
        <v>16</v>
      </c>
      <c r="H41" s="48">
        <v>350</v>
      </c>
      <c r="I41" s="48">
        <f>H41*$L$8</f>
        <v>473.55330790913609</v>
      </c>
      <c r="J41" s="77">
        <f>F41*I41</f>
        <v>142065.99237274082</v>
      </c>
      <c r="K41" t="s">
        <v>99</v>
      </c>
      <c r="L41" s="37"/>
      <c r="M41" s="37"/>
      <c r="N41" s="94"/>
      <c r="O41" s="92"/>
      <c r="P41" s="92"/>
      <c r="Q41" s="93"/>
      <c r="R41" s="93"/>
      <c r="S41" s="93"/>
      <c r="T41" s="93">
        <f t="shared" si="2"/>
        <v>0</v>
      </c>
      <c r="U41" s="92"/>
      <c r="V41" s="91" t="s">
        <v>120</v>
      </c>
    </row>
    <row r="42" spans="1:22" ht="51" x14ac:dyDescent="0.25">
      <c r="A42" s="54" t="s">
        <v>64</v>
      </c>
      <c r="B42" s="56"/>
      <c r="C42" s="11"/>
      <c r="D42" s="11"/>
      <c r="E42" s="11"/>
      <c r="F42" s="97">
        <v>310</v>
      </c>
      <c r="G42" s="32" t="s">
        <v>16</v>
      </c>
      <c r="H42" s="48">
        <v>350</v>
      </c>
      <c r="I42" s="48">
        <f>H42*$L$8</f>
        <v>473.55330790913609</v>
      </c>
      <c r="J42" s="77">
        <f>F42*I42</f>
        <v>146801.52545183219</v>
      </c>
      <c r="K42" t="s">
        <v>99</v>
      </c>
      <c r="L42" s="37"/>
      <c r="M42" s="37"/>
      <c r="N42" s="94"/>
      <c r="O42" s="92"/>
      <c r="P42" s="92"/>
      <c r="Q42" s="93"/>
      <c r="R42" s="93"/>
      <c r="S42" s="93"/>
      <c r="T42" s="93">
        <f t="shared" si="2"/>
        <v>0</v>
      </c>
      <c r="U42" s="92"/>
      <c r="V42" s="91" t="s">
        <v>120</v>
      </c>
    </row>
    <row r="43" spans="1:22" ht="51" x14ac:dyDescent="0.25">
      <c r="A43" s="54" t="s">
        <v>65</v>
      </c>
      <c r="B43" s="56"/>
      <c r="C43" s="11"/>
      <c r="D43" s="11"/>
      <c r="E43" s="11"/>
      <c r="F43" s="97">
        <v>280</v>
      </c>
      <c r="G43" s="32" t="s">
        <v>16</v>
      </c>
      <c r="H43" s="48">
        <v>350</v>
      </c>
      <c r="I43" s="48">
        <f>H43*$L$8</f>
        <v>473.55330790913609</v>
      </c>
      <c r="J43" s="77">
        <f>F43*I43</f>
        <v>132594.9262145581</v>
      </c>
      <c r="K43" t="s">
        <v>99</v>
      </c>
      <c r="L43" s="37"/>
      <c r="M43" s="37"/>
      <c r="N43" s="94"/>
      <c r="O43" s="92"/>
      <c r="P43" s="92"/>
      <c r="Q43" s="93"/>
      <c r="R43" s="93"/>
      <c r="S43" s="93"/>
      <c r="T43" s="93">
        <f t="shared" si="2"/>
        <v>0</v>
      </c>
      <c r="U43" s="92"/>
      <c r="V43" s="91" t="s">
        <v>120</v>
      </c>
    </row>
    <row r="44" spans="1:22" ht="38.25" x14ac:dyDescent="0.25">
      <c r="A44" s="54" t="s">
        <v>66</v>
      </c>
      <c r="B44" s="56"/>
      <c r="C44" s="11"/>
      <c r="D44" s="11"/>
      <c r="E44" s="11"/>
      <c r="F44" s="97">
        <v>200</v>
      </c>
      <c r="G44" s="32" t="s">
        <v>16</v>
      </c>
      <c r="H44" s="48">
        <v>350</v>
      </c>
      <c r="I44" s="48">
        <f>H44*$L$8</f>
        <v>473.55330790913609</v>
      </c>
      <c r="J44" s="77">
        <f>F44*I44</f>
        <v>94710.661581827226</v>
      </c>
      <c r="K44" t="s">
        <v>99</v>
      </c>
      <c r="L44" s="37"/>
      <c r="M44" s="37"/>
      <c r="N44" s="94"/>
      <c r="O44" s="92"/>
      <c r="P44" s="92"/>
      <c r="Q44" s="93"/>
      <c r="R44" s="93"/>
      <c r="S44" s="93"/>
      <c r="T44" s="93">
        <f t="shared" si="2"/>
        <v>0</v>
      </c>
      <c r="U44" s="92"/>
      <c r="V44" s="91" t="s">
        <v>120</v>
      </c>
    </row>
    <row r="45" spans="1:22" ht="15" x14ac:dyDescent="0.25">
      <c r="A45" s="54" t="s">
        <v>110</v>
      </c>
      <c r="B45" s="56"/>
      <c r="C45" s="11"/>
      <c r="D45" s="11"/>
      <c r="E45" s="11"/>
      <c r="F45" s="97">
        <v>200</v>
      </c>
      <c r="G45" s="32" t="s">
        <v>16</v>
      </c>
      <c r="H45" s="48">
        <v>350</v>
      </c>
      <c r="I45" s="48">
        <f>H45*$L$8</f>
        <v>473.55330790913609</v>
      </c>
      <c r="J45" s="77">
        <f>F45*I45</f>
        <v>94710.661581827226</v>
      </c>
      <c r="K45" t="s">
        <v>99</v>
      </c>
      <c r="L45" s="37"/>
      <c r="M45" s="37"/>
      <c r="N45" s="94"/>
      <c r="O45" s="92"/>
      <c r="P45" s="92"/>
      <c r="Q45" s="93"/>
      <c r="R45" s="93"/>
      <c r="S45" s="93"/>
      <c r="T45" s="93">
        <f t="shared" si="2"/>
        <v>0</v>
      </c>
      <c r="U45" s="92"/>
      <c r="V45" s="91" t="s">
        <v>120</v>
      </c>
    </row>
    <row r="46" spans="1:22" ht="15" x14ac:dyDescent="0.25">
      <c r="A46" s="54"/>
      <c r="B46" s="56"/>
      <c r="C46" s="11"/>
      <c r="D46" s="11"/>
      <c r="E46" s="11"/>
      <c r="F46" s="97"/>
      <c r="G46" s="32"/>
      <c r="H46" s="48"/>
      <c r="I46" s="48"/>
      <c r="J46" s="77"/>
      <c r="L46" s="37"/>
      <c r="M46" s="37"/>
      <c r="N46" s="94"/>
      <c r="O46" s="92"/>
      <c r="P46" s="92"/>
      <c r="Q46" s="93"/>
      <c r="R46" s="93"/>
      <c r="S46" s="93"/>
      <c r="T46" s="93">
        <f t="shared" si="2"/>
        <v>0</v>
      </c>
      <c r="U46" s="92"/>
      <c r="V46" s="91"/>
    </row>
    <row r="47" spans="1:22" ht="15" x14ac:dyDescent="0.25">
      <c r="A47" s="21"/>
      <c r="B47" s="11"/>
      <c r="C47" s="11"/>
      <c r="D47" s="11"/>
      <c r="E47" s="11"/>
      <c r="F47" s="97"/>
      <c r="G47" s="32"/>
      <c r="H47" s="29"/>
      <c r="I47" s="29"/>
      <c r="J47" s="75"/>
      <c r="L47" s="37"/>
      <c r="M47" s="37"/>
      <c r="N47" s="94"/>
      <c r="O47" s="92"/>
      <c r="P47" s="92"/>
      <c r="Q47" s="93"/>
      <c r="R47" s="93"/>
      <c r="S47" s="93"/>
      <c r="T47" s="93">
        <f t="shared" si="2"/>
        <v>0</v>
      </c>
      <c r="U47" s="92"/>
      <c r="V47" s="91"/>
    </row>
    <row r="48" spans="1:22" ht="15" x14ac:dyDescent="0.25">
      <c r="A48" s="31" t="s">
        <v>61</v>
      </c>
      <c r="B48" s="11"/>
      <c r="C48" s="11"/>
      <c r="D48" s="11"/>
      <c r="E48" s="11"/>
      <c r="F48" s="97"/>
      <c r="G48" s="32"/>
      <c r="H48" s="29"/>
      <c r="I48" s="29"/>
      <c r="J48" s="75"/>
      <c r="L48" s="37"/>
      <c r="M48" s="37"/>
      <c r="N48" s="94"/>
      <c r="O48" s="92"/>
      <c r="P48" s="92"/>
      <c r="Q48" s="93"/>
      <c r="R48" s="93"/>
      <c r="S48" s="93"/>
      <c r="T48" s="93">
        <f t="shared" si="2"/>
        <v>0</v>
      </c>
      <c r="U48" s="92"/>
      <c r="V48" s="91"/>
    </row>
    <row r="49" spans="1:25" ht="15" x14ac:dyDescent="0.25">
      <c r="A49" s="21" t="s">
        <v>68</v>
      </c>
      <c r="B49" s="11"/>
      <c r="C49" s="11"/>
      <c r="D49" s="11"/>
      <c r="E49" s="11"/>
      <c r="F49" s="97">
        <v>1</v>
      </c>
      <c r="G49" s="32" t="s">
        <v>17</v>
      </c>
      <c r="H49" s="29">
        <f>76428</f>
        <v>76428</v>
      </c>
      <c r="I49" s="29">
        <f>76428*$L$8</f>
        <v>103407.80633394131</v>
      </c>
      <c r="J49" s="77">
        <f>F49*I49</f>
        <v>103407.80633394131</v>
      </c>
      <c r="K49" t="s">
        <v>80</v>
      </c>
      <c r="L49" s="37"/>
      <c r="M49" s="37"/>
      <c r="N49" s="94"/>
      <c r="O49" s="92"/>
      <c r="P49" s="92"/>
      <c r="Q49" s="93"/>
      <c r="R49" s="93"/>
      <c r="S49" s="93"/>
      <c r="T49" s="93">
        <f t="shared" si="2"/>
        <v>0</v>
      </c>
      <c r="U49" s="92"/>
      <c r="V49" s="91"/>
    </row>
    <row r="50" spans="1:25" ht="15" x14ac:dyDescent="0.25">
      <c r="A50" s="21"/>
      <c r="B50" s="11"/>
      <c r="C50" s="11"/>
      <c r="D50" s="11"/>
      <c r="E50" s="11"/>
      <c r="F50" s="97"/>
      <c r="G50" s="32"/>
      <c r="H50" s="29"/>
      <c r="I50" s="29"/>
      <c r="J50" s="77"/>
      <c r="L50" s="37"/>
      <c r="M50" s="37"/>
      <c r="N50" s="94"/>
      <c r="O50" s="92"/>
      <c r="P50" s="92"/>
      <c r="Q50" s="93"/>
      <c r="R50" s="93"/>
      <c r="S50" s="93"/>
      <c r="T50" s="93">
        <f t="shared" si="2"/>
        <v>0</v>
      </c>
      <c r="U50" s="92"/>
      <c r="V50" s="91"/>
    </row>
    <row r="51" spans="1:25" ht="15" x14ac:dyDescent="0.25">
      <c r="A51" s="86" t="s">
        <v>91</v>
      </c>
      <c r="B51" s="11"/>
      <c r="C51" s="11"/>
      <c r="D51" s="11"/>
      <c r="E51" s="11"/>
      <c r="F51" s="97"/>
      <c r="G51" s="32"/>
      <c r="H51" s="29"/>
      <c r="I51" s="29"/>
      <c r="J51" s="77"/>
      <c r="L51" s="37"/>
      <c r="M51" s="37"/>
      <c r="N51" s="94"/>
      <c r="O51" s="92"/>
      <c r="P51" s="92"/>
      <c r="Q51" s="93"/>
      <c r="R51" s="93"/>
      <c r="S51" s="93"/>
      <c r="T51" s="93">
        <f t="shared" si="2"/>
        <v>0</v>
      </c>
      <c r="U51" s="92"/>
      <c r="V51" s="91"/>
    </row>
    <row r="52" spans="1:25" ht="25.5" x14ac:dyDescent="0.25">
      <c r="A52" s="55" t="s">
        <v>47</v>
      </c>
      <c r="B52" s="56" t="s">
        <v>46</v>
      </c>
      <c r="C52" s="11"/>
      <c r="D52" s="11"/>
      <c r="E52" s="11"/>
      <c r="F52" s="97">
        <v>24</v>
      </c>
      <c r="G52" s="32" t="s">
        <v>49</v>
      </c>
      <c r="H52" s="29"/>
      <c r="I52" s="29">
        <v>7200</v>
      </c>
      <c r="J52" s="77">
        <f>F52*I52</f>
        <v>172800</v>
      </c>
      <c r="K52" t="s">
        <v>105</v>
      </c>
      <c r="L52" s="37"/>
      <c r="M52" s="37"/>
      <c r="N52" s="94"/>
      <c r="O52" s="92"/>
      <c r="P52" s="92"/>
      <c r="Q52" s="93"/>
      <c r="R52" s="93"/>
      <c r="S52" s="93"/>
      <c r="T52" s="93">
        <f t="shared" si="2"/>
        <v>0</v>
      </c>
      <c r="U52" s="92"/>
      <c r="V52" s="91" t="s">
        <v>120</v>
      </c>
    </row>
    <row r="53" spans="1:25" ht="15" x14ac:dyDescent="0.25">
      <c r="A53" s="55" t="s">
        <v>48</v>
      </c>
      <c r="B53" s="56" t="s">
        <v>45</v>
      </c>
      <c r="C53" s="11"/>
      <c r="D53" s="11"/>
      <c r="E53" s="11"/>
      <c r="F53" s="97">
        <v>135</v>
      </c>
      <c r="G53" s="32" t="s">
        <v>31</v>
      </c>
      <c r="H53" s="29"/>
      <c r="I53" s="29">
        <v>4900</v>
      </c>
      <c r="J53" s="77">
        <f>F53*I53</f>
        <v>661500</v>
      </c>
      <c r="K53" t="s">
        <v>105</v>
      </c>
      <c r="L53" s="37"/>
      <c r="M53" s="37"/>
      <c r="N53" s="94"/>
      <c r="O53" s="92"/>
      <c r="P53" s="92"/>
      <c r="Q53" s="93"/>
      <c r="R53" s="93"/>
      <c r="S53" s="93"/>
      <c r="T53" s="93">
        <f t="shared" si="2"/>
        <v>0</v>
      </c>
      <c r="U53" s="92"/>
      <c r="V53" s="91" t="s">
        <v>120</v>
      </c>
    </row>
    <row r="54" spans="1:25" ht="15" x14ac:dyDescent="0.25">
      <c r="A54" s="21"/>
      <c r="B54" s="11"/>
      <c r="C54" s="11"/>
      <c r="D54" s="11"/>
      <c r="E54" s="11"/>
      <c r="F54" s="97"/>
      <c r="G54" s="32"/>
      <c r="H54" s="29"/>
      <c r="I54" s="29"/>
      <c r="J54" s="75"/>
      <c r="L54" s="37"/>
      <c r="M54" s="37"/>
      <c r="N54" s="94"/>
      <c r="O54" s="92"/>
      <c r="P54" s="92"/>
      <c r="Q54" s="93"/>
      <c r="R54" s="93"/>
      <c r="S54" s="93"/>
      <c r="T54" s="93">
        <f t="shared" si="2"/>
        <v>0</v>
      </c>
      <c r="U54" s="92"/>
      <c r="V54" s="91"/>
    </row>
    <row r="55" spans="1:25" ht="15" x14ac:dyDescent="0.25">
      <c r="A55" s="20"/>
      <c r="B55" s="16"/>
      <c r="C55" s="16"/>
      <c r="D55" s="16"/>
      <c r="E55" s="16"/>
      <c r="F55" s="22"/>
      <c r="G55" s="25"/>
      <c r="H55" s="26" t="s">
        <v>19</v>
      </c>
      <c r="I55" s="26"/>
      <c r="J55" s="75"/>
      <c r="N55" s="94"/>
      <c r="O55" s="92"/>
      <c r="P55" s="92"/>
      <c r="Q55" s="93"/>
      <c r="R55" s="93"/>
      <c r="S55" s="93"/>
      <c r="T55" s="93">
        <f t="shared" si="2"/>
        <v>0</v>
      </c>
      <c r="U55" s="92"/>
      <c r="V55" s="91"/>
    </row>
    <row r="56" spans="1:25" ht="15" x14ac:dyDescent="0.25">
      <c r="A56" s="21"/>
      <c r="B56" s="16"/>
      <c r="C56" s="16"/>
      <c r="D56" s="16"/>
      <c r="E56" s="16"/>
      <c r="F56" s="22"/>
      <c r="G56" s="25"/>
      <c r="H56" s="26"/>
      <c r="I56" s="26"/>
      <c r="J56" s="75"/>
      <c r="N56" s="94"/>
      <c r="O56" s="92"/>
      <c r="P56" s="92"/>
      <c r="Q56" s="93"/>
      <c r="R56" s="93"/>
      <c r="S56" s="93"/>
      <c r="T56" s="93">
        <f t="shared" si="2"/>
        <v>0</v>
      </c>
      <c r="U56" s="92"/>
      <c r="V56" s="91"/>
    </row>
    <row r="57" spans="1:25" ht="15" x14ac:dyDescent="0.25">
      <c r="A57" s="21"/>
      <c r="B57" s="16"/>
      <c r="C57" s="16"/>
      <c r="F57" s="22"/>
      <c r="G57" s="18" t="s">
        <v>72</v>
      </c>
      <c r="H57" s="96">
        <v>0.05</v>
      </c>
      <c r="I57" s="96"/>
      <c r="J57" s="75"/>
      <c r="K57" t="s">
        <v>105</v>
      </c>
      <c r="N57" s="94"/>
      <c r="O57" s="92"/>
      <c r="P57" s="92"/>
      <c r="Q57" s="93"/>
      <c r="R57" s="93"/>
      <c r="S57" s="93"/>
      <c r="T57" s="93">
        <f t="shared" si="2"/>
        <v>0</v>
      </c>
      <c r="U57" s="92"/>
      <c r="V57" s="91" t="s">
        <v>120</v>
      </c>
      <c r="W57" s="95">
        <v>0.08</v>
      </c>
      <c r="Y57" s="37">
        <f>$J$55*W57</f>
        <v>0</v>
      </c>
    </row>
    <row r="58" spans="1:25" ht="15" x14ac:dyDescent="0.25">
      <c r="A58" s="21"/>
      <c r="B58" s="16"/>
      <c r="C58" s="16"/>
      <c r="F58" s="22"/>
      <c r="G58" s="18" t="s">
        <v>73</v>
      </c>
      <c r="H58" s="96">
        <v>0.1</v>
      </c>
      <c r="I58" s="96"/>
      <c r="J58" s="75"/>
      <c r="K58" t="s">
        <v>105</v>
      </c>
      <c r="N58" s="94"/>
      <c r="O58" s="92"/>
      <c r="P58" s="92"/>
      <c r="Q58" s="93"/>
      <c r="R58" s="93"/>
      <c r="S58" s="93"/>
      <c r="T58" s="93">
        <f t="shared" si="2"/>
        <v>0</v>
      </c>
      <c r="U58" s="92"/>
      <c r="V58" s="91" t="s">
        <v>120</v>
      </c>
      <c r="W58" s="95">
        <v>0.4</v>
      </c>
      <c r="Y58" s="37">
        <f>($J$55-$J$13-$J$15-$J$52-$J$53)*W58</f>
        <v>-2829720</v>
      </c>
    </row>
    <row r="59" spans="1:25" ht="15" x14ac:dyDescent="0.25">
      <c r="A59" s="21"/>
      <c r="B59" s="16"/>
      <c r="C59" s="16"/>
      <c r="F59" s="22"/>
      <c r="G59" s="18" t="s">
        <v>74</v>
      </c>
      <c r="H59" s="96">
        <v>0.15</v>
      </c>
      <c r="I59" s="96"/>
      <c r="J59" s="75"/>
      <c r="K59" t="s">
        <v>105</v>
      </c>
      <c r="N59" s="94"/>
      <c r="O59" s="92"/>
      <c r="P59" s="92"/>
      <c r="Q59" s="93"/>
      <c r="R59" s="93"/>
      <c r="S59" s="93"/>
      <c r="T59" s="93">
        <f t="shared" si="2"/>
        <v>0</v>
      </c>
      <c r="U59" s="92"/>
      <c r="V59" s="91" t="s">
        <v>120</v>
      </c>
      <c r="W59" s="95">
        <v>0.15</v>
      </c>
      <c r="Y59" s="37">
        <f>$J$55*W59</f>
        <v>0</v>
      </c>
    </row>
    <row r="60" spans="1:25" ht="15" x14ac:dyDescent="0.25">
      <c r="A60" s="19"/>
      <c r="B60" s="17"/>
      <c r="C60" s="17"/>
      <c r="F60" s="18"/>
      <c r="G60" s="18" t="s">
        <v>75</v>
      </c>
      <c r="H60" s="96">
        <v>0.05</v>
      </c>
      <c r="I60" s="96"/>
      <c r="J60" s="75"/>
      <c r="K60" t="s">
        <v>105</v>
      </c>
      <c r="N60" s="94"/>
      <c r="O60" s="92"/>
      <c r="P60" s="92"/>
      <c r="Q60" s="93"/>
      <c r="R60" s="93"/>
      <c r="S60" s="93"/>
      <c r="T60" s="93">
        <f t="shared" si="2"/>
        <v>0</v>
      </c>
      <c r="U60" s="92"/>
      <c r="V60" s="91" t="s">
        <v>120</v>
      </c>
      <c r="W60" s="95">
        <v>0.1</v>
      </c>
      <c r="Y60" s="37">
        <f>($J$55-J53)*W60</f>
        <v>-66150</v>
      </c>
    </row>
    <row r="61" spans="1:25" ht="15" x14ac:dyDescent="0.25">
      <c r="A61" s="19"/>
      <c r="B61" s="17"/>
      <c r="C61" s="17"/>
      <c r="F61" s="18"/>
      <c r="G61" s="18" t="s">
        <v>76</v>
      </c>
      <c r="H61" s="96">
        <v>0.1</v>
      </c>
      <c r="I61" s="96"/>
      <c r="J61" s="75"/>
      <c r="K61" t="s">
        <v>108</v>
      </c>
      <c r="N61" s="94"/>
      <c r="O61" s="92"/>
      <c r="P61" s="92"/>
      <c r="Q61" s="93"/>
      <c r="R61" s="93"/>
      <c r="S61" s="93"/>
      <c r="T61" s="93">
        <f t="shared" si="2"/>
        <v>0</v>
      </c>
      <c r="U61" s="92"/>
      <c r="V61" s="91" t="s">
        <v>120</v>
      </c>
      <c r="W61" s="95">
        <v>0.15</v>
      </c>
      <c r="Y61" s="37">
        <f>($J$55+Y57+Y58+Y59+Y60)*W61</f>
        <v>-434380.5</v>
      </c>
    </row>
    <row r="62" spans="1:25" ht="15" x14ac:dyDescent="0.25">
      <c r="A62" s="19"/>
      <c r="B62" s="17"/>
      <c r="C62" s="17"/>
      <c r="F62" s="18"/>
      <c r="G62" s="18" t="s">
        <v>77</v>
      </c>
      <c r="H62" s="96">
        <v>0.1</v>
      </c>
      <c r="I62" s="96"/>
      <c r="J62" s="75"/>
      <c r="K62" t="s">
        <v>105</v>
      </c>
      <c r="N62" s="94"/>
      <c r="O62" s="92"/>
      <c r="P62" s="92"/>
      <c r="Q62" s="93"/>
      <c r="R62" s="93"/>
      <c r="S62" s="93"/>
      <c r="T62" s="93">
        <f t="shared" si="2"/>
        <v>0</v>
      </c>
      <c r="U62" s="92"/>
      <c r="V62" s="91" t="s">
        <v>120</v>
      </c>
      <c r="W62" s="95">
        <v>0.1</v>
      </c>
      <c r="Y62" s="37">
        <f>($J$55+Y57+Y58+Y59+Y60)*W62</f>
        <v>-289587</v>
      </c>
    </row>
    <row r="63" spans="1:25" ht="15" x14ac:dyDescent="0.25">
      <c r="A63" s="19"/>
      <c r="B63" s="17"/>
      <c r="C63" s="17"/>
      <c r="F63" s="18"/>
      <c r="G63" s="18" t="s">
        <v>78</v>
      </c>
      <c r="H63" s="96">
        <v>0.01</v>
      </c>
      <c r="I63" s="96"/>
      <c r="J63" s="75"/>
      <c r="K63" t="s">
        <v>105</v>
      </c>
      <c r="N63" s="94"/>
      <c r="O63" s="92"/>
      <c r="P63" s="92"/>
      <c r="Q63" s="93"/>
      <c r="R63" s="93"/>
      <c r="S63" s="93"/>
      <c r="T63" s="93">
        <f t="shared" si="2"/>
        <v>0</v>
      </c>
      <c r="U63" s="92"/>
      <c r="V63" s="91" t="s">
        <v>120</v>
      </c>
      <c r="W63" s="95">
        <v>0.02</v>
      </c>
      <c r="Y63" s="37">
        <f>($J$55+Y57+Y58+Y59+Y60+Y61+Y62)*W63</f>
        <v>-72396.75</v>
      </c>
    </row>
    <row r="64" spans="1:25" ht="15" x14ac:dyDescent="0.25">
      <c r="A64" s="19"/>
      <c r="B64" s="16"/>
      <c r="C64" s="16"/>
      <c r="D64" s="16"/>
      <c r="E64" s="16"/>
      <c r="F64" s="18"/>
      <c r="G64" s="23"/>
      <c r="H64" s="26"/>
      <c r="I64" s="26"/>
      <c r="J64" s="75"/>
      <c r="N64" s="94"/>
      <c r="O64" s="92"/>
      <c r="P64" s="92"/>
      <c r="Q64" s="93"/>
      <c r="R64" s="93"/>
      <c r="S64" s="93"/>
      <c r="T64" s="93">
        <f t="shared" si="2"/>
        <v>0</v>
      </c>
      <c r="U64" s="92"/>
      <c r="V64" s="91"/>
    </row>
    <row r="65" spans="1:25" ht="15" x14ac:dyDescent="0.25">
      <c r="A65" s="19"/>
      <c r="B65" s="16"/>
      <c r="C65" s="16"/>
      <c r="D65" s="16"/>
      <c r="E65" s="16"/>
      <c r="F65" s="18"/>
      <c r="G65" s="23"/>
      <c r="H65" s="26" t="s">
        <v>20</v>
      </c>
      <c r="I65" s="26"/>
      <c r="J65" s="75"/>
      <c r="N65" s="94"/>
      <c r="O65" s="92"/>
      <c r="P65" s="92"/>
      <c r="Q65" s="93"/>
      <c r="R65" s="93"/>
      <c r="S65" s="93"/>
      <c r="T65" s="93">
        <f t="shared" si="2"/>
        <v>0</v>
      </c>
      <c r="U65" s="92"/>
      <c r="V65" s="91"/>
      <c r="Y65" s="80">
        <f>J55+SUM(Y57:Y63)</f>
        <v>-3692234.25</v>
      </c>
    </row>
    <row r="66" spans="1:25" ht="13.5" customHeight="1" x14ac:dyDescent="0.25">
      <c r="A66" s="31"/>
      <c r="B66" s="16"/>
      <c r="C66" s="16"/>
      <c r="D66" s="16"/>
      <c r="E66" s="16"/>
      <c r="F66" s="18"/>
      <c r="G66" s="23"/>
      <c r="J66" s="58"/>
      <c r="N66" s="94"/>
      <c r="O66" s="92"/>
      <c r="P66" s="92"/>
      <c r="Q66" s="93"/>
      <c r="R66" s="93"/>
      <c r="S66" s="93"/>
      <c r="T66" s="93">
        <f t="shared" si="2"/>
        <v>0</v>
      </c>
      <c r="U66" s="92"/>
      <c r="V66" s="91"/>
    </row>
    <row r="67" spans="1:25" ht="12.75" customHeight="1" x14ac:dyDescent="0.25">
      <c r="A67" s="21"/>
      <c r="B67" s="16"/>
      <c r="C67" s="17"/>
      <c r="D67" s="17"/>
      <c r="E67" s="16"/>
      <c r="F67" s="18"/>
      <c r="G67" s="32"/>
      <c r="H67" s="26" t="s">
        <v>14</v>
      </c>
      <c r="I67" s="26"/>
      <c r="J67" s="75"/>
      <c r="N67" s="94"/>
      <c r="O67" s="92"/>
      <c r="P67" s="92"/>
      <c r="Q67" s="93"/>
      <c r="R67" s="93"/>
      <c r="S67" s="93"/>
      <c r="T67" s="93">
        <f t="shared" si="2"/>
        <v>0</v>
      </c>
      <c r="U67" s="92"/>
      <c r="V67" s="91"/>
    </row>
    <row r="68" spans="1:25" ht="12.75" customHeight="1" thickBot="1" x14ac:dyDescent="0.3">
      <c r="A68" s="43"/>
      <c r="B68" s="44"/>
      <c r="C68" s="45"/>
      <c r="D68" s="45"/>
      <c r="E68" s="44"/>
      <c r="F68" s="46"/>
      <c r="G68" s="47"/>
      <c r="H68" s="69" t="s">
        <v>62</v>
      </c>
      <c r="I68" s="69"/>
      <c r="J68" s="76"/>
      <c r="N68" s="94"/>
      <c r="O68" s="92"/>
      <c r="P68" s="92"/>
      <c r="Q68" s="93"/>
      <c r="R68" s="93"/>
      <c r="S68" s="93"/>
      <c r="T68" s="93">
        <f t="shared" si="2"/>
        <v>0</v>
      </c>
      <c r="U68" s="92"/>
      <c r="V68" s="91"/>
    </row>
    <row r="69" spans="1:25" ht="68.25" customHeight="1" thickBot="1" x14ac:dyDescent="0.25">
      <c r="A69" s="132" t="s">
        <v>33</v>
      </c>
      <c r="B69" s="133"/>
      <c r="C69" s="133"/>
      <c r="D69" s="133"/>
      <c r="E69" s="133"/>
      <c r="F69" s="133"/>
      <c r="G69" s="133"/>
      <c r="H69" s="133"/>
      <c r="I69" s="133"/>
      <c r="J69" s="134"/>
    </row>
    <row r="70" spans="1:25" x14ac:dyDescent="0.2">
      <c r="A70" s="11"/>
      <c r="B70" s="16"/>
      <c r="C70" s="17"/>
      <c r="D70" s="17"/>
      <c r="E70" s="16"/>
      <c r="F70" s="18"/>
      <c r="G70" s="32"/>
      <c r="H70" s="29"/>
      <c r="I70" s="29"/>
      <c r="J70" s="26"/>
    </row>
    <row r="71" spans="1:25" x14ac:dyDescent="0.2">
      <c r="A71" s="11"/>
      <c r="B71" s="16"/>
      <c r="C71" s="17"/>
      <c r="D71" s="17"/>
      <c r="E71" s="16"/>
      <c r="F71" s="18"/>
      <c r="G71" s="32"/>
      <c r="H71" s="29"/>
      <c r="I71" s="29"/>
      <c r="J71" s="26"/>
    </row>
    <row r="72" spans="1:25" x14ac:dyDescent="0.2">
      <c r="A72" s="11"/>
      <c r="B72" s="16"/>
      <c r="C72" s="17"/>
      <c r="D72" s="17"/>
      <c r="E72" s="16"/>
      <c r="F72" s="18"/>
      <c r="G72" s="32"/>
      <c r="H72" s="29"/>
      <c r="I72" s="29"/>
      <c r="J72" s="26"/>
    </row>
    <row r="73" spans="1:25" x14ac:dyDescent="0.2">
      <c r="A73" s="11"/>
      <c r="B73" s="16"/>
      <c r="C73" s="17"/>
      <c r="D73" s="17"/>
      <c r="E73" s="16"/>
      <c r="F73" s="18"/>
      <c r="G73" s="32"/>
      <c r="H73" s="29"/>
      <c r="I73" s="29"/>
      <c r="J73" s="26"/>
    </row>
    <row r="74" spans="1:25" x14ac:dyDescent="0.2">
      <c r="A74" s="11"/>
      <c r="B74" s="16"/>
      <c r="C74" s="17"/>
      <c r="D74" s="17"/>
      <c r="E74" s="16"/>
      <c r="F74" s="18"/>
      <c r="G74" s="32"/>
      <c r="H74" s="29"/>
      <c r="I74" s="29"/>
      <c r="J74" s="26"/>
    </row>
    <row r="75" spans="1:25" x14ac:dyDescent="0.2">
      <c r="A75" s="11"/>
      <c r="B75" s="16"/>
      <c r="C75" s="17"/>
      <c r="D75" s="17"/>
      <c r="E75" s="16"/>
      <c r="F75" s="18"/>
      <c r="G75" s="32"/>
      <c r="H75" s="29"/>
      <c r="I75" s="29"/>
      <c r="J75" s="26"/>
    </row>
    <row r="76" spans="1:25" x14ac:dyDescent="0.2">
      <c r="A76" s="11"/>
      <c r="B76" s="16"/>
      <c r="C76" s="17"/>
      <c r="D76" s="17"/>
      <c r="E76" s="16"/>
      <c r="F76" s="18"/>
      <c r="G76" s="32"/>
      <c r="H76" s="29"/>
      <c r="I76" s="29"/>
      <c r="J76" s="26"/>
    </row>
    <row r="77" spans="1:25" x14ac:dyDescent="0.2">
      <c r="A77" s="11"/>
      <c r="B77" s="16"/>
      <c r="C77" s="16"/>
      <c r="D77" s="90"/>
      <c r="E77" s="16"/>
      <c r="F77" s="22"/>
      <c r="G77" s="24"/>
      <c r="H77" s="29"/>
      <c r="I77" s="29"/>
      <c r="J77" s="26"/>
    </row>
    <row r="78" spans="1:25" x14ac:dyDescent="0.2">
      <c r="A78" s="11"/>
      <c r="B78" s="16"/>
      <c r="C78" s="16"/>
      <c r="D78" s="16"/>
      <c r="E78" s="16"/>
      <c r="F78" s="22"/>
      <c r="G78" s="25"/>
      <c r="H78" s="26"/>
      <c r="I78" s="26"/>
      <c r="J78" s="26"/>
    </row>
    <row r="79" spans="1:25" x14ac:dyDescent="0.2">
      <c r="A79" s="42"/>
      <c r="B79" s="16"/>
      <c r="C79" s="16"/>
      <c r="D79" s="16"/>
      <c r="E79" s="16"/>
      <c r="F79" s="22"/>
      <c r="G79" s="25"/>
      <c r="H79" s="26"/>
      <c r="I79" s="26"/>
      <c r="J79" s="26"/>
    </row>
    <row r="80" spans="1:25" x14ac:dyDescent="0.2">
      <c r="A80" s="11"/>
      <c r="B80" s="16"/>
      <c r="C80" s="16"/>
      <c r="D80" s="16"/>
      <c r="E80" s="16"/>
      <c r="F80" s="22"/>
      <c r="G80" s="25"/>
      <c r="H80" s="26"/>
      <c r="I80" s="26"/>
      <c r="J80" s="26"/>
    </row>
    <row r="81" spans="1:10" x14ac:dyDescent="0.2">
      <c r="A81" s="11"/>
      <c r="B81" s="16"/>
      <c r="C81" s="16"/>
      <c r="D81" s="16"/>
      <c r="E81" s="16"/>
      <c r="F81" s="22"/>
      <c r="G81" s="25"/>
      <c r="H81" s="26"/>
      <c r="I81" s="26"/>
      <c r="J81" s="26"/>
    </row>
    <row r="82" spans="1:10" x14ac:dyDescent="0.2">
      <c r="A82" s="42"/>
      <c r="B82" s="16"/>
      <c r="C82" s="16"/>
      <c r="D82" s="16"/>
      <c r="E82" s="16"/>
      <c r="F82" s="18"/>
      <c r="G82" s="23"/>
      <c r="H82" s="26"/>
      <c r="I82" s="26"/>
      <c r="J82" s="26"/>
    </row>
    <row r="83" spans="1:10" x14ac:dyDescent="0.2">
      <c r="A83" s="11"/>
      <c r="B83" s="16"/>
      <c r="C83" s="16"/>
      <c r="D83" s="16"/>
      <c r="E83" s="16"/>
      <c r="F83" s="22"/>
      <c r="G83" s="25"/>
      <c r="H83" s="26"/>
      <c r="I83" s="26"/>
      <c r="J83" s="26"/>
    </row>
    <row r="84" spans="1:10" x14ac:dyDescent="0.2">
      <c r="A84" s="16"/>
      <c r="B84" s="17"/>
      <c r="C84" s="17"/>
      <c r="D84" s="16"/>
      <c r="E84" s="16"/>
      <c r="F84" s="18"/>
      <c r="G84" s="23"/>
      <c r="H84" s="26"/>
      <c r="I84" s="26"/>
      <c r="J84" s="26"/>
    </row>
    <row r="85" spans="1:10" x14ac:dyDescent="0.2">
      <c r="A85" s="16"/>
      <c r="B85" s="16"/>
      <c r="C85" s="16"/>
      <c r="D85" s="16"/>
      <c r="E85" s="16"/>
      <c r="F85" s="18"/>
      <c r="G85" s="23"/>
      <c r="H85" s="26"/>
      <c r="I85" s="26"/>
      <c r="J85" s="26"/>
    </row>
    <row r="86" spans="1:10" x14ac:dyDescent="0.2">
      <c r="A86" s="16"/>
      <c r="B86" s="16"/>
      <c r="C86" s="16"/>
      <c r="D86" s="16"/>
      <c r="E86" s="16"/>
      <c r="F86" s="18"/>
      <c r="G86" s="23"/>
      <c r="H86" s="26"/>
      <c r="I86" s="26"/>
      <c r="J86" s="26"/>
    </row>
    <row r="87" spans="1:10" x14ac:dyDescent="0.2">
      <c r="A87" s="16"/>
      <c r="B87" s="16"/>
      <c r="C87" s="16"/>
      <c r="D87" s="16"/>
      <c r="E87" s="16"/>
      <c r="F87" s="18"/>
      <c r="G87" s="23"/>
      <c r="H87" s="28"/>
      <c r="I87" s="28"/>
      <c r="J87" s="26"/>
    </row>
    <row r="88" spans="1:10" x14ac:dyDescent="0.2">
      <c r="A88" s="16"/>
      <c r="B88" s="16"/>
      <c r="C88" s="16"/>
      <c r="D88" s="16"/>
      <c r="E88" s="16"/>
      <c r="F88" s="18"/>
      <c r="G88" s="23"/>
      <c r="H88" s="26"/>
      <c r="I88" s="26"/>
      <c r="J88" s="26"/>
    </row>
    <row r="89" spans="1:10" x14ac:dyDescent="0.2">
      <c r="A89" s="42"/>
      <c r="B89" s="16"/>
      <c r="C89" s="16"/>
      <c r="D89" s="16"/>
      <c r="E89" s="16"/>
      <c r="F89" s="22"/>
      <c r="G89" s="25"/>
      <c r="H89" s="26"/>
      <c r="I89" s="26"/>
      <c r="J89" s="26"/>
    </row>
    <row r="90" spans="1:10" x14ac:dyDescent="0.2">
      <c r="A90" s="11"/>
      <c r="B90" s="16"/>
      <c r="C90" s="16"/>
      <c r="D90" s="16"/>
      <c r="E90" s="16"/>
      <c r="F90" s="22"/>
      <c r="G90" s="25"/>
      <c r="H90" s="26"/>
      <c r="I90" s="26"/>
      <c r="J90" s="26"/>
    </row>
    <row r="91" spans="1:10" x14ac:dyDescent="0.2">
      <c r="A91" s="11"/>
      <c r="B91" s="16"/>
      <c r="C91" s="16"/>
      <c r="D91" s="16"/>
      <c r="E91" s="16"/>
      <c r="F91" s="22"/>
      <c r="G91" s="25"/>
      <c r="H91" s="26"/>
      <c r="I91" s="26"/>
      <c r="J91" s="26"/>
    </row>
    <row r="92" spans="1:10" x14ac:dyDescent="0.2">
      <c r="A92" s="16"/>
      <c r="B92" s="16"/>
      <c r="C92" s="16"/>
      <c r="D92" s="16"/>
      <c r="E92" s="16"/>
      <c r="F92" s="18"/>
      <c r="G92" s="23"/>
      <c r="H92" s="26"/>
      <c r="I92" s="26"/>
      <c r="J92" s="26"/>
    </row>
    <row r="93" spans="1:10" x14ac:dyDescent="0.2">
      <c r="A93" s="16"/>
      <c r="B93" s="16"/>
      <c r="C93" s="16"/>
      <c r="D93" s="16"/>
      <c r="E93" s="16"/>
      <c r="F93" s="18"/>
      <c r="G93" s="23"/>
      <c r="H93" s="26"/>
      <c r="I93" s="26"/>
      <c r="J93" s="26"/>
    </row>
    <row r="94" spans="1:10" x14ac:dyDescent="0.2">
      <c r="A94" s="16"/>
      <c r="B94" s="16"/>
      <c r="C94" s="16"/>
      <c r="D94" s="16"/>
      <c r="E94" s="16"/>
      <c r="F94" s="18"/>
      <c r="G94" s="23"/>
      <c r="H94" s="28"/>
      <c r="I94" s="28"/>
      <c r="J94" s="26"/>
    </row>
  </sheetData>
  <sheetProtection algorithmName="SHA-512" hashValue="oFrFhJykLzDpPK+Ws7EQFdeCuILEgjgRjOXk+YVnvxZ0vmQL0q1vphOcYDb6PKwL/HE/bo1XlYrWRjM9pa+smg==" saltValue="0WcseiMPpyDcGSZSD47fvA==" spinCount="100000" sheet="1" objects="1" scenarios="1"/>
  <mergeCells count="7">
    <mergeCell ref="N7:T7"/>
    <mergeCell ref="A69:J69"/>
    <mergeCell ref="A6:E8"/>
    <mergeCell ref="F6:G7"/>
    <mergeCell ref="H6:H8"/>
    <mergeCell ref="I6:I8"/>
    <mergeCell ref="J6:J8"/>
  </mergeCells>
  <printOptions horizontalCentered="1"/>
  <pageMargins left="0.7" right="0.7" top="0.75" bottom="0.75" header="0.3" footer="0.3"/>
  <pageSetup paperSize="119" scale="46"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16" ma:contentTypeDescription="Create a new document." ma:contentTypeScope="" ma:versionID="0f5fbe200114ef317095e8011f4b7a2d">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8f240d04f6301ac98a2c5d2ac33bf3c"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b7ffe5-37ca-40c1-9381-711a17cdd677}" ma:internalName="TaxCatchAll" ma:showField="CatchAllData" ma:web="e9801683-13b5-4471-b07d-4f526a8d9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801683-13b5-4471-b07d-4f526a8d92e6" xsi:nil="true"/>
    <lcf76f155ced4ddcb4097134ff3c332f xmlns="328188c1-2ee9-48af-ac1f-a2e00dbc83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8550EF-B5F7-4E1E-9966-6A3E65CDB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188c1-2ee9-48af-ac1f-a2e00dbc8300"/>
    <ds:schemaRef ds:uri="e9801683-13b5-4471-b07d-4f526a8d9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2C9D3E-526E-4B00-B35B-5EE871CB1868}">
  <ds:schemaRefs>
    <ds:schemaRef ds:uri="http://schemas.microsoft.com/office/2006/metadata/properties"/>
    <ds:schemaRef ds:uri="http://schemas.microsoft.com/office/infopath/2007/PartnerControls"/>
    <ds:schemaRef ds:uri="e9801683-13b5-4471-b07d-4f526a8d92e6"/>
    <ds:schemaRef ds:uri="328188c1-2ee9-48af-ac1f-a2e00dbc8300"/>
  </ds:schemaRefs>
</ds:datastoreItem>
</file>

<file path=customXml/itemProps3.xml><?xml version="1.0" encoding="utf-8"?>
<ds:datastoreItem xmlns:ds="http://schemas.openxmlformats.org/officeDocument/2006/customXml" ds:itemID="{D2E368CB-A229-4EC1-94B4-0795FFE34C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Cost_Est</vt:lpstr>
      <vt:lpstr>Haskell Cost_Est Detail</vt:lpstr>
      <vt:lpstr>Cost_Est!Print_Area</vt:lpstr>
    </vt:vector>
  </TitlesOfParts>
  <Company>Stanley Consultants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1279</dc:creator>
  <cp:lastModifiedBy>Alimi, Adeyemi S (DEC)</cp:lastModifiedBy>
  <cp:lastPrinted>2023-09-29T20:55:30Z</cp:lastPrinted>
  <dcterms:created xsi:type="dcterms:W3CDTF">2007-10-03T13:39:33Z</dcterms:created>
  <dcterms:modified xsi:type="dcterms:W3CDTF">2024-08-21T18:00:32Z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0x010100EF08C179EEC2074C94A5872F733D36B4</vt:lpwstr>
  </property>
</Properties>
</file>