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8A764595-803F-4E54-9B29-63A462B622CA}" xr6:coauthVersionLast="47" xr6:coauthVersionMax="47" xr10:uidLastSave="{00000000-0000-0000-0000-000000000000}"/>
  <bookViews>
    <workbookView xWindow="-120" yWindow="-120" windowWidth="20730" windowHeight="11160" activeTab="1" xr2:uid="{00000000-000D-0000-FFFF-FFFF00000000}"/>
  </bookViews>
  <sheets>
    <sheet name="Total Capital Investment" sheetId="1" r:id="rId1"/>
    <sheet name="Cost Effectivenes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2" i="2" l="1"/>
  <c r="V30" i="2"/>
  <c r="K30" i="2"/>
  <c r="K32" i="2" s="1"/>
  <c r="K28" i="2" s="1"/>
  <c r="V31" i="2"/>
  <c r="V32" i="2"/>
  <c r="K31" i="2"/>
  <c r="T20" i="2" l="1"/>
  <c r="V23" i="2"/>
  <c r="T21" i="2"/>
  <c r="V21" i="2" s="1"/>
  <c r="V20" i="2"/>
  <c r="P15" i="2"/>
  <c r="S15" i="2" s="1"/>
  <c r="V15" i="2" s="1"/>
  <c r="P14" i="2"/>
  <c r="S14" i="2" s="1"/>
  <c r="V14" i="2" s="1"/>
  <c r="V13" i="2"/>
  <c r="P10" i="2"/>
  <c r="T10" i="2" s="1"/>
  <c r="V9" i="2"/>
  <c r="P8" i="2"/>
  <c r="T8" i="2" s="1"/>
  <c r="V8" i="2" s="1"/>
  <c r="E14" i="2"/>
  <c r="E22" i="2"/>
  <c r="K23" i="2" s="1"/>
  <c r="I20" i="2"/>
  <c r="K20" i="2"/>
  <c r="E8" i="2"/>
  <c r="S48" i="1"/>
  <c r="S47" i="1"/>
  <c r="S40" i="1"/>
  <c r="S39" i="1"/>
  <c r="T47" i="1"/>
  <c r="R38" i="1"/>
  <c r="V38" i="1" s="1"/>
  <c r="V37" i="1"/>
  <c r="V36" i="1"/>
  <c r="R35" i="1"/>
  <c r="V35" i="1" s="1"/>
  <c r="V34" i="1"/>
  <c r="V33" i="1"/>
  <c r="V32" i="1"/>
  <c r="V27" i="1"/>
  <c r="V28" i="1" s="1"/>
  <c r="P24" i="1"/>
  <c r="V25" i="1" s="1"/>
  <c r="V22" i="1"/>
  <c r="V19" i="1"/>
  <c r="R12" i="1"/>
  <c r="X21" i="1" s="1"/>
  <c r="R11" i="1"/>
  <c r="V16" i="1" s="1"/>
  <c r="E24" i="1"/>
  <c r="K25" i="1" s="1"/>
  <c r="K22" i="1"/>
  <c r="K19" i="1"/>
  <c r="V25" i="2" l="1"/>
  <c r="R11" i="2"/>
  <c r="S11" i="2" s="1"/>
  <c r="V11" i="2" s="1"/>
  <c r="V10" i="2"/>
  <c r="V17" i="2" s="1"/>
  <c r="V39" i="1"/>
  <c r="V29" i="1"/>
  <c r="E10" i="2"/>
  <c r="G38" i="1"/>
  <c r="V27" i="2" l="1"/>
  <c r="V42" i="1"/>
  <c r="S12" i="1"/>
  <c r="S13" i="1"/>
  <c r="S14" i="1"/>
  <c r="S15" i="1"/>
  <c r="S11" i="1"/>
  <c r="S27" i="1"/>
  <c r="S24" i="1"/>
  <c r="S21" i="1"/>
  <c r="S18" i="1"/>
  <c r="S33" i="1"/>
  <c r="S34" i="1"/>
  <c r="S35" i="1"/>
  <c r="S36" i="1"/>
  <c r="S37" i="1"/>
  <c r="S32" i="1"/>
  <c r="S38" i="1"/>
  <c r="G35" i="1"/>
  <c r="G11" i="1"/>
  <c r="W11" i="2" l="1"/>
  <c r="V28" i="2"/>
  <c r="T52" i="1"/>
  <c r="V53" i="1" s="1"/>
  <c r="T46" i="1"/>
  <c r="V48" i="1" s="1"/>
  <c r="V56" i="1" s="1"/>
  <c r="G12" i="1"/>
  <c r="K16" i="1" s="1"/>
  <c r="K38" i="1"/>
  <c r="K27" i="1" l="1"/>
  <c r="K28" i="1" s="1"/>
  <c r="K33" i="1" l="1"/>
  <c r="K34" i="1"/>
  <c r="K35" i="1"/>
  <c r="K36" i="1"/>
  <c r="K37" i="1"/>
  <c r="K32" i="1" l="1"/>
  <c r="I47" i="1" l="1"/>
  <c r="E15" i="2"/>
  <c r="H15" i="2" s="1"/>
  <c r="K15" i="2" s="1"/>
  <c r="H14" i="2" l="1"/>
  <c r="I10" i="2" l="1"/>
  <c r="G11" i="2" s="1"/>
  <c r="H11" i="2" s="1"/>
  <c r="I8" i="2"/>
  <c r="K11" i="2" l="1"/>
  <c r="K14" i="2"/>
  <c r="K10" i="2"/>
  <c r="K9" i="2"/>
  <c r="K8" i="2"/>
  <c r="K13" i="2"/>
  <c r="K17" i="2" l="1"/>
  <c r="K29" i="1"/>
  <c r="K39" i="1" l="1"/>
  <c r="K42" i="1" l="1"/>
  <c r="I46" i="1" s="1"/>
  <c r="K48" i="1" s="1"/>
  <c r="I52" i="1" l="1"/>
  <c r="K53" i="1" s="1"/>
  <c r="K56" i="1" s="1"/>
  <c r="I21" i="2" l="1"/>
  <c r="K21" i="2" s="1"/>
  <c r="K25" i="2" s="1"/>
  <c r="K2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tc={14533E56-B3DC-4E0B-95C2-6FBC161F45F1}</author>
  </authors>
  <commentList>
    <comment ref="V56" authorId="0" shapeId="0" xr:uid="{14533E56-B3DC-4E0B-95C2-6FBC161F45F1}">
      <text>
        <t xml:space="preserve">[Threaded comment]
Your version of Excel allows you to read this threaded comment; however, any edits to it will get removed if the file is opened in a newer version of Excel. Learn more: https://go.microsoft.com/fwlink/?linkid=870924
Comment:
    Cost of CDS system seems reasonable. According to a Power Engineering article from 2011 a CDS installed system for a 600 MW plant is about $250MM. A linear relationship (which of course doesn't take into account economies of scale) yields about $15.6MM (in today's dollars) for a 28MW (approx UAF boiler) power plant 
</t>
      </text>
    </comment>
  </commentList>
</comments>
</file>

<file path=xl/sharedStrings.xml><?xml version="1.0" encoding="utf-8"?>
<sst xmlns="http://schemas.openxmlformats.org/spreadsheetml/2006/main" count="541" uniqueCount="215">
  <si>
    <t>DIRECT COSTS</t>
  </si>
  <si>
    <t>Purchased equipment and material costs</t>
  </si>
  <si>
    <t>Basic equipment</t>
  </si>
  <si>
    <t>Freight</t>
  </si>
  <si>
    <t>Vendor representatives fees</t>
  </si>
  <si>
    <t>(a)</t>
  </si>
  <si>
    <t>(b)</t>
  </si>
  <si>
    <t>(c)</t>
  </si>
  <si>
    <t>(d)</t>
  </si>
  <si>
    <t>(f)</t>
  </si>
  <si>
    <t>(1)</t>
  </si>
  <si>
    <t>(2)</t>
  </si>
  <si>
    <t>Direct Installation Costs</t>
  </si>
  <si>
    <t>(g)</t>
  </si>
  <si>
    <t>Electrical</t>
  </si>
  <si>
    <t>Insulation</t>
  </si>
  <si>
    <t>Abovegrade piping</t>
  </si>
  <si>
    <t>Total Direct Costs (TDC)</t>
  </si>
  <si>
    <t>INDIRECT COSTS</t>
  </si>
  <si>
    <t>(3)</t>
  </si>
  <si>
    <t>Engineering, Procurement &amp; Construction Support Services</t>
  </si>
  <si>
    <t>(4)</t>
  </si>
  <si>
    <t>Performance tests</t>
  </si>
  <si>
    <t>Total Indirect Costs (TIC)</t>
  </si>
  <si>
    <t>MANAGEMENT AND CONTINGENCY COSTS</t>
  </si>
  <si>
    <t>(5)</t>
  </si>
  <si>
    <t>Contingency</t>
  </si>
  <si>
    <t>(6)</t>
  </si>
  <si>
    <t>Total Management and Contingency Costs (TM&amp;CC)</t>
  </si>
  <si>
    <t>TOTAL CAPITAL INVESTMENT (TCI)</t>
  </si>
  <si>
    <t>DIRECT ANNUAL COSTS</t>
  </si>
  <si>
    <t>Operating Labor</t>
  </si>
  <si>
    <t>Supervisory Labor</t>
  </si>
  <si>
    <t>Maintenance Labor</t>
  </si>
  <si>
    <t>Utilities</t>
  </si>
  <si>
    <t>Electricity:</t>
  </si>
  <si>
    <t>Total Direct Annual Costs (TDAC)</t>
  </si>
  <si>
    <t>INDIRECT ANNUAL COSTS</t>
  </si>
  <si>
    <t>Overhead</t>
  </si>
  <si>
    <t>Capital Recovery</t>
  </si>
  <si>
    <t>(8)</t>
  </si>
  <si>
    <t>Total Indirect Annual Costs (TIAC)</t>
  </si>
  <si>
    <t>Capital Costs</t>
  </si>
  <si>
    <t>Instrumentation</t>
  </si>
  <si>
    <t>Purchased Equipment and Material Cost (PEMC)</t>
  </si>
  <si>
    <t>Annualized Costs</t>
  </si>
  <si>
    <t>TOTAL ANNUALIZED COSTS (TAC)</t>
  </si>
  <si>
    <t>Date:</t>
  </si>
  <si>
    <t>Prepared By:</t>
  </si>
  <si>
    <t>Rev:</t>
  </si>
  <si>
    <t>QTY</t>
  </si>
  <si>
    <t>UNIT</t>
  </si>
  <si>
    <t>UNIT COST</t>
  </si>
  <si>
    <t xml:space="preserve">TM &amp; CC   =   </t>
  </si>
  <si>
    <t xml:space="preserve">TCI  =  (TDC)+(TIC)+(TM&amp;CC)  = </t>
  </si>
  <si>
    <t xml:space="preserve">CRF * TCI  = </t>
  </si>
  <si>
    <t xml:space="preserve"> TDAC   =</t>
  </si>
  <si>
    <t xml:space="preserve"> TIAC   =</t>
  </si>
  <si>
    <t>TAC = (TDAC) + (TIAC)  =</t>
  </si>
  <si>
    <t xml:space="preserve"> PEMC   =</t>
  </si>
  <si>
    <t xml:space="preserve"> DIC   =</t>
  </si>
  <si>
    <t>TDC = (PEMC) + (DIC)  =</t>
  </si>
  <si>
    <t>TIC   =</t>
  </si>
  <si>
    <t xml:space="preserve"> TOTAL LABOR COST</t>
  </si>
  <si>
    <t xml:space="preserve"> TOTAL MATERIALS COST</t>
  </si>
  <si>
    <t>EA</t>
  </si>
  <si>
    <t>TOTAL =</t>
  </si>
  <si>
    <t>Total Instrumentation</t>
  </si>
  <si>
    <t>Days</t>
  </si>
  <si>
    <t>TON</t>
  </si>
  <si>
    <t>LOT</t>
  </si>
  <si>
    <t>MH</t>
  </si>
  <si>
    <t>% TDC</t>
  </si>
  <si>
    <t xml:space="preserve">Project: </t>
  </si>
  <si>
    <t xml:space="preserve">Project:  </t>
  </si>
  <si>
    <t>%</t>
  </si>
  <si>
    <t>years</t>
  </si>
  <si>
    <t>Maintenance Materials</t>
  </si>
  <si>
    <t>TOTAL</t>
  </si>
  <si>
    <t>Shaded cells indicate user inputs.</t>
  </si>
  <si>
    <t>Onsite Vendor Representatives fees (enter no. of days and daily rate)</t>
  </si>
  <si>
    <t>Shaded cells indicate user inputs</t>
  </si>
  <si>
    <t>Capital Recovery Factor [see inputs below]</t>
  </si>
  <si>
    <t>Data Inputs for Capital Recovery Factor:</t>
  </si>
  <si>
    <t>(e)</t>
  </si>
  <si>
    <t>Excluded</t>
  </si>
  <si>
    <t xml:space="preserve">Annual Interest Rate (EPA OAQPS Control Cost Manual)  </t>
  </si>
  <si>
    <t xml:space="preserve">Project Life (EPA OAQPS Control Cost Manual) </t>
  </si>
  <si>
    <t>% total capital</t>
  </si>
  <si>
    <t>Total Capital Investment - CDS (Circulating Dry Scrubber)</t>
  </si>
  <si>
    <t>UAF - BACT Analysis</t>
  </si>
  <si>
    <t>M. Jahn</t>
  </si>
  <si>
    <t>Total CDS System</t>
  </si>
  <si>
    <t>Water:</t>
  </si>
  <si>
    <t xml:space="preserve">Vendor: </t>
  </si>
  <si>
    <t>Andritz</t>
  </si>
  <si>
    <t>HVAC</t>
  </si>
  <si>
    <t>Fire System</t>
  </si>
  <si>
    <t>ID Fan</t>
  </si>
  <si>
    <t>Concrete (CDS Building, Duct Supports)</t>
  </si>
  <si>
    <t>Structural Steel (CDS Building, Supports, Duct)</t>
  </si>
  <si>
    <t>Demo of existing Water Treatment Building</t>
  </si>
  <si>
    <t>CDS System</t>
  </si>
  <si>
    <t>ID Fan System Freight</t>
  </si>
  <si>
    <t>Reagent:</t>
  </si>
  <si>
    <t>Site Vibro Compaction (CDS Building, Supports)</t>
  </si>
  <si>
    <t>Line Number 3</t>
  </si>
  <si>
    <t>Line Number 4</t>
  </si>
  <si>
    <t>Maintenance Material</t>
  </si>
  <si>
    <t>Electricity</t>
  </si>
  <si>
    <t>Calculated as percent of Total Capital Investment</t>
  </si>
  <si>
    <t>Admin Charges, etc</t>
  </si>
  <si>
    <t>Capital Recovery Factor</t>
  </si>
  <si>
    <t>EPA calculated factor using Interest Rate and Project Life Span</t>
  </si>
  <si>
    <t>Capital Recovery Factor times Total Capital Investment.</t>
  </si>
  <si>
    <t>Annual Interest Rate</t>
  </si>
  <si>
    <t>Project Life</t>
  </si>
  <si>
    <t>Project Life expectancy in years.</t>
  </si>
  <si>
    <t>Golden Heart Utility Relocation</t>
  </si>
  <si>
    <t>CDS price provided by OEM Vendor. Cost includes equipment supply and installation costs. Andritz provided a rough installation factor based on material supply. Assumed installation costs were the same as equipment supply.</t>
  </si>
  <si>
    <t>Direct Installation Costs (DIC) - Estimate for new building, foundation, piping, electrical, etc.</t>
  </si>
  <si>
    <t>Fire System costs for the new CDS Building. Costs were derived from the original UAF estimate and scaled based on a cost/square foot and escalated using CEPCI.</t>
  </si>
  <si>
    <t>HVAC costs for the new CDS Building. Costs were derived from the original UAF estimate and scaled based on a cost/square foot and escalated using CEPCI.</t>
  </si>
  <si>
    <t>Water Treatment Building Demolition</t>
  </si>
  <si>
    <t>Water Treatment Building Demolition costs to demolish the existing water treatment building. The new CDS building will be built in it's place. Estimated costs were derived on a level of effort basis</t>
  </si>
  <si>
    <t>Total costs for new cabinets and integrating CDS I/O into existing UAF DCS.</t>
  </si>
  <si>
    <t>ID Fan Shipping Costs</t>
  </si>
  <si>
    <t>Direct Install Costs</t>
  </si>
  <si>
    <t>Costs broken down into individual disciplines for balance of plant equipment, materials and labor for the CDS System. Cost estimate basis for each discipline are provided as attachments.</t>
  </si>
  <si>
    <t>Engineering Services</t>
  </si>
  <si>
    <t>Performance Test</t>
  </si>
  <si>
    <t>Costs for a 3rd party performance testing company to validate emissions and performance guarantees by CDS vendor during operation</t>
  </si>
  <si>
    <t>Construction Contingency</t>
  </si>
  <si>
    <t>Line Number 8</t>
  </si>
  <si>
    <t>Operating/Maintenance Labor</t>
  </si>
  <si>
    <t>Water</t>
  </si>
  <si>
    <t>Pricing provided by UAF for published utility rates on campus. Water consumption rate provided by CDS vendor.</t>
  </si>
  <si>
    <t>Line Number 1 and 3</t>
  </si>
  <si>
    <t>Line Number 5b</t>
  </si>
  <si>
    <t>Line Number 5c</t>
  </si>
  <si>
    <t>Line Number 6</t>
  </si>
  <si>
    <t>(7a)</t>
  </si>
  <si>
    <t>Line Number 7a</t>
  </si>
  <si>
    <t>(7b)</t>
  </si>
  <si>
    <t>Line Number 7b</t>
  </si>
  <si>
    <t>Line Number/Description</t>
  </si>
  <si>
    <t>Title</t>
  </si>
  <si>
    <t>Comment</t>
  </si>
  <si>
    <t>Line Number 1a</t>
  </si>
  <si>
    <t>Line Number 1b</t>
  </si>
  <si>
    <t>Line Number 1c</t>
  </si>
  <si>
    <t>(K) Gallons</t>
  </si>
  <si>
    <t>Provided by UAF. Rate is burdoned rate for level of personnel operating and performing maintenance on this type of equipment. Additional FT operations person is assumed per shift. Four total shifts per week. Quarter FT maintenance persons is assumed for the new CDS system.</t>
  </si>
  <si>
    <t>Pricing provided by UAF for published utility rates on campus. Electical consumption rate provided by CDS vendor. Additional consumption by larger ID Fan was also included.</t>
  </si>
  <si>
    <t>Extended Outage Costs</t>
  </si>
  <si>
    <t>Administrative Charges, Insurance</t>
  </si>
  <si>
    <t>Latest federal prime rate. https://www.federalreserve.gov/releases/h15/</t>
  </si>
  <si>
    <t>Pricing provided by Clarage for new ID Fan. Fan shipping is provided in line number 1c.</t>
  </si>
  <si>
    <t>Costs to ship ID fan to site.</t>
  </si>
  <si>
    <t>kWh</t>
  </si>
  <si>
    <t>Costs for Preliminary Engineering costs to assist the University in soliciting bidders with specifications, preliminary drawings and procurement support for the AQCS system. Additional services include home office support for shop drawing review and occasional site support during construction for potential issues. Engineering is a percentage of the Total Direct Costs of the Project.</t>
  </si>
  <si>
    <t>Line Number 5</t>
  </si>
  <si>
    <t>Additional days beyond a typical 3 week outage</t>
  </si>
  <si>
    <t>days</t>
  </si>
  <si>
    <t>Line Number 1d</t>
  </si>
  <si>
    <t>Line Number 1e</t>
  </si>
  <si>
    <t>Vendor Representative Costs</t>
  </si>
  <si>
    <t>Construction Contingency is an allottment for additonal or unexpected costs during the project. RS Means defines contingency allowances and ranges between 3-20% depending on what design stage the project is in. A 10% contingency is a project that is in Design Development, wheras a Conceptual Design phase allows for a 20% contingency. A 10% contingency for this cost estimate is considered low as the project is still in a Development phase.</t>
  </si>
  <si>
    <t>Allotment for maintenance materials. Item is equal to the maintenance labor allotment in line 3.</t>
  </si>
  <si>
    <t>Total Annualized Costs - CDS (Circulating Dry Scrubber)</t>
  </si>
  <si>
    <t>N/A</t>
  </si>
  <si>
    <t>Line Number 5a</t>
  </si>
  <si>
    <r>
      <t>CDS vendor will not require injection of reagent for SO</t>
    </r>
    <r>
      <rPr>
        <vertAlign val="subscript"/>
        <sz val="11"/>
        <color theme="1"/>
        <rFont val="Calibri"/>
        <family val="2"/>
        <scheme val="minor"/>
      </rPr>
      <t>2</t>
    </r>
    <r>
      <rPr>
        <sz val="11"/>
        <color theme="1"/>
        <rFont val="Calibri"/>
        <family val="2"/>
        <scheme val="minor"/>
      </rPr>
      <t xml:space="preserve"> reduction.</t>
    </r>
  </si>
  <si>
    <t>Reagent</t>
  </si>
  <si>
    <t>Line Number 2a thru 2g</t>
  </si>
  <si>
    <t>B</t>
  </si>
  <si>
    <t>Updated By:</t>
  </si>
  <si>
    <t>C. Kimball</t>
  </si>
  <si>
    <t>Costs incurred for OEM to send a Field Technician to the field to confirm installation and provide technical guidance if needed. Cost per day includes hourly burdened rate for employee daily allowances and travel expenses. Based on general engineering and project experience.</t>
  </si>
  <si>
    <t>UAF typically schedules for a 3 week outage on Boiler #5. A CDS outage will take 6 weeks and University will incur 3 additional weeks of outage costs that include purchasing electric power and running additional boilers for steam generation. Costs per day were provided by UAF personnel. The daily outage cost calculations are presented in the last section of Appendix G beginning on page G-73.</t>
  </si>
  <si>
    <t>Factor or Quote</t>
  </si>
  <si>
    <t>Stationary Source Comment</t>
  </si>
  <si>
    <t>ADEC Comment</t>
  </si>
  <si>
    <t>ADEC Comments</t>
  </si>
  <si>
    <t>TCI</t>
  </si>
  <si>
    <t>% of PEMC</t>
  </si>
  <si>
    <t xml:space="preserve">Cost determined to be reasonable. Quote from Clarage. UAF does not propose the replacement of the existing baghouse, but the ID Fan system upgrade. </t>
  </si>
  <si>
    <t>Cost determined to be reasonable. See comment for TCI below</t>
  </si>
  <si>
    <t>ADEC Reviewer: Moses Coss</t>
  </si>
  <si>
    <t xml:space="preserve">Cost determined to be reasonable. UAF provided the basis of the cost estimate based on the estimated square footage for a new CDS system building and the individual elements needed for additional fire safety needed as a result of implementing a CDS system. </t>
  </si>
  <si>
    <t>Cost determined to be reasonable. UAF provided the basis of the cost estimate based on the additional heating that will be required for the new building with a square footage of 3,538 SQ FT and estimated $126,069 in 2017 dollars at $35.63/sqft. This value was adjusted to 2021 dollars using the CEPCI index ($44..45/sqft) and a new square footage of 10,000 based on a recommendation by the vendor yielding a total of $445,000. As a point of comparison, in the lower 48 states, capicatl costs for HVAC retrofits for commercial buildings cost $25 to $60 per square foot, so UAF's calculated cost does not seem out of line. EPA's pollution control manual does not have specific guidance on costs associated with hydronic heating.</t>
  </si>
  <si>
    <t>Cost determined to be reasonable. UAF provided labor and equipment costs based on CSI costs schedule</t>
  </si>
  <si>
    <t>Cost determined to be reasonable. Table 2.4 of EPA's pollution control manual lists a typical value of 0.05% of the total equipment cost as guidance for freight costs. UAF freight cost represent approximately 0.55% of the cost of the ID fan, which is equivalent to EPA's cost guidance.</t>
  </si>
  <si>
    <t>Cost determined to be reasonable. No equivalent guidance on extended outage costs were found in EPA's pollution control manual.</t>
  </si>
  <si>
    <t>Cost determined to be reasonable. No equivalent guidance on vendor representative costs were found in EPA's pollution control manual.</t>
  </si>
  <si>
    <t>of TCI</t>
  </si>
  <si>
    <t>of PEMC</t>
  </si>
  <si>
    <t xml:space="preserve">Cost determined to be reasonable. In section 2.6.1.2, the EPA's pollution control manual provides installation costs for Venturi Scrubbers, listing them as 0.1 of PEC. UAF used the same factor for this line item. </t>
  </si>
  <si>
    <t>Cost determined to be reasonable. In table 1.2, the EPA's pollution control manual provides performance tests costs as 0.01 of PEC ($200K). That is, UAF's estimate ($75K) is well under EPA's manual.</t>
  </si>
  <si>
    <t>Cost determined to be reasonable. EPA's manual provides for contingency factors for SNCR applications higher than UAF's estimates.</t>
  </si>
  <si>
    <t>Cost determined to be resonable. Absent specific TCI information on CDS retrofits for single stack coal power plants, total cost of CDS system may be reasonable. According to a Power Engineering article from 2011 a CDS installed system for a 600 MW plant is about $250MM. A linear relationship (without taking into account economies of scale) would be equivalent to about $15.6MM (in today's dollars) for a 28MW (approx UAF boiler) power plant. While this cost is about half of UAF's TCI estimation, both a larger and smaller plant will likely need the same number and type of components, where a larger plant will simply need components with higher rated capacity (e.g. a larger absorber, larger bi-product silo, etc). Therefore the cost - size relationship may not be linear but follow an S-shaped curve between the smaller and larger capacities considered. In their estimate, UAF does not propose the replacement of the existing baghouse. No equivalent guidance on overall costs for TCI were found in EPA Pollution control cost manual.</t>
  </si>
  <si>
    <t>Cost determined to be reasonable. This costs represents &lt; 0.5% of the TAC and seems to insignificant to warrant additional scrutiny.</t>
  </si>
  <si>
    <t>of TAC</t>
  </si>
  <si>
    <t>The formula used corresponds to the Eq 4.3 in EPA's pollution control manual</t>
  </si>
  <si>
    <t xml:space="preserve">Cost determined to be reasonable. </t>
  </si>
  <si>
    <t xml:space="preserve">Cost determined to be reasonable. No similar operating / maintenance labor costs are listed in EPA's pollution control manual. </t>
  </si>
  <si>
    <t>Cost determined to be reasonable.  In table 1.7, EPA Pollution control manual lists overhead as 60% of total labor and maintenance materials. UAF's estimate is below this estimate.</t>
  </si>
  <si>
    <t>Cost determined to be reasonable. Power consumption cost was also calculated.</t>
  </si>
  <si>
    <t>Cost determined to be reasonable. UAF provided estimate based on a project Stanley Consultans, Inc. designed in 2016 in Iowa, with personal and plant costs adjusted to 2021 and to reflect the project to be located in Fairbanks, AK. No equivalent guidance on backup control costs were found in EPA's pollution control manual except that it susggests that typical Instrumentation costs are around 10% of total equipment costs vs th 3.7% estimated by UAF.</t>
  </si>
  <si>
    <t>Cost determined to be reasonable. UAF calculate the Direct Installation Costs as approximately 20% of the TCI. In section 2.6.1.2, the EPA's pollution control manual provides installation costs for Venturi Scrubbers, listing them as 0.56 of PEC. UAF determined that the installation costs would be be around 0.32 of PECM. An article published by William Vatavuk from the US EPA and Robert Neveril from Gard, Inc published in the Chemical Engineering Journal in November 1980, provides a multiplier for for direct installation costs for gas absorbers of 0.85 of the base price. UAF's estimate is below this value and within 30% of EPA's 1980 article.</t>
  </si>
  <si>
    <t>Cost effectiveness ($/ton)</t>
  </si>
  <si>
    <t>TAC/Emission Reduction =</t>
  </si>
  <si>
    <t>Uncontrolled emissions (tpy) =</t>
  </si>
  <si>
    <t xml:space="preserve">controlled emissions (tpy) = </t>
  </si>
  <si>
    <t>Reduction (tpy)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</si>
</sst>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43" formatCode="_(* #,##0.00_);_(* \(#,##0.00\);_(* &quot;-&quot;??_);_(@_)"/>
    <numFmt numFmtId="164" formatCode="0.0000"/>
    <numFmt numFmtId="165" formatCode="_(&quot;$&quot;* #,##0_);_(&quot;$&quot;* \(#,##0\);_(&quot;$&quot;* &quot;-&quot;??_);_(@_)"/>
    <numFmt numFmtId="166" formatCode="_(* #,##0_);_(* \(#,##0\);_(* &quot;-&quot;??_);_(@_)"/>
    <numFmt numFmtId="167" formatCode="_(* #,##0.000_);_(* \(#,##0.000\);_(* &quot;-&quot;??_);_(@_)"/>
    <numFmt numFmtId="168" formatCode="0.0%"/>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1"/>
      <color rgb="FF0070C0"/>
      <name val="Calibri"/>
      <family val="2"/>
      <scheme val="minor"/>
    </font>
    <font>
      <b/>
      <sz val="12"/>
      <color rgb="FF0070C0"/>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70C0"/>
      <name val="Calibri"/>
      <family val="2"/>
      <scheme val="minor"/>
    </font>
    <font>
      <sz val="14"/>
      <color theme="1"/>
      <name val="Calibri"/>
      <family val="2"/>
      <scheme val="minor"/>
    </font>
    <font>
      <sz val="12"/>
      <color theme="1"/>
      <name val="Calibri"/>
      <family val="2"/>
      <scheme val="minor"/>
    </font>
    <font>
      <b/>
      <sz val="12"/>
      <name val="Calibri"/>
      <family val="2"/>
      <scheme val="minor"/>
    </font>
    <font>
      <b/>
      <i/>
      <sz val="12"/>
      <color rgb="FF0070C0"/>
      <name val="Calibri"/>
      <family val="2"/>
      <scheme val="minor"/>
    </font>
    <font>
      <sz val="12"/>
      <color rgb="FF0070C0"/>
      <name val="Calibri"/>
      <family val="2"/>
      <scheme val="minor"/>
    </font>
    <font>
      <b/>
      <sz val="14"/>
      <color rgb="FF0070C0"/>
      <name val="Calibri"/>
      <family val="2"/>
      <scheme val="minor"/>
    </font>
    <font>
      <sz val="14"/>
      <color rgb="FF0070C0"/>
      <name val="Calibri"/>
      <family val="2"/>
      <scheme val="minor"/>
    </font>
    <font>
      <b/>
      <sz val="11"/>
      <color theme="8" tint="-0.249977111117893"/>
      <name val="Calibri"/>
      <family val="2"/>
      <scheme val="minor"/>
    </font>
    <font>
      <vertAlign val="subscript"/>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9" tint="0.79998168889431442"/>
        <bgColor indexed="64"/>
      </patternFill>
    </fill>
  </fills>
  <borders count="43">
    <border>
      <left/>
      <right/>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thick">
        <color auto="1"/>
      </left>
      <right/>
      <top style="thin">
        <color auto="1"/>
      </top>
      <bottom style="thin">
        <color auto="1"/>
      </bottom>
      <diagonal/>
    </border>
    <border>
      <left style="thick">
        <color auto="1"/>
      </left>
      <right/>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style="thick">
        <color auto="1"/>
      </right>
      <top style="thin">
        <color auto="1"/>
      </top>
      <bottom style="thin">
        <color auto="1"/>
      </bottom>
      <diagonal/>
    </border>
    <border>
      <left style="thick">
        <color auto="1"/>
      </left>
      <right/>
      <top style="double">
        <color indexed="64"/>
      </top>
      <bottom/>
      <diagonal/>
    </border>
    <border>
      <left/>
      <right/>
      <top style="double">
        <color indexed="64"/>
      </top>
      <bottom/>
      <diagonal/>
    </border>
    <border>
      <left/>
      <right style="thick">
        <color auto="1"/>
      </right>
      <top/>
      <bottom style="double">
        <color indexed="64"/>
      </bottom>
      <diagonal/>
    </border>
    <border>
      <left/>
      <right style="thick">
        <color auto="1"/>
      </right>
      <top style="double">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cellStyleXfs>
  <cellXfs count="195">
    <xf numFmtId="0" fontId="0" fillId="0" borderId="0" xfId="0"/>
    <xf numFmtId="0" fontId="2" fillId="0" borderId="1" xfId="0" applyFont="1" applyBorder="1"/>
    <xf numFmtId="0" fontId="1" fillId="0" borderId="0" xfId="0" applyFont="1"/>
    <xf numFmtId="0" fontId="0" fillId="0" borderId="2" xfId="0" applyBorder="1"/>
    <xf numFmtId="0" fontId="0" fillId="0" borderId="1" xfId="0" applyBorder="1"/>
    <xf numFmtId="0" fontId="1" fillId="0" borderId="1" xfId="0" applyFont="1" applyBorder="1"/>
    <xf numFmtId="49" fontId="0" fillId="0" borderId="0" xfId="0" applyNumberFormat="1" applyAlignment="1">
      <alignment horizontal="center"/>
    </xf>
    <xf numFmtId="49" fontId="2" fillId="0" borderId="1" xfId="0" applyNumberFormat="1" applyFont="1" applyBorder="1"/>
    <xf numFmtId="0" fontId="0" fillId="0" borderId="0" xfId="0" applyAlignment="1">
      <alignment horizontal="center"/>
    </xf>
    <xf numFmtId="0" fontId="0" fillId="0" borderId="0" xfId="0" applyAlignment="1">
      <alignment horizontal="right"/>
    </xf>
    <xf numFmtId="42" fontId="0" fillId="0" borderId="2" xfId="0" applyNumberFormat="1" applyBorder="1"/>
    <xf numFmtId="44" fontId="0" fillId="0" borderId="2" xfId="0" applyNumberFormat="1" applyBorder="1"/>
    <xf numFmtId="0" fontId="1" fillId="0" borderId="0" xfId="0" applyFont="1" applyAlignment="1">
      <alignment horizontal="center"/>
    </xf>
    <xf numFmtId="0" fontId="7" fillId="0" borderId="0" xfId="0" applyFont="1" applyAlignment="1">
      <alignment horizontal="center"/>
    </xf>
    <xf numFmtId="44" fontId="0" fillId="0" borderId="0" xfId="0" applyNumberFormat="1"/>
    <xf numFmtId="42" fontId="0" fillId="0" borderId="0" xfId="0" applyNumberFormat="1"/>
    <xf numFmtId="49" fontId="1" fillId="0" borderId="0" xfId="0" applyNumberFormat="1" applyFont="1" applyAlignment="1">
      <alignment horizontal="right"/>
    </xf>
    <xf numFmtId="42" fontId="1" fillId="0" borderId="2" xfId="0" applyNumberFormat="1" applyFont="1" applyBorder="1"/>
    <xf numFmtId="0" fontId="2" fillId="0" borderId="0" xfId="0" applyFont="1"/>
    <xf numFmtId="9" fontId="0" fillId="0" borderId="0" xfId="1" applyFont="1" applyBorder="1"/>
    <xf numFmtId="0" fontId="1" fillId="0" borderId="2" xfId="0" applyFont="1" applyBorder="1" applyAlignment="1">
      <alignment horizontal="center"/>
    </xf>
    <xf numFmtId="0" fontId="0" fillId="0" borderId="10" xfId="0" applyBorder="1"/>
    <xf numFmtId="0" fontId="0" fillId="0" borderId="11" xfId="0" applyBorder="1"/>
    <xf numFmtId="0" fontId="3" fillId="0" borderId="13" xfId="0" applyFont="1" applyBorder="1"/>
    <xf numFmtId="0" fontId="0" fillId="0" borderId="14" xfId="0" applyBorder="1"/>
    <xf numFmtId="0" fontId="1" fillId="0" borderId="14" xfId="0" applyFont="1" applyBorder="1" applyAlignment="1">
      <alignment horizontal="center"/>
    </xf>
    <xf numFmtId="0" fontId="7" fillId="0" borderId="14" xfId="0" applyFont="1" applyBorder="1" applyAlignment="1">
      <alignment horizontal="center"/>
    </xf>
    <xf numFmtId="0" fontId="0" fillId="0" borderId="16" xfId="0" applyBorder="1"/>
    <xf numFmtId="0" fontId="11" fillId="0" borderId="0" xfId="0" applyFont="1"/>
    <xf numFmtId="0" fontId="11" fillId="0" borderId="1" xfId="0" applyFont="1" applyBorder="1"/>
    <xf numFmtId="49" fontId="11" fillId="0" borderId="1" xfId="0" applyNumberFormat="1" applyFont="1" applyBorder="1"/>
    <xf numFmtId="0" fontId="7" fillId="0" borderId="1" xfId="0" applyFont="1" applyBorder="1"/>
    <xf numFmtId="0" fontId="7" fillId="0" borderId="0" xfId="0" applyFont="1"/>
    <xf numFmtId="0" fontId="8" fillId="0" borderId="0" xfId="0" applyFont="1"/>
    <xf numFmtId="0" fontId="8" fillId="0" borderId="0" xfId="0" applyFont="1" applyAlignment="1">
      <alignment horizontal="center"/>
    </xf>
    <xf numFmtId="0" fontId="13" fillId="0" borderId="7" xfId="0" applyFont="1" applyBorder="1"/>
    <xf numFmtId="0" fontId="11" fillId="0" borderId="10" xfId="0" applyFont="1" applyBorder="1"/>
    <xf numFmtId="0" fontId="0" fillId="0" borderId="10" xfId="0" applyBorder="1" applyAlignment="1">
      <alignment horizontal="center"/>
    </xf>
    <xf numFmtId="42" fontId="1" fillId="0" borderId="12" xfId="0" applyNumberFormat="1" applyFont="1" applyBorder="1"/>
    <xf numFmtId="0" fontId="2" fillId="0" borderId="10" xfId="0" applyFont="1" applyBorder="1"/>
    <xf numFmtId="0" fontId="1" fillId="0" borderId="10" xfId="0" applyFont="1" applyBorder="1" applyAlignment="1">
      <alignment horizontal="center"/>
    </xf>
    <xf numFmtId="0" fontId="1" fillId="0" borderId="10" xfId="0" applyFont="1" applyBorder="1"/>
    <xf numFmtId="0" fontId="5" fillId="0" borderId="10" xfId="0" applyFont="1" applyBorder="1"/>
    <xf numFmtId="0" fontId="13" fillId="0" borderId="10" xfId="0" applyFont="1" applyBorder="1"/>
    <xf numFmtId="0" fontId="4" fillId="0" borderId="10" xfId="0" applyFont="1" applyBorder="1"/>
    <xf numFmtId="0" fontId="15" fillId="0" borderId="3" xfId="0" applyFont="1" applyBorder="1"/>
    <xf numFmtId="0" fontId="16" fillId="0" borderId="4" xfId="0" applyFont="1" applyBorder="1"/>
    <xf numFmtId="0" fontId="15" fillId="0" borderId="4" xfId="0" applyFont="1" applyBorder="1"/>
    <xf numFmtId="0" fontId="0" fillId="0" borderId="17" xfId="0" applyBorder="1"/>
    <xf numFmtId="0" fontId="0" fillId="0" borderId="17" xfId="0" applyBorder="1" applyAlignment="1">
      <alignment horizontal="right"/>
    </xf>
    <xf numFmtId="0" fontId="3" fillId="0" borderId="18" xfId="0" applyFont="1" applyBorder="1"/>
    <xf numFmtId="0" fontId="10" fillId="0" borderId="19" xfId="0" applyFont="1" applyBorder="1"/>
    <xf numFmtId="0" fontId="0" fillId="0" borderId="19" xfId="0" applyBorder="1"/>
    <xf numFmtId="0" fontId="0" fillId="0" borderId="20" xfId="0" applyBorder="1"/>
    <xf numFmtId="0" fontId="0" fillId="3" borderId="6" xfId="0" applyFill="1" applyBorder="1" applyAlignment="1">
      <alignment horizontal="center"/>
    </xf>
    <xf numFmtId="0" fontId="1" fillId="0" borderId="22" xfId="0" applyFont="1" applyBorder="1" applyAlignment="1">
      <alignment horizontal="left"/>
    </xf>
    <xf numFmtId="0" fontId="0" fillId="0" borderId="23" xfId="0" applyBorder="1"/>
    <xf numFmtId="0" fontId="1" fillId="0" borderId="24" xfId="0" applyFont="1" applyBorder="1" applyAlignment="1">
      <alignment horizontal="center"/>
    </xf>
    <xf numFmtId="0" fontId="0" fillId="0" borderId="25" xfId="0" applyBorder="1"/>
    <xf numFmtId="0" fontId="0" fillId="0" borderId="26" xfId="0" applyBorder="1"/>
    <xf numFmtId="0" fontId="0" fillId="0" borderId="27" xfId="0" applyBorder="1"/>
    <xf numFmtId="0" fontId="0" fillId="0" borderId="28" xfId="0" applyBorder="1"/>
    <xf numFmtId="0" fontId="2" fillId="0" borderId="23" xfId="0" applyFont="1" applyBorder="1"/>
    <xf numFmtId="0" fontId="1" fillId="0" borderId="23" xfId="0" applyFont="1" applyBorder="1" applyAlignment="1">
      <alignment horizontal="center"/>
    </xf>
    <xf numFmtId="0" fontId="7" fillId="0" borderId="23" xfId="0" applyFont="1" applyBorder="1" applyAlignment="1">
      <alignment horizontal="center"/>
    </xf>
    <xf numFmtId="44" fontId="0" fillId="0" borderId="0" xfId="0" applyNumberFormat="1" applyAlignment="1">
      <alignment horizontal="right"/>
    </xf>
    <xf numFmtId="44" fontId="1" fillId="0" borderId="0" xfId="0" applyNumberFormat="1" applyFont="1" applyAlignment="1">
      <alignment horizontal="right"/>
    </xf>
    <xf numFmtId="44" fontId="5" fillId="0" borderId="10" xfId="0" applyNumberFormat="1" applyFont="1" applyBorder="1" applyAlignment="1">
      <alignment horizontal="right"/>
    </xf>
    <xf numFmtId="44" fontId="1" fillId="0" borderId="10" xfId="0" applyNumberFormat="1" applyFont="1" applyBorder="1"/>
    <xf numFmtId="44" fontId="0" fillId="0" borderId="0" xfId="0" applyNumberFormat="1" applyAlignment="1">
      <alignment horizontal="center"/>
    </xf>
    <xf numFmtId="44" fontId="4" fillId="0" borderId="10" xfId="0" applyNumberFormat="1" applyFont="1" applyBorder="1"/>
    <xf numFmtId="44" fontId="16" fillId="0" borderId="4" xfId="0" applyNumberFormat="1" applyFont="1" applyBorder="1"/>
    <xf numFmtId="44" fontId="14" fillId="0" borderId="4" xfId="0" applyNumberFormat="1" applyFont="1" applyBorder="1"/>
    <xf numFmtId="44" fontId="5" fillId="0" borderId="4" xfId="0" applyNumberFormat="1" applyFont="1" applyBorder="1" applyAlignment="1">
      <alignment horizontal="right"/>
    </xf>
    <xf numFmtId="42" fontId="8" fillId="0" borderId="0" xfId="0" applyNumberFormat="1" applyFont="1"/>
    <xf numFmtId="42" fontId="0" fillId="0" borderId="10" xfId="0" applyNumberFormat="1" applyBorder="1"/>
    <xf numFmtId="42" fontId="1" fillId="0" borderId="10" xfId="0" applyNumberFormat="1" applyFont="1" applyBorder="1"/>
    <xf numFmtId="44" fontId="0" fillId="3" borderId="6" xfId="0" applyNumberFormat="1" applyFill="1" applyBorder="1"/>
    <xf numFmtId="44" fontId="0" fillId="0" borderId="2" xfId="0" applyNumberFormat="1" applyBorder="1" applyAlignment="1">
      <alignment horizontal="right"/>
    </xf>
    <xf numFmtId="2" fontId="0" fillId="3" borderId="6" xfId="0" applyNumberFormat="1" applyFill="1" applyBorder="1" applyAlignment="1">
      <alignment horizontal="center"/>
    </xf>
    <xf numFmtId="0" fontId="0" fillId="3" borderId="29" xfId="0" applyFill="1" applyBorder="1" applyAlignment="1">
      <alignment horizontal="center"/>
    </xf>
    <xf numFmtId="9" fontId="0" fillId="3" borderId="6" xfId="1" applyFont="1" applyFill="1" applyBorder="1" applyAlignment="1">
      <alignment horizontal="center"/>
    </xf>
    <xf numFmtId="49" fontId="4" fillId="0" borderId="10" xfId="0" applyNumberFormat="1" applyFont="1" applyBorder="1"/>
    <xf numFmtId="0" fontId="0" fillId="0" borderId="10" xfId="0" applyBorder="1" applyAlignment="1">
      <alignment horizontal="left"/>
    </xf>
    <xf numFmtId="164" fontId="0" fillId="0" borderId="10" xfId="0" applyNumberFormat="1" applyBorder="1" applyAlignment="1">
      <alignment horizontal="center"/>
    </xf>
    <xf numFmtId="0" fontId="0" fillId="0" borderId="10" xfId="0" applyBorder="1" applyAlignment="1">
      <alignment horizontal="right"/>
    </xf>
    <xf numFmtId="42" fontId="0" fillId="0" borderId="10" xfId="0" applyNumberFormat="1" applyBorder="1" applyAlignment="1">
      <alignment horizontal="right"/>
    </xf>
    <xf numFmtId="42" fontId="9" fillId="0" borderId="10" xfId="0" applyNumberFormat="1" applyFont="1" applyBorder="1"/>
    <xf numFmtId="42" fontId="4" fillId="0" borderId="10" xfId="0" applyNumberFormat="1" applyFont="1" applyBorder="1" applyAlignment="1">
      <alignment horizontal="right"/>
    </xf>
    <xf numFmtId="0" fontId="9" fillId="0" borderId="10" xfId="0" applyFont="1" applyBorder="1"/>
    <xf numFmtId="0" fontId="9" fillId="0" borderId="10" xfId="0" applyFont="1" applyBorder="1" applyAlignment="1">
      <alignment horizontal="center"/>
    </xf>
    <xf numFmtId="9" fontId="0" fillId="3" borderId="6" xfId="1" applyFont="1" applyFill="1" applyBorder="1"/>
    <xf numFmtId="42" fontId="4" fillId="0" borderId="12" xfId="0" applyNumberFormat="1" applyFont="1" applyBorder="1"/>
    <xf numFmtId="42" fontId="15" fillId="0" borderId="5" xfId="0" applyNumberFormat="1" applyFont="1" applyBorder="1"/>
    <xf numFmtId="0" fontId="0" fillId="0" borderId="2" xfId="0" applyBorder="1" applyAlignment="1">
      <alignment horizontal="right"/>
    </xf>
    <xf numFmtId="0" fontId="0" fillId="0" borderId="21" xfId="0" applyBorder="1" applyAlignment="1">
      <alignment horizontal="right"/>
    </xf>
    <xf numFmtId="14" fontId="0" fillId="0" borderId="2" xfId="0" applyNumberFormat="1" applyBorder="1"/>
    <xf numFmtId="166" fontId="0" fillId="3" borderId="6" xfId="2" applyNumberFormat="1" applyFont="1" applyFill="1" applyBorder="1" applyAlignment="1">
      <alignment horizontal="center"/>
    </xf>
    <xf numFmtId="9" fontId="0" fillId="3" borderId="6" xfId="0" applyNumberFormat="1" applyFill="1" applyBorder="1" applyAlignment="1">
      <alignment horizontal="center"/>
    </xf>
    <xf numFmtId="165" fontId="0" fillId="3" borderId="6" xfId="3" applyNumberFormat="1" applyFont="1" applyFill="1" applyBorder="1" applyAlignment="1">
      <alignment horizontal="center"/>
    </xf>
    <xf numFmtId="44" fontId="0" fillId="0" borderId="0" xfId="3" applyFont="1"/>
    <xf numFmtId="44" fontId="0" fillId="3" borderId="6" xfId="3" applyFont="1" applyFill="1" applyBorder="1" applyAlignment="1">
      <alignment horizontal="center"/>
    </xf>
    <xf numFmtId="0" fontId="0" fillId="0" borderId="31" xfId="0" applyBorder="1" applyAlignment="1">
      <alignment horizontal="center"/>
    </xf>
    <xf numFmtId="44" fontId="0" fillId="0" borderId="31" xfId="3" applyFont="1" applyFill="1" applyBorder="1" applyAlignment="1">
      <alignment horizontal="center"/>
    </xf>
    <xf numFmtId="43" fontId="0" fillId="3" borderId="6" xfId="2" applyFont="1" applyFill="1" applyBorder="1" applyAlignment="1">
      <alignment horizontal="center"/>
    </xf>
    <xf numFmtId="0" fontId="17" fillId="4" borderId="6" xfId="0" applyFont="1" applyFill="1" applyBorder="1" applyAlignment="1">
      <alignment horizontal="center"/>
    </xf>
    <xf numFmtId="1" fontId="0" fillId="3" borderId="6" xfId="0" applyNumberFormat="1" applyFill="1" applyBorder="1" applyAlignment="1">
      <alignment horizontal="center"/>
    </xf>
    <xf numFmtId="167" fontId="0" fillId="3" borderId="6" xfId="2" applyNumberFormat="1" applyFont="1" applyFill="1" applyBorder="1" applyAlignment="1">
      <alignment horizontal="center"/>
    </xf>
    <xf numFmtId="0" fontId="0" fillId="0" borderId="6" xfId="0" applyBorder="1" applyAlignment="1">
      <alignment horizontal="center" vertical="center"/>
    </xf>
    <xf numFmtId="0" fontId="3" fillId="0" borderId="22" xfId="0" applyFont="1" applyBorder="1"/>
    <xf numFmtId="0" fontId="3" fillId="0" borderId="23" xfId="0" applyFont="1" applyBorder="1"/>
    <xf numFmtId="0" fontId="0" fillId="0" borderId="23" xfId="0" applyBorder="1" applyAlignment="1">
      <alignment horizontal="right"/>
    </xf>
    <xf numFmtId="14" fontId="0" fillId="0" borderId="24" xfId="0" applyNumberFormat="1" applyBorder="1" applyAlignment="1">
      <alignment horizontal="right"/>
    </xf>
    <xf numFmtId="0" fontId="0" fillId="0" borderId="26" xfId="0" applyBorder="1" applyAlignment="1">
      <alignment horizontal="right"/>
    </xf>
    <xf numFmtId="0" fontId="0" fillId="0" borderId="28" xfId="0" applyBorder="1" applyAlignment="1">
      <alignment horizontal="right"/>
    </xf>
    <xf numFmtId="0" fontId="2" fillId="0" borderId="22" xfId="0" applyFont="1" applyBorder="1"/>
    <xf numFmtId="49" fontId="0" fillId="0" borderId="25" xfId="0" applyNumberFormat="1" applyBorder="1"/>
    <xf numFmtId="42" fontId="0" fillId="0" borderId="0" xfId="0" applyNumberFormat="1" applyAlignment="1">
      <alignment horizontal="right"/>
    </xf>
    <xf numFmtId="42" fontId="0" fillId="0" borderId="26" xfId="0" applyNumberFormat="1" applyBorder="1"/>
    <xf numFmtId="0" fontId="0" fillId="0" borderId="25" xfId="0" applyBorder="1" applyAlignment="1">
      <alignment horizontal="left"/>
    </xf>
    <xf numFmtId="49" fontId="4" fillId="0" borderId="0" xfId="0" applyNumberFormat="1" applyFont="1"/>
    <xf numFmtId="164" fontId="0" fillId="0" borderId="0" xfId="0" applyNumberFormat="1"/>
    <xf numFmtId="42" fontId="9" fillId="0" borderId="0" xfId="0" applyNumberFormat="1" applyFont="1"/>
    <xf numFmtId="49" fontId="4" fillId="0" borderId="36" xfId="0" applyNumberFormat="1" applyFont="1" applyBorder="1"/>
    <xf numFmtId="42" fontId="0" fillId="0" borderId="37" xfId="0" applyNumberFormat="1" applyBorder="1"/>
    <xf numFmtId="42" fontId="4" fillId="0" borderId="0" xfId="0" applyNumberFormat="1" applyFont="1" applyAlignment="1">
      <alignment horizontal="right"/>
    </xf>
    <xf numFmtId="0" fontId="2" fillId="0" borderId="25" xfId="0" applyFont="1" applyBorder="1"/>
    <xf numFmtId="0" fontId="0" fillId="0" borderId="26" xfId="0" applyBorder="1" applyAlignment="1">
      <alignment horizontal="center"/>
    </xf>
    <xf numFmtId="42" fontId="4" fillId="0" borderId="0" xfId="0" applyNumberFormat="1" applyFont="1"/>
    <xf numFmtId="42" fontId="7" fillId="0" borderId="0" xfId="0" applyNumberFormat="1" applyFont="1" applyAlignment="1">
      <alignment horizontal="right"/>
    </xf>
    <xf numFmtId="49" fontId="1" fillId="0" borderId="25" xfId="0" applyNumberFormat="1" applyFont="1" applyBorder="1"/>
    <xf numFmtId="49" fontId="1" fillId="0" borderId="0" xfId="0" applyNumberFormat="1" applyFont="1"/>
    <xf numFmtId="0" fontId="0" fillId="5" borderId="6" xfId="0" applyFill="1" applyBorder="1" applyAlignment="1">
      <alignment horizontal="center" vertical="center"/>
    </xf>
    <xf numFmtId="0" fontId="1" fillId="5" borderId="14" xfId="0" applyFont="1" applyFill="1" applyBorder="1" applyAlignment="1">
      <alignment horizontal="center"/>
    </xf>
    <xf numFmtId="0" fontId="1" fillId="5" borderId="0" xfId="0" applyFont="1" applyFill="1" applyAlignment="1">
      <alignment horizontal="center"/>
    </xf>
    <xf numFmtId="0" fontId="0" fillId="5" borderId="0" xfId="0" applyFill="1"/>
    <xf numFmtId="10" fontId="0" fillId="5" borderId="0" xfId="1" applyNumberFormat="1" applyFont="1" applyFill="1"/>
    <xf numFmtId="10" fontId="0" fillId="5" borderId="0" xfId="0" applyNumberFormat="1" applyFill="1"/>
    <xf numFmtId="10" fontId="8" fillId="5" borderId="0" xfId="0" applyNumberFormat="1" applyFont="1" applyFill="1"/>
    <xf numFmtId="168" fontId="0" fillId="5" borderId="0" xfId="0" applyNumberFormat="1" applyFill="1"/>
    <xf numFmtId="42" fontId="0" fillId="5" borderId="0" xfId="0" applyNumberFormat="1" applyFill="1"/>
    <xf numFmtId="42" fontId="0" fillId="5" borderId="10" xfId="0" applyNumberFormat="1" applyFill="1" applyBorder="1"/>
    <xf numFmtId="9" fontId="1" fillId="5" borderId="10" xfId="1" applyFont="1" applyFill="1" applyBorder="1"/>
    <xf numFmtId="42" fontId="1" fillId="5" borderId="10" xfId="0" applyNumberFormat="1" applyFont="1" applyFill="1" applyBorder="1"/>
    <xf numFmtId="9" fontId="0" fillId="5" borderId="0" xfId="1" applyFont="1" applyFill="1"/>
    <xf numFmtId="44" fontId="0" fillId="5" borderId="0" xfId="0" applyNumberFormat="1" applyFill="1"/>
    <xf numFmtId="168" fontId="0" fillId="5" borderId="0" xfId="1" applyNumberFormat="1" applyFont="1" applyFill="1"/>
    <xf numFmtId="44" fontId="1" fillId="5" borderId="10" xfId="0" applyNumberFormat="1" applyFont="1" applyFill="1" applyBorder="1"/>
    <xf numFmtId="49" fontId="12" fillId="0" borderId="41" xfId="0" applyNumberFormat="1" applyFont="1" applyBorder="1"/>
    <xf numFmtId="49" fontId="12" fillId="0" borderId="31" xfId="0" applyNumberFormat="1" applyFont="1" applyBorder="1"/>
    <xf numFmtId="0" fontId="0" fillId="0" borderId="31" xfId="0" applyBorder="1"/>
    <xf numFmtId="42" fontId="0" fillId="0" borderId="31" xfId="0" applyNumberFormat="1" applyBorder="1"/>
    <xf numFmtId="42" fontId="4" fillId="0" borderId="31" xfId="0" applyNumberFormat="1" applyFont="1" applyBorder="1"/>
    <xf numFmtId="42" fontId="4" fillId="0" borderId="31" xfId="0" applyNumberFormat="1" applyFont="1" applyBorder="1" applyAlignment="1">
      <alignment horizontal="right"/>
    </xf>
    <xf numFmtId="42" fontId="0" fillId="0" borderId="42" xfId="0" applyNumberFormat="1" applyBorder="1"/>
    <xf numFmtId="0" fontId="0" fillId="0" borderId="39" xfId="0" applyBorder="1"/>
    <xf numFmtId="2" fontId="0" fillId="0" borderId="0" xfId="0" applyNumberFormat="1"/>
    <xf numFmtId="0" fontId="1" fillId="0" borderId="38" xfId="0" applyFont="1" applyBorder="1"/>
    <xf numFmtId="0" fontId="1" fillId="0" borderId="39" xfId="0" applyFont="1" applyBorder="1"/>
    <xf numFmtId="44" fontId="1" fillId="0" borderId="40" xfId="0" applyNumberFormat="1" applyFont="1" applyBorder="1"/>
    <xf numFmtId="165" fontId="1" fillId="0" borderId="40" xfId="0" applyNumberFormat="1" applyFont="1" applyBorder="1"/>
    <xf numFmtId="0" fontId="0" fillId="5" borderId="6" xfId="0" applyFill="1" applyBorder="1" applyAlignment="1">
      <alignment horizontal="center" vertical="center" wrapText="1"/>
    </xf>
    <xf numFmtId="0" fontId="0" fillId="5" borderId="6" xfId="0" applyFill="1" applyBorder="1" applyAlignment="1">
      <alignment horizontal="left" vertical="center" wrapText="1"/>
    </xf>
    <xf numFmtId="0" fontId="0" fillId="0" borderId="19" xfId="0" applyBorder="1" applyAlignment="1">
      <alignment horizontal="center"/>
    </xf>
    <xf numFmtId="0" fontId="0" fillId="5" borderId="38" xfId="0" applyFill="1" applyBorder="1" applyAlignment="1">
      <alignment horizontal="center"/>
    </xf>
    <xf numFmtId="0" fontId="0" fillId="5" borderId="39" xfId="0" applyFill="1" applyBorder="1" applyAlignment="1">
      <alignment horizontal="center"/>
    </xf>
    <xf numFmtId="0" fontId="0" fillId="5" borderId="40" xfId="0" applyFill="1" applyBorder="1" applyAlignment="1">
      <alignment horizont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center" vertical="center" wrapText="1"/>
    </xf>
    <xf numFmtId="0" fontId="0" fillId="3" borderId="35" xfId="0" applyFill="1" applyBorder="1" applyAlignment="1">
      <alignment horizontal="center"/>
    </xf>
    <xf numFmtId="0" fontId="17" fillId="4" borderId="33" xfId="0" applyFont="1" applyFill="1" applyBorder="1" applyAlignment="1">
      <alignment horizontal="center"/>
    </xf>
    <xf numFmtId="0" fontId="17" fillId="4" borderId="34" xfId="0" applyFont="1" applyFill="1" applyBorder="1" applyAlignment="1">
      <alignment horizontal="center"/>
    </xf>
    <xf numFmtId="0" fontId="17" fillId="4" borderId="10" xfId="0" applyFont="1" applyFill="1" applyBorder="1" applyAlignment="1">
      <alignment horizontal="center"/>
    </xf>
    <xf numFmtId="0" fontId="0" fillId="3" borderId="30" xfId="0" applyFill="1" applyBorder="1" applyAlignment="1">
      <alignment horizontal="right"/>
    </xf>
    <xf numFmtId="0" fontId="0" fillId="3" borderId="31" xfId="0" applyFill="1" applyBorder="1" applyAlignment="1">
      <alignment horizontal="right"/>
    </xf>
    <xf numFmtId="0" fontId="0" fillId="3" borderId="32" xfId="0" applyFill="1" applyBorder="1" applyAlignment="1">
      <alignment horizontal="right"/>
    </xf>
    <xf numFmtId="0" fontId="0" fillId="0" borderId="33"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2" fillId="2" borderId="25" xfId="0" applyFont="1" applyFill="1" applyBorder="1" applyAlignment="1">
      <alignment horizontal="center"/>
    </xf>
    <xf numFmtId="0" fontId="2" fillId="2" borderId="0" xfId="0" applyFont="1" applyFill="1" applyAlignment="1">
      <alignment horizontal="center"/>
    </xf>
    <xf numFmtId="0" fontId="2" fillId="2" borderId="26" xfId="0" applyFont="1" applyFill="1" applyBorder="1" applyAlignment="1">
      <alignment horizontal="center"/>
    </xf>
    <xf numFmtId="0" fontId="0" fillId="0" borderId="33" xfId="0" applyBorder="1" applyAlignment="1">
      <alignment horizontal="center" vertical="center"/>
    </xf>
    <xf numFmtId="0" fontId="0" fillId="0" borderId="10"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left" vertical="center"/>
    </xf>
    <xf numFmtId="0" fontId="0" fillId="0" borderId="10" xfId="0" applyBorder="1" applyAlignment="1">
      <alignment horizontal="left" vertical="center"/>
    </xf>
    <xf numFmtId="0" fontId="0" fillId="0" borderId="34" xfId="0" applyBorder="1" applyAlignment="1">
      <alignment horizontal="left" vertical="center"/>
    </xf>
    <xf numFmtId="0" fontId="0" fillId="5" borderId="33" xfId="0" applyFill="1" applyBorder="1" applyAlignment="1">
      <alignment horizontal="left" vertical="center" wrapText="1"/>
    </xf>
    <xf numFmtId="0" fontId="0" fillId="5" borderId="10" xfId="0" applyFill="1" applyBorder="1" applyAlignment="1">
      <alignment horizontal="left" vertical="center" wrapText="1"/>
    </xf>
    <xf numFmtId="0" fontId="0" fillId="5" borderId="34" xfId="0" applyFill="1" applyBorder="1" applyAlignment="1">
      <alignment horizontal="left" vertical="center" wrapText="1"/>
    </xf>
  </cellXfs>
  <cellStyles count="4">
    <cellStyle name="Comma" xfId="2" builtinId="3"/>
    <cellStyle name="Currency" xfId="3"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V56" dT="2023-11-07T19:48:20.01" personId="{00000000-0000-0000-0000-000000000000}" id="{14533E56-B3DC-4E0B-95C2-6FBC161F45F1}">
    <text xml:space="preserve">Cost of CDS system seems reasonable. According to a Power Engineering article from 2011 a CDS installed system for a 600 MW plant is about $250MM. A linear relationship (which of course doesn't take into account economies of scale) yields about $15.6MM (in today's dollars) for a 28MW (approx UAF boiler) power plant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B1:X74"/>
  <sheetViews>
    <sheetView topLeftCell="N47" zoomScaleNormal="100" workbookViewId="0">
      <selection activeCell="K61" sqref="K61"/>
    </sheetView>
  </sheetViews>
  <sheetFormatPr defaultRowHeight="15" x14ac:dyDescent="0.25"/>
  <cols>
    <col min="1" max="1" width="2.28515625" customWidth="1"/>
    <col min="2" max="2" width="5.28515625" customWidth="1"/>
    <col min="3" max="3" width="6" customWidth="1"/>
    <col min="4" max="4" width="63.7109375" customWidth="1"/>
    <col min="6" max="6" width="19.28515625" customWidth="1"/>
    <col min="7" max="7" width="16.85546875" bestFit="1" customWidth="1"/>
    <col min="8" max="8" width="24.140625" customWidth="1"/>
    <col min="9" max="9" width="20.42578125" customWidth="1"/>
    <col min="10" max="10" width="14.7109375" customWidth="1"/>
    <col min="11" max="11" width="19.28515625" customWidth="1"/>
    <col min="13" max="13" width="29.85546875" customWidth="1"/>
    <col min="14" max="14" width="17.28515625" customWidth="1"/>
    <col min="15" max="15" width="70.5703125" customWidth="1"/>
    <col min="18" max="18" width="17.5703125" bestFit="1" customWidth="1"/>
    <col min="19" max="19" width="16.140625" customWidth="1"/>
    <col min="20" max="20" width="14.42578125" customWidth="1"/>
    <col min="22" max="22" width="18.7109375" bestFit="1" customWidth="1"/>
    <col min="24" max="24" width="16.28515625" bestFit="1" customWidth="1"/>
  </cols>
  <sheetData>
    <row r="1" spans="2:24" ht="15.75" thickBot="1" x14ac:dyDescent="0.3">
      <c r="J1" s="173" t="s">
        <v>79</v>
      </c>
      <c r="K1" s="173"/>
      <c r="U1" s="173" t="s">
        <v>79</v>
      </c>
      <c r="V1" s="173"/>
    </row>
    <row r="2" spans="2:24" ht="20.25" thickTop="1" thickBot="1" x14ac:dyDescent="0.35">
      <c r="B2" s="50" t="s">
        <v>89</v>
      </c>
      <c r="C2" s="51"/>
      <c r="D2" s="51"/>
      <c r="E2" s="52"/>
      <c r="F2" s="52"/>
      <c r="G2" s="52"/>
      <c r="H2" s="52"/>
      <c r="I2" s="52"/>
      <c r="J2" s="9" t="s">
        <v>47</v>
      </c>
      <c r="K2" s="96">
        <v>44923</v>
      </c>
      <c r="M2" s="50" t="s">
        <v>89</v>
      </c>
      <c r="N2" s="51"/>
      <c r="O2" s="51"/>
      <c r="P2" s="163"/>
      <c r="Q2" s="163"/>
      <c r="R2" s="163"/>
      <c r="S2" s="163"/>
      <c r="T2" s="52"/>
      <c r="U2" s="9" t="s">
        <v>47</v>
      </c>
      <c r="V2" s="96">
        <v>44923</v>
      </c>
    </row>
    <row r="3" spans="2:24" ht="15.75" thickBot="1" x14ac:dyDescent="0.3">
      <c r="B3" s="4" t="s">
        <v>73</v>
      </c>
      <c r="D3" s="22" t="s">
        <v>90</v>
      </c>
      <c r="J3" s="9" t="s">
        <v>48</v>
      </c>
      <c r="K3" s="94" t="s">
        <v>91</v>
      </c>
      <c r="M3" s="4" t="s">
        <v>73</v>
      </c>
      <c r="O3" s="22" t="s">
        <v>90</v>
      </c>
      <c r="P3" s="164" t="s">
        <v>188</v>
      </c>
      <c r="Q3" s="165"/>
      <c r="R3" s="165"/>
      <c r="S3" s="166"/>
      <c r="U3" s="9" t="s">
        <v>48</v>
      </c>
      <c r="V3" s="94" t="s">
        <v>91</v>
      </c>
    </row>
    <row r="4" spans="2:24" x14ac:dyDescent="0.25">
      <c r="B4" s="4" t="s">
        <v>94</v>
      </c>
      <c r="D4" t="s">
        <v>95</v>
      </c>
      <c r="J4" s="9" t="s">
        <v>176</v>
      </c>
      <c r="K4" s="94" t="s">
        <v>177</v>
      </c>
      <c r="M4" s="4" t="s">
        <v>94</v>
      </c>
      <c r="O4" t="s">
        <v>95</v>
      </c>
      <c r="U4" s="9" t="s">
        <v>176</v>
      </c>
      <c r="V4" s="94" t="s">
        <v>177</v>
      </c>
    </row>
    <row r="5" spans="2:24" ht="15.75" thickBot="1" x14ac:dyDescent="0.3">
      <c r="B5" s="53"/>
      <c r="C5" s="48"/>
      <c r="D5" s="48"/>
      <c r="E5" s="48"/>
      <c r="F5" s="48"/>
      <c r="G5" s="48"/>
      <c r="H5" s="48"/>
      <c r="I5" s="48"/>
      <c r="J5" s="49" t="s">
        <v>49</v>
      </c>
      <c r="K5" s="95" t="s">
        <v>175</v>
      </c>
      <c r="M5" s="53"/>
      <c r="N5" s="48"/>
      <c r="O5" s="48"/>
      <c r="P5" s="48"/>
      <c r="Q5" s="48"/>
      <c r="R5" s="48"/>
      <c r="S5" s="48"/>
      <c r="T5" s="48"/>
      <c r="U5" s="49" t="s">
        <v>49</v>
      </c>
      <c r="V5" s="95" t="s">
        <v>175</v>
      </c>
    </row>
    <row r="6" spans="2:24" ht="36.75" customHeight="1" thickBot="1" x14ac:dyDescent="0.3">
      <c r="B6" s="167" t="s">
        <v>42</v>
      </c>
      <c r="C6" s="168"/>
      <c r="D6" s="168"/>
      <c r="E6" s="168"/>
      <c r="F6" s="168"/>
      <c r="G6" s="168"/>
      <c r="H6" s="168"/>
      <c r="I6" s="168"/>
      <c r="J6" s="168"/>
      <c r="K6" s="169"/>
      <c r="M6" s="167" t="s">
        <v>42</v>
      </c>
      <c r="N6" s="168"/>
      <c r="O6" s="168"/>
      <c r="P6" s="168"/>
      <c r="Q6" s="168"/>
      <c r="R6" s="168"/>
      <c r="S6" s="168"/>
      <c r="T6" s="168"/>
      <c r="U6" s="168"/>
      <c r="V6" s="169"/>
      <c r="X6" t="s">
        <v>180</v>
      </c>
    </row>
    <row r="7" spans="2:24" ht="19.5" thickTop="1" x14ac:dyDescent="0.3">
      <c r="B7" s="23" t="s">
        <v>0</v>
      </c>
      <c r="C7" s="24"/>
      <c r="D7" s="24"/>
      <c r="E7" s="25" t="s">
        <v>50</v>
      </c>
      <c r="F7" s="25" t="s">
        <v>51</v>
      </c>
      <c r="G7" s="26" t="s">
        <v>52</v>
      </c>
      <c r="H7" s="25" t="s">
        <v>64</v>
      </c>
      <c r="I7" s="25" t="s">
        <v>63</v>
      </c>
      <c r="J7" s="24"/>
      <c r="K7" s="27"/>
      <c r="M7" s="23" t="s">
        <v>0</v>
      </c>
      <c r="N7" s="24"/>
      <c r="O7" s="24"/>
      <c r="P7" s="25" t="s">
        <v>50</v>
      </c>
      <c r="Q7" s="25" t="s">
        <v>51</v>
      </c>
      <c r="R7" s="26" t="s">
        <v>52</v>
      </c>
      <c r="S7" s="133" t="s">
        <v>185</v>
      </c>
      <c r="T7" s="25" t="s">
        <v>63</v>
      </c>
      <c r="U7" s="24"/>
      <c r="V7" s="27"/>
    </row>
    <row r="8" spans="2:24" ht="15.75" x14ac:dyDescent="0.25">
      <c r="B8" s="1"/>
      <c r="E8" s="12"/>
      <c r="F8" s="12"/>
      <c r="G8" s="13"/>
      <c r="H8" s="12"/>
      <c r="I8" s="12"/>
      <c r="K8" s="20"/>
      <c r="M8" s="1"/>
      <c r="P8" s="12"/>
      <c r="Q8" s="12"/>
      <c r="R8" s="13"/>
      <c r="S8" s="134"/>
      <c r="T8" s="12"/>
      <c r="V8" s="20"/>
    </row>
    <row r="9" spans="2:24" ht="15.75" x14ac:dyDescent="0.25">
      <c r="B9" s="7" t="s">
        <v>10</v>
      </c>
      <c r="C9" s="18" t="s">
        <v>1</v>
      </c>
      <c r="D9" s="18"/>
      <c r="J9" s="6"/>
      <c r="K9" s="3"/>
      <c r="M9" s="7" t="s">
        <v>10</v>
      </c>
      <c r="N9" s="18" t="s">
        <v>1</v>
      </c>
      <c r="O9" s="18"/>
      <c r="S9" s="135"/>
      <c r="U9" s="6"/>
      <c r="V9" s="3"/>
    </row>
    <row r="10" spans="2:24" ht="15.75" x14ac:dyDescent="0.25">
      <c r="B10" s="1"/>
      <c r="C10" s="18" t="s">
        <v>5</v>
      </c>
      <c r="D10" s="18" t="s">
        <v>2</v>
      </c>
      <c r="J10" s="16"/>
      <c r="K10" s="17"/>
      <c r="M10" s="1"/>
      <c r="N10" s="18" t="s">
        <v>5</v>
      </c>
      <c r="O10" s="18" t="s">
        <v>2</v>
      </c>
      <c r="S10" s="135"/>
      <c r="U10" s="16"/>
      <c r="V10" s="17"/>
    </row>
    <row r="11" spans="2:24" x14ac:dyDescent="0.25">
      <c r="B11" s="5"/>
      <c r="C11" s="2"/>
      <c r="D11" t="s">
        <v>102</v>
      </c>
      <c r="E11" s="54">
        <v>1</v>
      </c>
      <c r="F11" s="8" t="s">
        <v>65</v>
      </c>
      <c r="G11" s="101">
        <f>8475000*2</f>
        <v>16950000</v>
      </c>
      <c r="H11" s="15"/>
      <c r="I11" s="15"/>
      <c r="J11" s="65"/>
      <c r="K11" s="11"/>
      <c r="M11" s="5"/>
      <c r="N11" s="2"/>
      <c r="O11" t="s">
        <v>102</v>
      </c>
      <c r="P11" s="54">
        <v>1</v>
      </c>
      <c r="Q11" s="8" t="s">
        <v>65</v>
      </c>
      <c r="R11" s="101">
        <f>8475000*2</f>
        <v>16950000</v>
      </c>
      <c r="S11" s="136">
        <f>R11/$V$29</f>
        <v>0.82717357424922289</v>
      </c>
      <c r="T11" s="15"/>
      <c r="U11" s="65"/>
      <c r="V11" s="11"/>
    </row>
    <row r="12" spans="2:24" x14ac:dyDescent="0.25">
      <c r="B12" s="5"/>
      <c r="C12" s="2"/>
      <c r="D12" t="s">
        <v>98</v>
      </c>
      <c r="E12" s="54">
        <v>1</v>
      </c>
      <c r="F12" s="8" t="s">
        <v>65</v>
      </c>
      <c r="G12" s="101">
        <f>425808+142071</f>
        <v>567879</v>
      </c>
      <c r="H12" s="15"/>
      <c r="I12" s="15"/>
      <c r="J12" s="65"/>
      <c r="K12" s="11"/>
      <c r="M12" s="5"/>
      <c r="N12" s="2"/>
      <c r="O12" t="s">
        <v>98</v>
      </c>
      <c r="P12" s="54">
        <v>1</v>
      </c>
      <c r="Q12" s="8" t="s">
        <v>65</v>
      </c>
      <c r="R12" s="101">
        <f>425808+142071</f>
        <v>567879</v>
      </c>
      <c r="S12" s="136">
        <f t="shared" ref="S12:S15" si="0">R12/$V$29</f>
        <v>2.7712949980594363E-2</v>
      </c>
      <c r="T12" s="15"/>
      <c r="U12" s="65"/>
      <c r="V12" s="11"/>
    </row>
    <row r="13" spans="2:24" x14ac:dyDescent="0.25">
      <c r="B13" s="5"/>
      <c r="C13" s="2"/>
      <c r="D13" t="s">
        <v>97</v>
      </c>
      <c r="E13" s="54">
        <v>1</v>
      </c>
      <c r="F13" s="8" t="s">
        <v>65</v>
      </c>
      <c r="G13" s="101">
        <v>134000</v>
      </c>
      <c r="H13" s="15"/>
      <c r="I13" s="15"/>
      <c r="J13" s="65"/>
      <c r="K13" s="11"/>
      <c r="M13" s="5"/>
      <c r="N13" s="2"/>
      <c r="O13" t="s">
        <v>97</v>
      </c>
      <c r="P13" s="54">
        <v>1</v>
      </c>
      <c r="Q13" s="8" t="s">
        <v>65</v>
      </c>
      <c r="R13" s="101">
        <v>134000</v>
      </c>
      <c r="S13" s="136">
        <f t="shared" si="0"/>
        <v>6.5393073126487232E-3</v>
      </c>
      <c r="T13" s="15"/>
      <c r="U13" s="65"/>
      <c r="V13" s="11"/>
    </row>
    <row r="14" spans="2:24" x14ac:dyDescent="0.25">
      <c r="B14" s="5"/>
      <c r="C14" s="2"/>
      <c r="D14" t="s">
        <v>96</v>
      </c>
      <c r="E14" s="54">
        <v>1</v>
      </c>
      <c r="F14" s="8" t="s">
        <v>65</v>
      </c>
      <c r="G14" s="101">
        <v>445000</v>
      </c>
      <c r="H14" s="15"/>
      <c r="I14" s="15"/>
      <c r="J14" s="65"/>
      <c r="K14" s="11"/>
      <c r="M14" s="5"/>
      <c r="N14" s="2"/>
      <c r="O14" t="s">
        <v>96</v>
      </c>
      <c r="P14" s="54">
        <v>1</v>
      </c>
      <c r="Q14" s="8" t="s">
        <v>65</v>
      </c>
      <c r="R14" s="101">
        <v>445000</v>
      </c>
      <c r="S14" s="136">
        <f t="shared" si="0"/>
        <v>2.171635637409464E-2</v>
      </c>
      <c r="T14" s="15"/>
      <c r="U14" s="65"/>
      <c r="V14" s="11"/>
    </row>
    <row r="15" spans="2:24" x14ac:dyDescent="0.25">
      <c r="B15" s="5"/>
      <c r="C15" s="2"/>
      <c r="D15" t="s">
        <v>101</v>
      </c>
      <c r="E15" s="54">
        <v>1</v>
      </c>
      <c r="F15" s="8" t="s">
        <v>65</v>
      </c>
      <c r="G15" s="101">
        <v>500000</v>
      </c>
      <c r="I15" s="100"/>
      <c r="J15" s="66"/>
      <c r="K15" s="11"/>
      <c r="M15" s="5"/>
      <c r="N15" s="2"/>
      <c r="O15" t="s">
        <v>101</v>
      </c>
      <c r="P15" s="54">
        <v>1</v>
      </c>
      <c r="Q15" s="8" t="s">
        <v>65</v>
      </c>
      <c r="R15" s="101">
        <v>500000</v>
      </c>
      <c r="S15" s="136">
        <f t="shared" si="0"/>
        <v>2.4400400420331057E-2</v>
      </c>
      <c r="T15" s="100"/>
      <c r="U15" s="66"/>
      <c r="V15" s="11"/>
    </row>
    <row r="16" spans="2:24" x14ac:dyDescent="0.25">
      <c r="B16" s="5"/>
      <c r="C16" s="2"/>
      <c r="D16" t="s">
        <v>92</v>
      </c>
      <c r="E16" s="102"/>
      <c r="F16" s="8"/>
      <c r="G16" s="103"/>
      <c r="H16" s="15"/>
      <c r="I16" s="15"/>
      <c r="J16" s="66" t="s">
        <v>66</v>
      </c>
      <c r="K16" s="17">
        <f>E11*G11+E12*G12+E13*G13+E14*G14+E15*G15</f>
        <v>18596879</v>
      </c>
      <c r="M16" s="5"/>
      <c r="N16" s="2"/>
      <c r="O16" t="s">
        <v>92</v>
      </c>
      <c r="P16" s="102"/>
      <c r="Q16" s="8"/>
      <c r="R16" s="103"/>
      <c r="S16" s="137"/>
      <c r="T16" s="15"/>
      <c r="U16" s="66" t="s">
        <v>66</v>
      </c>
      <c r="V16" s="17">
        <f>P11*R11+P12*R12+P13*R13+P14*R14+P15*R15</f>
        <v>18596879</v>
      </c>
    </row>
    <row r="17" spans="2:24" ht="15.75" x14ac:dyDescent="0.25">
      <c r="B17" s="5"/>
      <c r="C17" s="18" t="s">
        <v>6</v>
      </c>
      <c r="D17" s="18" t="s">
        <v>43</v>
      </c>
      <c r="E17" s="8"/>
      <c r="F17" s="8"/>
      <c r="G17" s="14"/>
      <c r="H17" s="15"/>
      <c r="I17" s="15"/>
      <c r="J17" s="66"/>
      <c r="K17" s="10"/>
      <c r="M17" s="5"/>
      <c r="N17" s="18" t="s">
        <v>6</v>
      </c>
      <c r="O17" s="18" t="s">
        <v>43</v>
      </c>
      <c r="P17" s="8"/>
      <c r="Q17" s="8"/>
      <c r="R17" s="14"/>
      <c r="S17" s="137"/>
      <c r="T17" s="15"/>
      <c r="U17" s="66"/>
      <c r="V17" s="10"/>
    </row>
    <row r="18" spans="2:24" x14ac:dyDescent="0.25">
      <c r="B18" s="5"/>
      <c r="C18" s="2"/>
      <c r="D18" t="s">
        <v>67</v>
      </c>
      <c r="E18" s="54">
        <v>1</v>
      </c>
      <c r="F18" s="8" t="s">
        <v>65</v>
      </c>
      <c r="G18" s="101">
        <v>760000</v>
      </c>
      <c r="H18" s="15"/>
      <c r="I18" s="15"/>
      <c r="J18" s="65"/>
      <c r="K18" s="11"/>
      <c r="M18" s="5"/>
      <c r="N18" s="2"/>
      <c r="O18" t="s">
        <v>67</v>
      </c>
      <c r="P18" s="54">
        <v>1</v>
      </c>
      <c r="Q18" s="8" t="s">
        <v>65</v>
      </c>
      <c r="R18" s="101">
        <v>760000</v>
      </c>
      <c r="S18" s="136">
        <f t="shared" ref="S18" si="1">R18/$V$29</f>
        <v>3.708860863890321E-2</v>
      </c>
      <c r="T18" s="15"/>
      <c r="U18" s="65"/>
      <c r="V18" s="11"/>
    </row>
    <row r="19" spans="2:24" x14ac:dyDescent="0.25">
      <c r="B19" s="31"/>
      <c r="C19" s="32"/>
      <c r="D19" s="33"/>
      <c r="E19" s="34"/>
      <c r="F19" s="34"/>
      <c r="G19" s="33"/>
      <c r="H19" s="74"/>
      <c r="I19" s="74"/>
      <c r="J19" s="66" t="s">
        <v>66</v>
      </c>
      <c r="K19" s="17">
        <f>E18*G18</f>
        <v>760000</v>
      </c>
      <c r="M19" s="31"/>
      <c r="N19" s="32"/>
      <c r="O19" s="33"/>
      <c r="P19" s="34"/>
      <c r="Q19" s="34"/>
      <c r="R19" s="33"/>
      <c r="S19" s="138"/>
      <c r="T19" s="74"/>
      <c r="U19" s="66" t="s">
        <v>66</v>
      </c>
      <c r="V19" s="17">
        <f>P18*R18</f>
        <v>760000</v>
      </c>
    </row>
    <row r="20" spans="2:24" ht="15.75" x14ac:dyDescent="0.25">
      <c r="B20" s="5"/>
      <c r="C20" s="18" t="s">
        <v>7</v>
      </c>
      <c r="D20" s="18" t="s">
        <v>3</v>
      </c>
      <c r="E20" s="8"/>
      <c r="F20" s="8"/>
      <c r="H20" s="15"/>
      <c r="I20" s="15"/>
      <c r="J20" s="65"/>
      <c r="K20" s="10"/>
      <c r="M20" s="5"/>
      <c r="N20" s="18" t="s">
        <v>7</v>
      </c>
      <c r="O20" s="18" t="s">
        <v>3</v>
      </c>
      <c r="P20" s="8"/>
      <c r="Q20" s="8"/>
      <c r="S20" s="137"/>
      <c r="T20" s="15"/>
      <c r="U20" s="65"/>
      <c r="V20" s="10"/>
    </row>
    <row r="21" spans="2:24" x14ac:dyDescent="0.25">
      <c r="B21" s="5"/>
      <c r="C21" s="2"/>
      <c r="D21" t="s">
        <v>103</v>
      </c>
      <c r="E21" s="54">
        <v>1</v>
      </c>
      <c r="F21" s="8" t="s">
        <v>70</v>
      </c>
      <c r="G21" s="104">
        <v>112000</v>
      </c>
      <c r="H21" s="15"/>
      <c r="I21" s="15"/>
      <c r="J21" s="65"/>
      <c r="K21" s="10"/>
      <c r="M21" s="5"/>
      <c r="N21" s="2"/>
      <c r="O21" t="s">
        <v>103</v>
      </c>
      <c r="P21" s="54">
        <v>1</v>
      </c>
      <c r="Q21" s="8" t="s">
        <v>70</v>
      </c>
      <c r="R21" s="104">
        <v>112000</v>
      </c>
      <c r="S21" s="136">
        <f t="shared" ref="S21" si="2">R21/$V$29</f>
        <v>5.465689694154157E-3</v>
      </c>
      <c r="T21" s="15"/>
      <c r="U21" s="65"/>
      <c r="V21" s="10"/>
      <c r="X21">
        <f>R21/R12*100</f>
        <v>19.722511309627581</v>
      </c>
    </row>
    <row r="22" spans="2:24" x14ac:dyDescent="0.25">
      <c r="B22" s="4"/>
      <c r="E22" s="102"/>
      <c r="F22" s="8"/>
      <c r="G22" s="103"/>
      <c r="H22" s="15"/>
      <c r="I22" s="15"/>
      <c r="J22" s="66" t="s">
        <v>66</v>
      </c>
      <c r="K22" s="17">
        <f>E21*G21</f>
        <v>112000</v>
      </c>
      <c r="M22" s="4"/>
      <c r="P22" s="102"/>
      <c r="Q22" s="8"/>
      <c r="R22" s="103"/>
      <c r="S22" s="137"/>
      <c r="T22" s="15"/>
      <c r="U22" s="66" t="s">
        <v>66</v>
      </c>
      <c r="V22" s="17">
        <f>P21*R21</f>
        <v>112000</v>
      </c>
    </row>
    <row r="23" spans="2:24" ht="15.75" x14ac:dyDescent="0.25">
      <c r="B23" s="5"/>
      <c r="C23" s="18" t="s">
        <v>8</v>
      </c>
      <c r="D23" s="18" t="s">
        <v>154</v>
      </c>
      <c r="E23" s="8"/>
      <c r="F23" s="8"/>
      <c r="H23" s="15"/>
      <c r="I23" s="15"/>
      <c r="J23" s="65"/>
      <c r="K23" s="10"/>
      <c r="M23" s="5"/>
      <c r="N23" s="18" t="s">
        <v>8</v>
      </c>
      <c r="O23" s="18" t="s">
        <v>154</v>
      </c>
      <c r="P23" s="8"/>
      <c r="Q23" s="8"/>
      <c r="S23" s="137"/>
      <c r="T23" s="15"/>
      <c r="U23" s="65"/>
      <c r="V23" s="10"/>
    </row>
    <row r="24" spans="2:24" x14ac:dyDescent="0.25">
      <c r="B24" s="4"/>
      <c r="D24" t="s">
        <v>162</v>
      </c>
      <c r="E24" s="54">
        <f>(6-3)*7</f>
        <v>21</v>
      </c>
      <c r="F24" s="8" t="s">
        <v>163</v>
      </c>
      <c r="G24" s="77">
        <v>48028</v>
      </c>
      <c r="H24" s="15"/>
      <c r="I24" s="15"/>
      <c r="J24" s="65"/>
      <c r="K24" s="10"/>
      <c r="M24" s="4"/>
      <c r="O24" t="s">
        <v>162</v>
      </c>
      <c r="P24" s="54">
        <f>(6-3)*7</f>
        <v>21</v>
      </c>
      <c r="Q24" s="8" t="s">
        <v>163</v>
      </c>
      <c r="R24" s="77">
        <v>48028</v>
      </c>
      <c r="S24" s="136">
        <f t="shared" ref="S24" si="3">R24/$V$29</f>
        <v>2.3438048627753201E-3</v>
      </c>
      <c r="T24" s="15"/>
      <c r="U24" s="65"/>
      <c r="V24" s="10"/>
    </row>
    <row r="25" spans="2:24" x14ac:dyDescent="0.25">
      <c r="B25" s="4"/>
      <c r="E25" s="8"/>
      <c r="F25" s="8"/>
      <c r="H25" s="15"/>
      <c r="I25" s="15"/>
      <c r="J25" s="66" t="s">
        <v>66</v>
      </c>
      <c r="K25" s="17">
        <f>E24*G24</f>
        <v>1008588</v>
      </c>
      <c r="M25" s="4"/>
      <c r="P25" s="8"/>
      <c r="Q25" s="8"/>
      <c r="S25" s="139"/>
      <c r="T25" s="15"/>
      <c r="U25" s="66" t="s">
        <v>66</v>
      </c>
      <c r="V25" s="17">
        <f>P24*R24</f>
        <v>1008588</v>
      </c>
    </row>
    <row r="26" spans="2:24" ht="15.75" x14ac:dyDescent="0.25">
      <c r="B26" s="5"/>
      <c r="C26" s="18" t="s">
        <v>84</v>
      </c>
      <c r="D26" s="18" t="s">
        <v>4</v>
      </c>
      <c r="E26" s="8"/>
      <c r="F26" s="8"/>
      <c r="H26" s="15"/>
      <c r="I26" s="15"/>
      <c r="J26" s="65"/>
      <c r="K26" s="10"/>
      <c r="M26" s="5"/>
      <c r="N26" s="18" t="s">
        <v>84</v>
      </c>
      <c r="O26" s="18" t="s">
        <v>4</v>
      </c>
      <c r="P26" s="8"/>
      <c r="Q26" s="8"/>
      <c r="S26" s="139"/>
      <c r="T26" s="15"/>
      <c r="U26" s="65"/>
      <c r="V26" s="10"/>
    </row>
    <row r="27" spans="2:24" x14ac:dyDescent="0.25">
      <c r="B27" s="5"/>
      <c r="C27" s="2"/>
      <c r="D27" t="s">
        <v>80</v>
      </c>
      <c r="E27" s="54">
        <v>7</v>
      </c>
      <c r="F27" s="8" t="s">
        <v>68</v>
      </c>
      <c r="G27" s="54">
        <v>2000</v>
      </c>
      <c r="H27" s="15"/>
      <c r="I27" s="15"/>
      <c r="J27" s="65"/>
      <c r="K27" s="10">
        <f>G27*E27</f>
        <v>14000</v>
      </c>
      <c r="M27" s="5"/>
      <c r="N27" s="2"/>
      <c r="O27" t="s">
        <v>80</v>
      </c>
      <c r="P27" s="54">
        <v>7</v>
      </c>
      <c r="Q27" s="8" t="s">
        <v>68</v>
      </c>
      <c r="R27" s="54">
        <v>2000</v>
      </c>
      <c r="S27" s="136">
        <f t="shared" ref="S27" si="4">R27/$V$29</f>
        <v>9.7601601681324233E-5</v>
      </c>
      <c r="T27" s="15"/>
      <c r="U27" s="65"/>
      <c r="V27" s="10">
        <f>R27*P27</f>
        <v>14000</v>
      </c>
    </row>
    <row r="28" spans="2:24" x14ac:dyDescent="0.25">
      <c r="B28" s="5"/>
      <c r="C28" s="2"/>
      <c r="D28" s="2"/>
      <c r="E28" s="8"/>
      <c r="F28" s="8"/>
      <c r="H28" s="15"/>
      <c r="I28" s="15"/>
      <c r="J28" s="66" t="s">
        <v>66</v>
      </c>
      <c r="K28" s="17">
        <f>SUM(K27)</f>
        <v>14000</v>
      </c>
      <c r="M28" s="5"/>
      <c r="N28" s="2"/>
      <c r="O28" s="2"/>
      <c r="P28" s="8"/>
      <c r="Q28" s="8"/>
      <c r="S28" s="140"/>
      <c r="T28" s="15"/>
      <c r="U28" s="66" t="s">
        <v>66</v>
      </c>
      <c r="V28" s="17">
        <f>SUM(V27)</f>
        <v>14000</v>
      </c>
    </row>
    <row r="29" spans="2:24" ht="15.75" x14ac:dyDescent="0.25">
      <c r="B29" s="35" t="s">
        <v>44</v>
      </c>
      <c r="C29" s="36"/>
      <c r="D29" s="36"/>
      <c r="E29" s="21"/>
      <c r="F29" s="37"/>
      <c r="G29" s="21"/>
      <c r="H29" s="75"/>
      <c r="I29" s="75"/>
      <c r="J29" s="67" t="s">
        <v>59</v>
      </c>
      <c r="K29" s="38">
        <f>K16+K19+K22+K25+K28</f>
        <v>20491467</v>
      </c>
      <c r="M29" s="35" t="s">
        <v>44</v>
      </c>
      <c r="N29" s="36"/>
      <c r="O29" s="36"/>
      <c r="P29" s="21"/>
      <c r="Q29" s="37"/>
      <c r="R29" s="21"/>
      <c r="S29" s="141"/>
      <c r="T29" s="75"/>
      <c r="U29" s="67" t="s">
        <v>59</v>
      </c>
      <c r="V29" s="38">
        <f>V16+V19+V22+V25+V28</f>
        <v>20491467</v>
      </c>
    </row>
    <row r="30" spans="2:24" ht="15.75" x14ac:dyDescent="0.25">
      <c r="B30" s="29"/>
      <c r="C30" s="28"/>
      <c r="D30" s="28"/>
      <c r="E30" s="8"/>
      <c r="F30" s="8"/>
      <c r="H30" s="15"/>
      <c r="I30" s="15"/>
      <c r="J30" s="14"/>
      <c r="K30" s="10"/>
      <c r="M30" s="29"/>
      <c r="N30" s="28"/>
      <c r="O30" s="28"/>
      <c r="P30" s="8"/>
      <c r="Q30" s="8"/>
      <c r="S30" s="140"/>
      <c r="T30" s="15"/>
      <c r="U30" s="14"/>
      <c r="V30" s="10"/>
    </row>
    <row r="31" spans="2:24" ht="15.75" x14ac:dyDescent="0.25">
      <c r="B31" s="7" t="s">
        <v>11</v>
      </c>
      <c r="C31" s="18" t="s">
        <v>12</v>
      </c>
      <c r="D31" s="18"/>
      <c r="E31" s="8"/>
      <c r="F31" s="8"/>
      <c r="H31" s="15"/>
      <c r="I31" s="15"/>
      <c r="J31" s="14"/>
      <c r="K31" s="10"/>
      <c r="M31" s="7" t="s">
        <v>11</v>
      </c>
      <c r="N31" s="18" t="s">
        <v>12</v>
      </c>
      <c r="O31" s="18"/>
      <c r="P31" s="8"/>
      <c r="Q31" s="8"/>
      <c r="S31" s="140"/>
      <c r="T31" s="15"/>
      <c r="U31" s="14"/>
      <c r="V31" s="10"/>
    </row>
    <row r="32" spans="2:24" ht="15.75" x14ac:dyDescent="0.25">
      <c r="B32" s="1"/>
      <c r="C32" s="18" t="s">
        <v>5</v>
      </c>
      <c r="D32" s="18" t="s">
        <v>99</v>
      </c>
      <c r="E32" s="54">
        <v>1</v>
      </c>
      <c r="F32" s="8" t="s">
        <v>70</v>
      </c>
      <c r="G32" s="101">
        <v>800000</v>
      </c>
      <c r="H32" s="15"/>
      <c r="I32" s="15"/>
      <c r="J32" s="65"/>
      <c r="K32" s="10">
        <f>G32*E32</f>
        <v>800000</v>
      </c>
      <c r="M32" s="1"/>
      <c r="N32" s="18" t="s">
        <v>5</v>
      </c>
      <c r="O32" s="18" t="s">
        <v>99</v>
      </c>
      <c r="P32" s="54">
        <v>1</v>
      </c>
      <c r="Q32" s="8" t="s">
        <v>70</v>
      </c>
      <c r="R32" s="101">
        <v>800000</v>
      </c>
      <c r="S32" s="136">
        <f>R32/$V$39</f>
        <v>0.12243251069652934</v>
      </c>
      <c r="T32" s="15"/>
      <c r="U32" s="65"/>
      <c r="V32" s="10">
        <f>R32*P32</f>
        <v>800000</v>
      </c>
    </row>
    <row r="33" spans="2:22" ht="15.75" x14ac:dyDescent="0.25">
      <c r="B33" s="1"/>
      <c r="C33" s="18" t="s">
        <v>6</v>
      </c>
      <c r="D33" s="18" t="s">
        <v>105</v>
      </c>
      <c r="E33" s="54">
        <v>1</v>
      </c>
      <c r="F33" s="8" t="s">
        <v>70</v>
      </c>
      <c r="G33" s="101">
        <v>423000</v>
      </c>
      <c r="H33" s="15"/>
      <c r="I33" s="15"/>
      <c r="J33" s="65"/>
      <c r="K33" s="10">
        <f t="shared" ref="K33:K37" si="5">G33*E33</f>
        <v>423000</v>
      </c>
      <c r="M33" s="1"/>
      <c r="N33" s="18" t="s">
        <v>6</v>
      </c>
      <c r="O33" s="18" t="s">
        <v>105</v>
      </c>
      <c r="P33" s="54">
        <v>1</v>
      </c>
      <c r="Q33" s="8" t="s">
        <v>70</v>
      </c>
      <c r="R33" s="101">
        <v>423000</v>
      </c>
      <c r="S33" s="136">
        <f t="shared" ref="S33:S38" si="6">R33/$V$39</f>
        <v>6.4736190030789884E-2</v>
      </c>
      <c r="T33" s="15"/>
      <c r="U33" s="65"/>
      <c r="V33" s="10">
        <f t="shared" ref="V33:V38" si="7">R33*P33</f>
        <v>423000</v>
      </c>
    </row>
    <row r="34" spans="2:22" ht="15.75" x14ac:dyDescent="0.25">
      <c r="B34" s="1"/>
      <c r="C34" s="18" t="s">
        <v>7</v>
      </c>
      <c r="D34" s="18" t="s">
        <v>100</v>
      </c>
      <c r="E34" s="54">
        <v>1</v>
      </c>
      <c r="F34" s="8" t="s">
        <v>70</v>
      </c>
      <c r="G34" s="101">
        <v>3064000</v>
      </c>
      <c r="H34" s="15"/>
      <c r="I34" s="15"/>
      <c r="J34" s="65"/>
      <c r="K34" s="10">
        <f t="shared" si="5"/>
        <v>3064000</v>
      </c>
      <c r="M34" s="1"/>
      <c r="N34" s="18" t="s">
        <v>7</v>
      </c>
      <c r="O34" s="18" t="s">
        <v>100</v>
      </c>
      <c r="P34" s="54">
        <v>1</v>
      </c>
      <c r="Q34" s="8" t="s">
        <v>70</v>
      </c>
      <c r="R34" s="101">
        <v>3064000</v>
      </c>
      <c r="S34" s="136">
        <f t="shared" si="6"/>
        <v>0.46891651596770739</v>
      </c>
      <c r="T34" s="15"/>
      <c r="U34" s="65"/>
      <c r="V34" s="10">
        <f t="shared" si="7"/>
        <v>3064000</v>
      </c>
    </row>
    <row r="35" spans="2:22" ht="15.75" x14ac:dyDescent="0.25">
      <c r="B35" s="1"/>
      <c r="C35" s="18" t="s">
        <v>8</v>
      </c>
      <c r="D35" s="18" t="s">
        <v>14</v>
      </c>
      <c r="E35" s="54">
        <v>1</v>
      </c>
      <c r="F35" s="8" t="s">
        <v>70</v>
      </c>
      <c r="G35" s="101">
        <f>572000+311000</f>
        <v>883000</v>
      </c>
      <c r="H35" s="15"/>
      <c r="I35" s="15"/>
      <c r="J35" s="65"/>
      <c r="K35" s="10">
        <f t="shared" si="5"/>
        <v>883000</v>
      </c>
      <c r="M35" s="1"/>
      <c r="N35" s="18" t="s">
        <v>8</v>
      </c>
      <c r="O35" s="18" t="s">
        <v>14</v>
      </c>
      <c r="P35" s="54">
        <v>1</v>
      </c>
      <c r="Q35" s="8" t="s">
        <v>70</v>
      </c>
      <c r="R35" s="101">
        <f>572000+311000</f>
        <v>883000</v>
      </c>
      <c r="S35" s="136">
        <f t="shared" si="6"/>
        <v>0.13513488368129425</v>
      </c>
      <c r="T35" s="15"/>
      <c r="U35" s="65"/>
      <c r="V35" s="10">
        <f t="shared" si="7"/>
        <v>883000</v>
      </c>
    </row>
    <row r="36" spans="2:22" ht="15.75" x14ac:dyDescent="0.25">
      <c r="B36" s="1"/>
      <c r="C36" s="18" t="s">
        <v>84</v>
      </c>
      <c r="D36" s="18" t="s">
        <v>15</v>
      </c>
      <c r="E36" s="54">
        <v>1</v>
      </c>
      <c r="F36" s="8" t="s">
        <v>70</v>
      </c>
      <c r="G36" s="101">
        <v>66000</v>
      </c>
      <c r="H36" s="15"/>
      <c r="I36" s="15"/>
      <c r="J36" s="65"/>
      <c r="K36" s="10">
        <f t="shared" si="5"/>
        <v>66000</v>
      </c>
      <c r="M36" s="1"/>
      <c r="N36" s="18" t="s">
        <v>84</v>
      </c>
      <c r="O36" s="18" t="s">
        <v>15</v>
      </c>
      <c r="P36" s="54">
        <v>1</v>
      </c>
      <c r="Q36" s="8" t="s">
        <v>70</v>
      </c>
      <c r="R36" s="101">
        <v>66000</v>
      </c>
      <c r="S36" s="136">
        <f t="shared" si="6"/>
        <v>1.010068213246367E-2</v>
      </c>
      <c r="T36" s="15"/>
      <c r="U36" s="65"/>
      <c r="V36" s="10">
        <f t="shared" si="7"/>
        <v>66000</v>
      </c>
    </row>
    <row r="37" spans="2:22" ht="15.75" x14ac:dyDescent="0.25">
      <c r="B37" s="1"/>
      <c r="C37" s="18" t="s">
        <v>9</v>
      </c>
      <c r="D37" s="18" t="s">
        <v>16</v>
      </c>
      <c r="E37" s="54">
        <v>1</v>
      </c>
      <c r="F37" s="8" t="s">
        <v>70</v>
      </c>
      <c r="G37" s="101">
        <v>442000</v>
      </c>
      <c r="H37" s="15"/>
      <c r="I37" s="15"/>
      <c r="J37" s="65"/>
      <c r="K37" s="10">
        <f t="shared" si="5"/>
        <v>442000</v>
      </c>
      <c r="M37" s="1"/>
      <c r="N37" s="18" t="s">
        <v>9</v>
      </c>
      <c r="O37" s="18" t="s">
        <v>16</v>
      </c>
      <c r="P37" s="54">
        <v>1</v>
      </c>
      <c r="Q37" s="8" t="s">
        <v>70</v>
      </c>
      <c r="R37" s="101">
        <v>442000</v>
      </c>
      <c r="S37" s="136">
        <f t="shared" si="6"/>
        <v>6.7643962159832455E-2</v>
      </c>
      <c r="T37" s="15"/>
      <c r="U37" s="65"/>
      <c r="V37" s="10">
        <f t="shared" si="7"/>
        <v>442000</v>
      </c>
    </row>
    <row r="38" spans="2:22" ht="15.75" x14ac:dyDescent="0.25">
      <c r="B38" s="1"/>
      <c r="C38" s="18" t="s">
        <v>13</v>
      </c>
      <c r="D38" s="18" t="s">
        <v>118</v>
      </c>
      <c r="E38" s="54">
        <v>1</v>
      </c>
      <c r="F38" s="8" t="s">
        <v>70</v>
      </c>
      <c r="G38" s="101">
        <f>(708/567.5)*686300</f>
        <v>856212.15859030839</v>
      </c>
      <c r="H38" s="15"/>
      <c r="I38" s="15"/>
      <c r="J38" s="65"/>
      <c r="K38" s="10">
        <f t="shared" ref="K38" si="8">G38*E38</f>
        <v>856212.15859030839</v>
      </c>
      <c r="M38" s="1"/>
      <c r="N38" s="18" t="s">
        <v>13</v>
      </c>
      <c r="O38" s="18" t="s">
        <v>118</v>
      </c>
      <c r="P38" s="54">
        <v>1</v>
      </c>
      <c r="Q38" s="8" t="s">
        <v>70</v>
      </c>
      <c r="R38" s="101">
        <f>(708/567.5)*686300</f>
        <v>856212.15859030839</v>
      </c>
      <c r="S38" s="136">
        <f t="shared" si="6"/>
        <v>0.13103525533138302</v>
      </c>
      <c r="T38" s="15"/>
      <c r="U38" s="65"/>
      <c r="V38" s="10">
        <f t="shared" si="7"/>
        <v>856212.15859030839</v>
      </c>
    </row>
    <row r="39" spans="2:22" ht="15.75" x14ac:dyDescent="0.25">
      <c r="B39" s="35" t="s">
        <v>120</v>
      </c>
      <c r="C39" s="39"/>
      <c r="D39" s="39"/>
      <c r="E39" s="40"/>
      <c r="F39" s="40"/>
      <c r="G39" s="41"/>
      <c r="H39" s="76"/>
      <c r="I39" s="76"/>
      <c r="J39" s="67" t="s">
        <v>60</v>
      </c>
      <c r="K39" s="38">
        <f>SUM(K32:K38)</f>
        <v>6534212.1585903084</v>
      </c>
      <c r="M39" s="35" t="s">
        <v>120</v>
      </c>
      <c r="N39" s="39"/>
      <c r="O39" s="39"/>
      <c r="P39" s="40"/>
      <c r="Q39" s="40"/>
      <c r="R39" s="41"/>
      <c r="S39" s="142">
        <f>V39/V56</f>
        <v>0.20101671533350224</v>
      </c>
      <c r="T39" s="143" t="s">
        <v>195</v>
      </c>
      <c r="U39" s="67" t="s">
        <v>60</v>
      </c>
      <c r="V39" s="38">
        <f>SUM(V32:V38)</f>
        <v>6534212.1585903084</v>
      </c>
    </row>
    <row r="40" spans="2:22" ht="15.75" x14ac:dyDescent="0.25">
      <c r="B40" s="29"/>
      <c r="C40" s="28"/>
      <c r="D40" s="28"/>
      <c r="H40" s="14"/>
      <c r="I40" s="14"/>
      <c r="J40" s="14"/>
      <c r="K40" s="10"/>
      <c r="M40" s="29"/>
      <c r="N40" s="28"/>
      <c r="O40" s="28"/>
      <c r="R40" s="14"/>
      <c r="S40" s="144">
        <f>V39/V29</f>
        <v>0.31887478620199855</v>
      </c>
      <c r="T40" s="145" t="s">
        <v>196</v>
      </c>
      <c r="U40" s="14"/>
      <c r="V40" s="10"/>
    </row>
    <row r="41" spans="2:22" ht="15.75" x14ac:dyDescent="0.25">
      <c r="B41" s="29"/>
      <c r="C41" s="28"/>
      <c r="D41" s="28"/>
      <c r="H41" s="14"/>
      <c r="I41" s="14"/>
      <c r="J41" s="14"/>
      <c r="K41" s="10"/>
      <c r="M41" s="29"/>
      <c r="N41" s="28"/>
      <c r="O41" s="28"/>
      <c r="S41" s="145"/>
      <c r="T41" s="14"/>
      <c r="U41" s="14"/>
      <c r="V41" s="10"/>
    </row>
    <row r="42" spans="2:22" ht="15.75" x14ac:dyDescent="0.25">
      <c r="B42" s="35" t="s">
        <v>17</v>
      </c>
      <c r="C42" s="43"/>
      <c r="D42" s="43"/>
      <c r="E42" s="41"/>
      <c r="F42" s="41"/>
      <c r="G42" s="41"/>
      <c r="H42" s="68"/>
      <c r="I42" s="68"/>
      <c r="J42" s="67" t="s">
        <v>61</v>
      </c>
      <c r="K42" s="38">
        <f>+K29+K39</f>
        <v>27025679.158590309</v>
      </c>
      <c r="M42" s="35" t="s">
        <v>17</v>
      </c>
      <c r="N42" s="43"/>
      <c r="O42" s="43"/>
      <c r="P42" s="41"/>
      <c r="Q42" s="41"/>
      <c r="R42" s="41"/>
      <c r="S42" s="147"/>
      <c r="T42" s="68"/>
      <c r="U42" s="67" t="s">
        <v>61</v>
      </c>
      <c r="V42" s="38">
        <f>+V29+V39</f>
        <v>27025679.158590309</v>
      </c>
    </row>
    <row r="43" spans="2:22" ht="15.75" x14ac:dyDescent="0.25">
      <c r="B43" s="1"/>
      <c r="C43" s="28"/>
      <c r="D43" s="28"/>
      <c r="G43" s="2"/>
      <c r="H43" s="14"/>
      <c r="I43" s="14"/>
      <c r="J43" s="14"/>
      <c r="K43" s="11"/>
      <c r="M43" s="1"/>
      <c r="N43" s="28"/>
      <c r="O43" s="28"/>
      <c r="R43" s="2"/>
      <c r="S43" s="145"/>
      <c r="T43" s="14"/>
      <c r="U43" s="14"/>
      <c r="V43" s="11"/>
    </row>
    <row r="44" spans="2:22" ht="15.75" x14ac:dyDescent="0.25">
      <c r="B44" s="29"/>
      <c r="C44" s="28"/>
      <c r="D44" s="28"/>
      <c r="H44" s="14"/>
      <c r="I44" s="14"/>
      <c r="J44" s="14"/>
      <c r="K44" s="11"/>
      <c r="M44" s="29"/>
      <c r="N44" s="28"/>
      <c r="O44" s="28"/>
      <c r="S44" s="145"/>
      <c r="T44" s="14"/>
      <c r="U44" s="14"/>
      <c r="V44" s="11"/>
    </row>
    <row r="45" spans="2:22" ht="15.75" x14ac:dyDescent="0.25">
      <c r="B45" s="1" t="s">
        <v>18</v>
      </c>
      <c r="C45" s="28"/>
      <c r="D45" s="28"/>
      <c r="H45" s="14"/>
      <c r="I45" s="14"/>
      <c r="J45" s="14"/>
      <c r="K45" s="11"/>
      <c r="M45" s="1" t="s">
        <v>18</v>
      </c>
      <c r="N45" s="28"/>
      <c r="O45" s="28"/>
      <c r="S45" s="145"/>
      <c r="T45" s="14"/>
      <c r="U45" s="14"/>
      <c r="V45" s="11"/>
    </row>
    <row r="46" spans="2:22" ht="15.75" x14ac:dyDescent="0.25">
      <c r="B46" s="30" t="s">
        <v>19</v>
      </c>
      <c r="C46" s="28" t="s">
        <v>20</v>
      </c>
      <c r="D46" s="28"/>
      <c r="E46" s="81">
        <v>0.1</v>
      </c>
      <c r="F46" s="8" t="s">
        <v>72</v>
      </c>
      <c r="G46" s="19"/>
      <c r="H46" s="14"/>
      <c r="I46" s="15">
        <f>E46*K42</f>
        <v>2702567.915859031</v>
      </c>
      <c r="J46" s="65"/>
      <c r="K46" s="11"/>
      <c r="M46" s="30" t="s">
        <v>19</v>
      </c>
      <c r="N46" s="28" t="s">
        <v>20</v>
      </c>
      <c r="O46" s="28"/>
      <c r="P46" s="81">
        <v>0.1</v>
      </c>
      <c r="Q46" s="8" t="s">
        <v>72</v>
      </c>
      <c r="R46" s="19"/>
      <c r="S46" s="145"/>
      <c r="T46" s="15">
        <f>P46*V42</f>
        <v>2702567.915859031</v>
      </c>
      <c r="U46" s="65"/>
      <c r="V46" s="11"/>
    </row>
    <row r="47" spans="2:22" ht="15.75" x14ac:dyDescent="0.25">
      <c r="B47" s="30" t="s">
        <v>21</v>
      </c>
      <c r="C47" s="28" t="s">
        <v>22</v>
      </c>
      <c r="D47" s="28"/>
      <c r="E47" s="54">
        <v>1</v>
      </c>
      <c r="F47" s="8" t="s">
        <v>65</v>
      </c>
      <c r="G47" s="99">
        <v>75000</v>
      </c>
      <c r="H47" s="14"/>
      <c r="I47" s="15">
        <f>G47*E47</f>
        <v>75000</v>
      </c>
      <c r="J47" s="65"/>
      <c r="K47" s="78"/>
      <c r="M47" s="30" t="s">
        <v>21</v>
      </c>
      <c r="N47" s="28" t="s">
        <v>22</v>
      </c>
      <c r="O47" s="28"/>
      <c r="P47" s="54">
        <v>1</v>
      </c>
      <c r="Q47" s="8" t="s">
        <v>65</v>
      </c>
      <c r="R47" s="99">
        <v>75000</v>
      </c>
      <c r="S47" s="136">
        <f>R47/V29</f>
        <v>3.6600600630496585E-3</v>
      </c>
      <c r="T47" s="15">
        <f>R47*P47</f>
        <v>75000</v>
      </c>
      <c r="U47" s="65"/>
      <c r="V47" s="78"/>
    </row>
    <row r="48" spans="2:22" ht="15.75" x14ac:dyDescent="0.25">
      <c r="B48" s="35" t="s">
        <v>23</v>
      </c>
      <c r="C48" s="43"/>
      <c r="D48" s="43"/>
      <c r="E48" s="41"/>
      <c r="F48" s="40"/>
      <c r="G48" s="41"/>
      <c r="H48" s="68"/>
      <c r="I48" s="76"/>
      <c r="J48" s="67" t="s">
        <v>62</v>
      </c>
      <c r="K48" s="38">
        <f>SUM(I46:I47)</f>
        <v>2777567.915859031</v>
      </c>
      <c r="M48" s="35" t="s">
        <v>23</v>
      </c>
      <c r="N48" s="43"/>
      <c r="O48" s="43"/>
      <c r="P48" s="41"/>
      <c r="Q48" s="40"/>
      <c r="R48" s="41"/>
      <c r="S48" s="147">
        <f>0.01*V29</f>
        <v>204914.67</v>
      </c>
      <c r="T48" s="76"/>
      <c r="U48" s="67" t="s">
        <v>62</v>
      </c>
      <c r="V48" s="38">
        <f>SUM(T46:T47)</f>
        <v>2777567.915859031</v>
      </c>
    </row>
    <row r="49" spans="2:22" ht="15.75" x14ac:dyDescent="0.25">
      <c r="B49" s="1"/>
      <c r="C49" s="28"/>
      <c r="D49" s="28"/>
      <c r="F49" s="8"/>
      <c r="H49" s="14"/>
      <c r="I49" s="15"/>
      <c r="J49" s="69"/>
      <c r="K49" s="11"/>
      <c r="M49" s="1"/>
      <c r="N49" s="28"/>
      <c r="O49" s="28"/>
      <c r="Q49" s="8"/>
      <c r="S49" s="14"/>
      <c r="T49" s="15"/>
      <c r="U49" s="69"/>
      <c r="V49" s="11"/>
    </row>
    <row r="50" spans="2:22" ht="15.75" x14ac:dyDescent="0.25">
      <c r="B50" s="29"/>
      <c r="C50" s="28"/>
      <c r="D50" s="28"/>
      <c r="F50" s="8"/>
      <c r="H50" s="14"/>
      <c r="I50" s="15"/>
      <c r="J50" s="14"/>
      <c r="K50" s="11"/>
      <c r="M50" s="29"/>
      <c r="N50" s="28"/>
      <c r="O50" s="28"/>
      <c r="Q50" s="8"/>
      <c r="S50" s="14"/>
      <c r="T50" s="15"/>
      <c r="U50" s="14"/>
      <c r="V50" s="11"/>
    </row>
    <row r="51" spans="2:22" ht="15.75" x14ac:dyDescent="0.25">
      <c r="B51" s="1" t="s">
        <v>24</v>
      </c>
      <c r="C51" s="28"/>
      <c r="D51" s="28"/>
      <c r="F51" s="8"/>
      <c r="H51" s="14"/>
      <c r="I51" s="15"/>
      <c r="J51" s="14"/>
      <c r="K51" s="11"/>
      <c r="M51" s="1" t="s">
        <v>24</v>
      </c>
      <c r="N51" s="28"/>
      <c r="O51" s="28"/>
      <c r="Q51" s="8"/>
      <c r="S51" s="14"/>
      <c r="T51" s="15"/>
      <c r="U51" s="14"/>
      <c r="V51" s="11"/>
    </row>
    <row r="52" spans="2:22" ht="15.75" x14ac:dyDescent="0.25">
      <c r="B52" s="30" t="s">
        <v>25</v>
      </c>
      <c r="C52" s="28" t="s">
        <v>26</v>
      </c>
      <c r="D52" s="28"/>
      <c r="E52" s="91">
        <v>0.1</v>
      </c>
      <c r="F52" s="8" t="s">
        <v>72</v>
      </c>
      <c r="G52" s="19"/>
      <c r="H52" s="14"/>
      <c r="I52" s="15">
        <f>E52*K42</f>
        <v>2702567.915859031</v>
      </c>
      <c r="J52" s="65"/>
      <c r="K52" s="11"/>
      <c r="M52" s="30" t="s">
        <v>25</v>
      </c>
      <c r="N52" s="28" t="s">
        <v>26</v>
      </c>
      <c r="O52" s="28"/>
      <c r="P52" s="91">
        <v>0.1</v>
      </c>
      <c r="Q52" s="8" t="s">
        <v>72</v>
      </c>
      <c r="R52" s="19"/>
      <c r="S52" s="14"/>
      <c r="T52" s="15">
        <f>P52*V42</f>
        <v>2702567.915859031</v>
      </c>
      <c r="U52" s="65"/>
      <c r="V52" s="11"/>
    </row>
    <row r="53" spans="2:22" ht="15.75" x14ac:dyDescent="0.25">
      <c r="B53" s="35" t="s">
        <v>28</v>
      </c>
      <c r="C53" s="42"/>
      <c r="D53" s="42"/>
      <c r="E53" s="44"/>
      <c r="F53" s="44"/>
      <c r="G53" s="44"/>
      <c r="H53" s="70"/>
      <c r="I53" s="70"/>
      <c r="J53" s="67" t="s">
        <v>53</v>
      </c>
      <c r="K53" s="92">
        <f>SUM(I52:I52)</f>
        <v>2702567.915859031</v>
      </c>
      <c r="M53" s="35" t="s">
        <v>28</v>
      </c>
      <c r="N53" s="42"/>
      <c r="O53" s="42"/>
      <c r="P53" s="44"/>
      <c r="Q53" s="44"/>
      <c r="R53" s="44"/>
      <c r="S53" s="70"/>
      <c r="T53" s="70"/>
      <c r="U53" s="67" t="s">
        <v>53</v>
      </c>
      <c r="V53" s="92">
        <f>SUM(T52:T52)</f>
        <v>2702567.915859031</v>
      </c>
    </row>
    <row r="54" spans="2:22" ht="15.75" x14ac:dyDescent="0.25">
      <c r="B54" s="1"/>
      <c r="C54" s="28"/>
      <c r="D54" s="28"/>
      <c r="H54" s="14"/>
      <c r="I54" s="14"/>
      <c r="J54" s="69"/>
      <c r="K54" s="11"/>
      <c r="M54" s="1"/>
      <c r="N54" s="28"/>
      <c r="O54" s="28"/>
      <c r="S54" s="14"/>
      <c r="T54" s="14"/>
      <c r="U54" s="69"/>
      <c r="V54" s="11"/>
    </row>
    <row r="55" spans="2:22" ht="15.75" x14ac:dyDescent="0.25">
      <c r="B55" s="29"/>
      <c r="C55" s="28"/>
      <c r="D55" s="28"/>
      <c r="H55" s="14"/>
      <c r="I55" s="14"/>
      <c r="J55" s="14"/>
      <c r="K55" s="11"/>
      <c r="M55" s="29"/>
      <c r="N55" s="28"/>
      <c r="O55" s="28"/>
      <c r="S55" s="14"/>
      <c r="T55" s="14"/>
      <c r="U55" s="14"/>
      <c r="V55" s="11"/>
    </row>
    <row r="56" spans="2:22" ht="34.5" customHeight="1" thickBot="1" x14ac:dyDescent="0.35">
      <c r="B56" s="45" t="s">
        <v>29</v>
      </c>
      <c r="C56" s="46"/>
      <c r="D56" s="46"/>
      <c r="E56" s="46"/>
      <c r="F56" s="46"/>
      <c r="G56" s="47"/>
      <c r="H56" s="71"/>
      <c r="I56" s="72"/>
      <c r="J56" s="73" t="s">
        <v>54</v>
      </c>
      <c r="K56" s="93">
        <f>K42+K48+K53</f>
        <v>32505814.990308374</v>
      </c>
      <c r="M56" s="45" t="s">
        <v>29</v>
      </c>
      <c r="N56" s="46"/>
      <c r="O56" s="46"/>
      <c r="P56" s="46"/>
      <c r="Q56" s="46"/>
      <c r="R56" s="47"/>
      <c r="S56" s="71"/>
      <c r="T56" s="72"/>
      <c r="U56" s="73" t="s">
        <v>54</v>
      </c>
      <c r="V56" s="93">
        <f>V42+V48+V53</f>
        <v>32505814.990308374</v>
      </c>
    </row>
    <row r="57" spans="2:22" ht="15.75" thickTop="1" x14ac:dyDescent="0.25"/>
    <row r="58" spans="2:22" x14ac:dyDescent="0.25">
      <c r="G58" s="100"/>
      <c r="R58" s="100"/>
    </row>
    <row r="59" spans="2:22" x14ac:dyDescent="0.25">
      <c r="G59" s="100"/>
      <c r="R59" s="100"/>
    </row>
    <row r="60" spans="2:22" x14ac:dyDescent="0.25">
      <c r="D60" s="105" t="s">
        <v>145</v>
      </c>
      <c r="E60" s="174" t="s">
        <v>146</v>
      </c>
      <c r="F60" s="175"/>
      <c r="G60" s="174" t="s">
        <v>147</v>
      </c>
      <c r="H60" s="176"/>
      <c r="I60" s="176"/>
      <c r="J60" s="175"/>
      <c r="O60" s="105" t="s">
        <v>145</v>
      </c>
      <c r="P60" s="174" t="s">
        <v>146</v>
      </c>
      <c r="Q60" s="175"/>
      <c r="R60" s="174" t="s">
        <v>183</v>
      </c>
      <c r="S60" s="176"/>
      <c r="T60" s="176"/>
      <c r="U60" s="175"/>
    </row>
    <row r="61" spans="2:22" ht="50.25" customHeight="1" x14ac:dyDescent="0.25">
      <c r="D61" s="108" t="s">
        <v>148</v>
      </c>
      <c r="E61" s="170" t="s">
        <v>92</v>
      </c>
      <c r="F61" s="170"/>
      <c r="G61" s="171" t="s">
        <v>119</v>
      </c>
      <c r="H61" s="171"/>
      <c r="I61" s="171"/>
      <c r="J61" s="171"/>
      <c r="O61" s="132" t="s">
        <v>148</v>
      </c>
      <c r="P61" s="161" t="s">
        <v>92</v>
      </c>
      <c r="Q61" s="161"/>
      <c r="R61" s="162" t="s">
        <v>187</v>
      </c>
      <c r="S61" s="162"/>
      <c r="T61" s="162"/>
      <c r="U61" s="162"/>
    </row>
    <row r="62" spans="2:22" ht="45.75" customHeight="1" x14ac:dyDescent="0.25">
      <c r="D62" s="108" t="s">
        <v>148</v>
      </c>
      <c r="E62" s="170" t="s">
        <v>98</v>
      </c>
      <c r="F62" s="170"/>
      <c r="G62" s="171" t="s">
        <v>157</v>
      </c>
      <c r="H62" s="171"/>
      <c r="I62" s="171"/>
      <c r="J62" s="171"/>
      <c r="O62" s="132" t="s">
        <v>148</v>
      </c>
      <c r="P62" s="161" t="s">
        <v>98</v>
      </c>
      <c r="Q62" s="161"/>
      <c r="R62" s="162" t="s">
        <v>186</v>
      </c>
      <c r="S62" s="162"/>
      <c r="T62" s="162"/>
      <c r="U62" s="162"/>
    </row>
    <row r="63" spans="2:22" ht="84.75" customHeight="1" x14ac:dyDescent="0.25">
      <c r="D63" s="108" t="s">
        <v>148</v>
      </c>
      <c r="E63" s="170" t="s">
        <v>97</v>
      </c>
      <c r="F63" s="170"/>
      <c r="G63" s="171" t="s">
        <v>121</v>
      </c>
      <c r="H63" s="171"/>
      <c r="I63" s="171"/>
      <c r="J63" s="171"/>
      <c r="O63" s="132" t="s">
        <v>148</v>
      </c>
      <c r="P63" s="161" t="s">
        <v>97</v>
      </c>
      <c r="Q63" s="161"/>
      <c r="R63" s="162" t="s">
        <v>189</v>
      </c>
      <c r="S63" s="162"/>
      <c r="T63" s="162"/>
      <c r="U63" s="162"/>
    </row>
    <row r="64" spans="2:22" ht="192" customHeight="1" x14ac:dyDescent="0.25">
      <c r="D64" s="108" t="s">
        <v>148</v>
      </c>
      <c r="E64" s="170" t="s">
        <v>96</v>
      </c>
      <c r="F64" s="170"/>
      <c r="G64" s="171" t="s">
        <v>122</v>
      </c>
      <c r="H64" s="171"/>
      <c r="I64" s="171"/>
      <c r="J64" s="171"/>
      <c r="O64" s="132" t="s">
        <v>148</v>
      </c>
      <c r="P64" s="161" t="s">
        <v>96</v>
      </c>
      <c r="Q64" s="161"/>
      <c r="R64" s="162" t="s">
        <v>190</v>
      </c>
      <c r="S64" s="162"/>
      <c r="T64" s="162"/>
      <c r="U64" s="162"/>
    </row>
    <row r="65" spans="4:21" ht="53.25" customHeight="1" x14ac:dyDescent="0.25">
      <c r="D65" s="108" t="s">
        <v>148</v>
      </c>
      <c r="E65" s="172" t="s">
        <v>123</v>
      </c>
      <c r="F65" s="172"/>
      <c r="G65" s="171" t="s">
        <v>124</v>
      </c>
      <c r="H65" s="171"/>
      <c r="I65" s="171"/>
      <c r="J65" s="171"/>
      <c r="O65" s="132" t="s">
        <v>148</v>
      </c>
      <c r="P65" s="161" t="s">
        <v>123</v>
      </c>
      <c r="Q65" s="161"/>
      <c r="R65" s="162" t="s">
        <v>191</v>
      </c>
      <c r="S65" s="162"/>
      <c r="T65" s="162"/>
      <c r="U65" s="162"/>
    </row>
    <row r="66" spans="4:21" ht="126.75" customHeight="1" x14ac:dyDescent="0.25">
      <c r="D66" s="108" t="s">
        <v>149</v>
      </c>
      <c r="E66" s="170" t="s">
        <v>67</v>
      </c>
      <c r="F66" s="170"/>
      <c r="G66" s="171" t="s">
        <v>125</v>
      </c>
      <c r="H66" s="171"/>
      <c r="I66" s="171"/>
      <c r="J66" s="171"/>
      <c r="O66" s="132" t="s">
        <v>149</v>
      </c>
      <c r="P66" s="161" t="s">
        <v>67</v>
      </c>
      <c r="Q66" s="161"/>
      <c r="R66" s="162" t="s">
        <v>208</v>
      </c>
      <c r="S66" s="162"/>
      <c r="T66" s="162"/>
      <c r="U66" s="162"/>
    </row>
    <row r="67" spans="4:21" ht="82.5" customHeight="1" x14ac:dyDescent="0.25">
      <c r="D67" s="108" t="s">
        <v>150</v>
      </c>
      <c r="E67" s="170" t="s">
        <v>126</v>
      </c>
      <c r="F67" s="170"/>
      <c r="G67" s="171" t="s">
        <v>158</v>
      </c>
      <c r="H67" s="171"/>
      <c r="I67" s="171"/>
      <c r="J67" s="171"/>
      <c r="O67" s="132" t="s">
        <v>150</v>
      </c>
      <c r="P67" s="161" t="s">
        <v>126</v>
      </c>
      <c r="Q67" s="161"/>
      <c r="R67" s="162" t="s">
        <v>192</v>
      </c>
      <c r="S67" s="162"/>
      <c r="T67" s="162"/>
      <c r="U67" s="162"/>
    </row>
    <row r="68" spans="4:21" ht="71.25" customHeight="1" x14ac:dyDescent="0.25">
      <c r="D68" s="108" t="s">
        <v>164</v>
      </c>
      <c r="E68" s="170" t="s">
        <v>154</v>
      </c>
      <c r="F68" s="170"/>
      <c r="G68" s="171" t="s">
        <v>179</v>
      </c>
      <c r="H68" s="171"/>
      <c r="I68" s="171"/>
      <c r="J68" s="171"/>
      <c r="O68" s="132" t="s">
        <v>164</v>
      </c>
      <c r="P68" s="161" t="s">
        <v>154</v>
      </c>
      <c r="Q68" s="161"/>
      <c r="R68" s="162" t="s">
        <v>193</v>
      </c>
      <c r="S68" s="162"/>
      <c r="T68" s="162"/>
      <c r="U68" s="162"/>
    </row>
    <row r="69" spans="4:21" ht="57.75" customHeight="1" x14ac:dyDescent="0.25">
      <c r="D69" s="108" t="s">
        <v>165</v>
      </c>
      <c r="E69" s="170" t="s">
        <v>166</v>
      </c>
      <c r="F69" s="170"/>
      <c r="G69" s="171" t="s">
        <v>178</v>
      </c>
      <c r="H69" s="171"/>
      <c r="I69" s="171"/>
      <c r="J69" s="171"/>
      <c r="O69" s="132" t="s">
        <v>165</v>
      </c>
      <c r="P69" s="161" t="s">
        <v>166</v>
      </c>
      <c r="Q69" s="161"/>
      <c r="R69" s="162" t="s">
        <v>194</v>
      </c>
      <c r="S69" s="162"/>
      <c r="T69" s="162"/>
      <c r="U69" s="162"/>
    </row>
    <row r="70" spans="4:21" ht="173.25" customHeight="1" x14ac:dyDescent="0.25">
      <c r="D70" s="108" t="s">
        <v>174</v>
      </c>
      <c r="E70" s="170" t="s">
        <v>127</v>
      </c>
      <c r="F70" s="170"/>
      <c r="G70" s="171" t="s">
        <v>128</v>
      </c>
      <c r="H70" s="171"/>
      <c r="I70" s="171"/>
      <c r="J70" s="171"/>
      <c r="O70" s="132" t="s">
        <v>174</v>
      </c>
      <c r="P70" s="161" t="s">
        <v>127</v>
      </c>
      <c r="Q70" s="161"/>
      <c r="R70" s="162" t="s">
        <v>209</v>
      </c>
      <c r="S70" s="162"/>
      <c r="T70" s="162"/>
      <c r="U70" s="162"/>
    </row>
    <row r="71" spans="4:21" ht="96.75" customHeight="1" x14ac:dyDescent="0.25">
      <c r="D71" s="108" t="s">
        <v>106</v>
      </c>
      <c r="E71" s="170" t="s">
        <v>129</v>
      </c>
      <c r="F71" s="170"/>
      <c r="G71" s="171" t="s">
        <v>160</v>
      </c>
      <c r="H71" s="171"/>
      <c r="I71" s="171"/>
      <c r="J71" s="171"/>
      <c r="O71" s="132" t="s">
        <v>106</v>
      </c>
      <c r="P71" s="161" t="s">
        <v>129</v>
      </c>
      <c r="Q71" s="161"/>
      <c r="R71" s="162" t="s">
        <v>197</v>
      </c>
      <c r="S71" s="162"/>
      <c r="T71" s="162"/>
      <c r="U71" s="162"/>
    </row>
    <row r="72" spans="4:21" ht="65.25" customHeight="1" x14ac:dyDescent="0.25">
      <c r="D72" s="108" t="s">
        <v>107</v>
      </c>
      <c r="E72" s="170" t="s">
        <v>130</v>
      </c>
      <c r="F72" s="170"/>
      <c r="G72" s="171" t="s">
        <v>131</v>
      </c>
      <c r="H72" s="171"/>
      <c r="I72" s="171"/>
      <c r="J72" s="171"/>
      <c r="O72" s="132" t="s">
        <v>107</v>
      </c>
      <c r="P72" s="161" t="s">
        <v>130</v>
      </c>
      <c r="Q72" s="161"/>
      <c r="R72" s="162" t="s">
        <v>198</v>
      </c>
      <c r="S72" s="162"/>
      <c r="T72" s="162"/>
      <c r="U72" s="162"/>
    </row>
    <row r="73" spans="4:21" ht="99" customHeight="1" x14ac:dyDescent="0.25">
      <c r="D73" s="108" t="s">
        <v>161</v>
      </c>
      <c r="E73" s="170" t="s">
        <v>132</v>
      </c>
      <c r="F73" s="170"/>
      <c r="G73" s="171" t="s">
        <v>167</v>
      </c>
      <c r="H73" s="171"/>
      <c r="I73" s="171"/>
      <c r="J73" s="171"/>
      <c r="O73" s="132" t="s">
        <v>161</v>
      </c>
      <c r="P73" s="161" t="s">
        <v>132</v>
      </c>
      <c r="Q73" s="161"/>
      <c r="R73" s="162" t="s">
        <v>199</v>
      </c>
      <c r="S73" s="162"/>
      <c r="T73" s="162"/>
      <c r="U73" s="162"/>
    </row>
    <row r="74" spans="4:21" ht="264.75" customHeight="1" x14ac:dyDescent="0.25">
      <c r="O74" s="132" t="s">
        <v>184</v>
      </c>
      <c r="P74" s="161" t="s">
        <v>29</v>
      </c>
      <c r="Q74" s="161"/>
      <c r="R74" s="162" t="s">
        <v>200</v>
      </c>
      <c r="S74" s="162"/>
      <c r="T74" s="162"/>
      <c r="U74" s="162"/>
    </row>
  </sheetData>
  <mergeCells count="64">
    <mergeCell ref="P71:Q71"/>
    <mergeCell ref="R71:U71"/>
    <mergeCell ref="P72:Q72"/>
    <mergeCell ref="R72:U72"/>
    <mergeCell ref="P73:Q73"/>
    <mergeCell ref="R73:U73"/>
    <mergeCell ref="P68:Q68"/>
    <mergeCell ref="R68:U68"/>
    <mergeCell ref="P69:Q69"/>
    <mergeCell ref="R69:U69"/>
    <mergeCell ref="P70:Q70"/>
    <mergeCell ref="R70:U70"/>
    <mergeCell ref="P65:Q65"/>
    <mergeCell ref="R65:U65"/>
    <mergeCell ref="P66:Q66"/>
    <mergeCell ref="R66:U66"/>
    <mergeCell ref="P67:Q67"/>
    <mergeCell ref="R67:U67"/>
    <mergeCell ref="P62:Q62"/>
    <mergeCell ref="R62:U62"/>
    <mergeCell ref="P63:Q63"/>
    <mergeCell ref="R63:U63"/>
    <mergeCell ref="P64:Q64"/>
    <mergeCell ref="R64:U64"/>
    <mergeCell ref="U1:V1"/>
    <mergeCell ref="M6:V6"/>
    <mergeCell ref="P60:Q60"/>
    <mergeCell ref="R60:U60"/>
    <mergeCell ref="P61:Q61"/>
    <mergeCell ref="R61:U61"/>
    <mergeCell ref="G67:J67"/>
    <mergeCell ref="G71:J71"/>
    <mergeCell ref="G72:J72"/>
    <mergeCell ref="G73:J73"/>
    <mergeCell ref="E73:F73"/>
    <mergeCell ref="E70:F70"/>
    <mergeCell ref="E71:F71"/>
    <mergeCell ref="E72:F72"/>
    <mergeCell ref="E68:F68"/>
    <mergeCell ref="G68:J68"/>
    <mergeCell ref="E69:F69"/>
    <mergeCell ref="G69:J69"/>
    <mergeCell ref="G70:J70"/>
    <mergeCell ref="J1:K1"/>
    <mergeCell ref="E60:F60"/>
    <mergeCell ref="E61:F61"/>
    <mergeCell ref="G61:J61"/>
    <mergeCell ref="G60:J60"/>
    <mergeCell ref="P74:Q74"/>
    <mergeCell ref="R74:U74"/>
    <mergeCell ref="P2:S2"/>
    <mergeCell ref="P3:S3"/>
    <mergeCell ref="B6:K6"/>
    <mergeCell ref="E62:F62"/>
    <mergeCell ref="E63:F63"/>
    <mergeCell ref="E64:F64"/>
    <mergeCell ref="G62:J62"/>
    <mergeCell ref="G63:J63"/>
    <mergeCell ref="G64:J64"/>
    <mergeCell ref="E65:F65"/>
    <mergeCell ref="E66:F66"/>
    <mergeCell ref="E67:F67"/>
    <mergeCell ref="G65:J65"/>
    <mergeCell ref="G66:J66"/>
  </mergeCells>
  <printOptions horizontalCentered="1"/>
  <pageMargins left="0.38" right="0.4" top="0.48" bottom="0.75" header="0.3" footer="0.3"/>
  <pageSetup scale="42" orientation="portrait" r:id="rId1"/>
  <headerFooter>
    <oddFooter xml:space="preserve">&amp;LUniversity of Alaska Fairbanks
BACT Analysis&amp;R  
December 2022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B1:AA46"/>
  <sheetViews>
    <sheetView tabSelected="1" topLeftCell="I12" zoomScaleNormal="100" workbookViewId="0">
      <selection activeCell="X16" sqref="X16"/>
    </sheetView>
  </sheetViews>
  <sheetFormatPr defaultRowHeight="15" x14ac:dyDescent="0.25"/>
  <cols>
    <col min="1" max="1" width="3" customWidth="1"/>
    <col min="2" max="3" width="6" customWidth="1"/>
    <col min="4" max="4" width="51.42578125" customWidth="1"/>
    <col min="5" max="5" width="13.28515625" bestFit="1" customWidth="1"/>
    <col min="6" max="6" width="13.140625" customWidth="1"/>
    <col min="7" max="7" width="15.42578125" customWidth="1"/>
    <col min="8" max="8" width="24" customWidth="1"/>
    <col min="9" max="9" width="18.7109375" customWidth="1"/>
    <col min="11" max="11" width="13.28515625" customWidth="1"/>
    <col min="16" max="16" width="10.5703125" bestFit="1" customWidth="1"/>
    <col min="19" max="19" width="22.85546875" bestFit="1" customWidth="1"/>
    <col min="20" max="20" width="18.5703125" bestFit="1" customWidth="1"/>
    <col min="22" max="22" width="11.5703125" bestFit="1" customWidth="1"/>
  </cols>
  <sheetData>
    <row r="1" spans="2:24" ht="15.75" thickBot="1" x14ac:dyDescent="0.3">
      <c r="I1" s="177" t="s">
        <v>81</v>
      </c>
      <c r="J1" s="178"/>
      <c r="K1" s="179"/>
    </row>
    <row r="2" spans="2:24" ht="18.75" x14ac:dyDescent="0.3">
      <c r="B2" s="109" t="s">
        <v>169</v>
      </c>
      <c r="C2" s="110"/>
      <c r="D2" s="56"/>
      <c r="E2" s="56"/>
      <c r="F2" s="56"/>
      <c r="G2" s="56"/>
      <c r="H2" s="56"/>
      <c r="I2" s="56"/>
      <c r="J2" s="111" t="s">
        <v>47</v>
      </c>
      <c r="K2" s="112">
        <v>44923</v>
      </c>
      <c r="M2" s="109" t="s">
        <v>169</v>
      </c>
      <c r="N2" s="110"/>
      <c r="O2" s="56"/>
      <c r="P2" s="56"/>
      <c r="Q2" s="56"/>
      <c r="R2" s="56"/>
      <c r="S2" s="56"/>
      <c r="T2" s="56"/>
      <c r="U2" s="111" t="s">
        <v>47</v>
      </c>
      <c r="V2" s="112">
        <v>44923</v>
      </c>
    </row>
    <row r="3" spans="2:24" x14ac:dyDescent="0.25">
      <c r="B3" s="58" t="s">
        <v>74</v>
      </c>
      <c r="D3" s="22" t="s">
        <v>90</v>
      </c>
      <c r="J3" s="9" t="s">
        <v>48</v>
      </c>
      <c r="K3" s="113" t="s">
        <v>91</v>
      </c>
      <c r="M3" s="58" t="s">
        <v>74</v>
      </c>
      <c r="O3" s="22" t="s">
        <v>90</v>
      </c>
      <c r="U3" s="9" t="s">
        <v>48</v>
      </c>
      <c r="V3" s="113" t="s">
        <v>91</v>
      </c>
    </row>
    <row r="4" spans="2:24" x14ac:dyDescent="0.25">
      <c r="B4" s="58" t="s">
        <v>94</v>
      </c>
      <c r="D4" t="s">
        <v>95</v>
      </c>
      <c r="J4" s="9" t="s">
        <v>176</v>
      </c>
      <c r="K4" s="113" t="s">
        <v>177</v>
      </c>
      <c r="M4" s="58" t="s">
        <v>94</v>
      </c>
      <c r="O4" t="s">
        <v>95</v>
      </c>
      <c r="U4" s="9" t="s">
        <v>176</v>
      </c>
      <c r="V4" s="113" t="s">
        <v>177</v>
      </c>
    </row>
    <row r="5" spans="2:24" ht="15.75" thickBot="1" x14ac:dyDescent="0.3">
      <c r="B5" s="60"/>
      <c r="C5" s="48"/>
      <c r="D5" s="48"/>
      <c r="E5" s="48"/>
      <c r="F5" s="48"/>
      <c r="G5" s="48"/>
      <c r="H5" s="48"/>
      <c r="I5" s="48"/>
      <c r="J5" s="49" t="s">
        <v>49</v>
      </c>
      <c r="K5" s="114" t="s">
        <v>175</v>
      </c>
      <c r="M5" s="60"/>
      <c r="N5" s="48"/>
      <c r="O5" s="48"/>
      <c r="P5" s="48"/>
      <c r="Q5" s="48"/>
      <c r="R5" s="48"/>
      <c r="S5" s="48"/>
      <c r="T5" s="48"/>
      <c r="U5" s="49" t="s">
        <v>49</v>
      </c>
      <c r="V5" s="114" t="s">
        <v>175</v>
      </c>
    </row>
    <row r="6" spans="2:24" ht="16.5" thickBot="1" x14ac:dyDescent="0.3">
      <c r="B6" s="183" t="s">
        <v>45</v>
      </c>
      <c r="C6" s="184"/>
      <c r="D6" s="184"/>
      <c r="E6" s="184"/>
      <c r="F6" s="184"/>
      <c r="G6" s="184"/>
      <c r="H6" s="184"/>
      <c r="I6" s="184"/>
      <c r="J6" s="184"/>
      <c r="K6" s="185"/>
      <c r="M6" s="183" t="s">
        <v>45</v>
      </c>
      <c r="N6" s="184"/>
      <c r="O6" s="184"/>
      <c r="P6" s="184"/>
      <c r="Q6" s="184"/>
      <c r="R6" s="184"/>
      <c r="S6" s="184"/>
      <c r="T6" s="184"/>
      <c r="U6" s="184"/>
      <c r="V6" s="185"/>
    </row>
    <row r="7" spans="2:24" ht="15.75" x14ac:dyDescent="0.25">
      <c r="B7" s="115" t="s">
        <v>30</v>
      </c>
      <c r="C7" s="62"/>
      <c r="D7" s="56"/>
      <c r="E7" s="63" t="s">
        <v>50</v>
      </c>
      <c r="F7" s="63" t="s">
        <v>51</v>
      </c>
      <c r="G7" s="64" t="s">
        <v>52</v>
      </c>
      <c r="H7" s="63" t="s">
        <v>64</v>
      </c>
      <c r="I7" s="63" t="s">
        <v>63</v>
      </c>
      <c r="J7" s="56"/>
      <c r="K7" s="57" t="s">
        <v>78</v>
      </c>
      <c r="M7" s="115" t="s">
        <v>30</v>
      </c>
      <c r="N7" s="62"/>
      <c r="O7" s="56"/>
      <c r="P7" s="63" t="s">
        <v>50</v>
      </c>
      <c r="Q7" s="63" t="s">
        <v>51</v>
      </c>
      <c r="R7" s="64" t="s">
        <v>52</v>
      </c>
      <c r="S7" s="63" t="s">
        <v>64</v>
      </c>
      <c r="T7" s="63" t="s">
        <v>63</v>
      </c>
      <c r="U7" s="56"/>
      <c r="V7" s="57" t="s">
        <v>78</v>
      </c>
    </row>
    <row r="8" spans="2:24" x14ac:dyDescent="0.25">
      <c r="B8" s="116" t="s">
        <v>10</v>
      </c>
      <c r="C8" t="s">
        <v>31</v>
      </c>
      <c r="E8" s="97">
        <f>8760+2*52</f>
        <v>8864</v>
      </c>
      <c r="F8" s="8" t="s">
        <v>71</v>
      </c>
      <c r="G8" s="104">
        <v>49.09</v>
      </c>
      <c r="H8" s="15" t="s">
        <v>85</v>
      </c>
      <c r="I8" s="15">
        <f>E8*G8</f>
        <v>435133.76</v>
      </c>
      <c r="J8" s="117"/>
      <c r="K8" s="118">
        <f>I8</f>
        <v>435133.76</v>
      </c>
      <c r="M8" s="116" t="s">
        <v>10</v>
      </c>
      <c r="N8" t="s">
        <v>31</v>
      </c>
      <c r="P8" s="97">
        <f>8760+2*52</f>
        <v>8864</v>
      </c>
      <c r="Q8" s="8" t="s">
        <v>71</v>
      </c>
      <c r="R8" s="104">
        <v>49.09</v>
      </c>
      <c r="S8" s="15" t="s">
        <v>85</v>
      </c>
      <c r="T8" s="15">
        <f>P8*R8</f>
        <v>435133.76</v>
      </c>
      <c r="U8" s="117"/>
      <c r="V8" s="118">
        <f>T8</f>
        <v>435133.76</v>
      </c>
    </row>
    <row r="9" spans="2:24" x14ac:dyDescent="0.25">
      <c r="B9" s="116" t="s">
        <v>11</v>
      </c>
      <c r="C9" t="s">
        <v>32</v>
      </c>
      <c r="E9" s="97"/>
      <c r="F9" s="8" t="s">
        <v>71</v>
      </c>
      <c r="G9" s="104"/>
      <c r="H9" s="15" t="s">
        <v>85</v>
      </c>
      <c r="I9" s="15" t="s">
        <v>85</v>
      </c>
      <c r="J9" s="117"/>
      <c r="K9" s="118" t="str">
        <f t="shared" ref="K9:K10" si="0">I9</f>
        <v>Excluded</v>
      </c>
      <c r="M9" s="116" t="s">
        <v>11</v>
      </c>
      <c r="N9" t="s">
        <v>32</v>
      </c>
      <c r="P9" s="97"/>
      <c r="Q9" s="8" t="s">
        <v>71</v>
      </c>
      <c r="R9" s="104"/>
      <c r="S9" s="15" t="s">
        <v>85</v>
      </c>
      <c r="T9" s="15" t="s">
        <v>85</v>
      </c>
      <c r="U9" s="117"/>
      <c r="V9" s="118" t="str">
        <f t="shared" ref="V9:V10" si="1">T9</f>
        <v>Excluded</v>
      </c>
    </row>
    <row r="10" spans="2:24" x14ac:dyDescent="0.25">
      <c r="B10" s="116" t="s">
        <v>19</v>
      </c>
      <c r="C10" t="s">
        <v>33</v>
      </c>
      <c r="E10" s="97">
        <f>10*52</f>
        <v>520</v>
      </c>
      <c r="F10" s="8" t="s">
        <v>71</v>
      </c>
      <c r="G10" s="104">
        <v>49.09</v>
      </c>
      <c r="H10" s="15" t="s">
        <v>85</v>
      </c>
      <c r="I10" s="15">
        <f>E10*G10</f>
        <v>25526.800000000003</v>
      </c>
      <c r="J10" s="117"/>
      <c r="K10" s="118">
        <f t="shared" si="0"/>
        <v>25526.800000000003</v>
      </c>
      <c r="M10" s="116" t="s">
        <v>19</v>
      </c>
      <c r="N10" t="s">
        <v>33</v>
      </c>
      <c r="P10" s="97">
        <f>10*52</f>
        <v>520</v>
      </c>
      <c r="Q10" s="8" t="s">
        <v>71</v>
      </c>
      <c r="R10" s="104">
        <v>49.09</v>
      </c>
      <c r="S10" s="15" t="s">
        <v>85</v>
      </c>
      <c r="T10" s="15">
        <f>P10*R10</f>
        <v>25526.800000000003</v>
      </c>
      <c r="U10" s="117"/>
      <c r="V10" s="118">
        <f t="shared" si="1"/>
        <v>25526.800000000003</v>
      </c>
    </row>
    <row r="11" spans="2:24" x14ac:dyDescent="0.25">
      <c r="B11" s="116" t="s">
        <v>21</v>
      </c>
      <c r="C11" t="s">
        <v>77</v>
      </c>
      <c r="E11" s="97">
        <v>1</v>
      </c>
      <c r="F11" s="8" t="s">
        <v>70</v>
      </c>
      <c r="G11" s="97">
        <f>I10</f>
        <v>25526.800000000003</v>
      </c>
      <c r="H11" s="15">
        <f>E11*G11</f>
        <v>25526.800000000003</v>
      </c>
      <c r="I11" s="15" t="s">
        <v>85</v>
      </c>
      <c r="J11" s="117"/>
      <c r="K11" s="118">
        <f>H11</f>
        <v>25526.800000000003</v>
      </c>
      <c r="M11" s="116" t="s">
        <v>21</v>
      </c>
      <c r="N11" t="s">
        <v>77</v>
      </c>
      <c r="P11" s="97">
        <v>1</v>
      </c>
      <c r="Q11" s="8" t="s">
        <v>70</v>
      </c>
      <c r="R11" s="97">
        <f>T10</f>
        <v>25526.800000000003</v>
      </c>
      <c r="S11" s="15">
        <f>P11*R11</f>
        <v>25526.800000000003</v>
      </c>
      <c r="T11" s="15" t="s">
        <v>85</v>
      </c>
      <c r="U11" s="117"/>
      <c r="V11" s="118">
        <f>S11</f>
        <v>25526.800000000003</v>
      </c>
      <c r="W11" s="146">
        <f>V11/V27</f>
        <v>4.2334305095668E-3</v>
      </c>
      <c r="X11" s="135" t="s">
        <v>202</v>
      </c>
    </row>
    <row r="12" spans="2:24" x14ac:dyDescent="0.25">
      <c r="B12" s="116" t="s">
        <v>25</v>
      </c>
      <c r="C12" t="s">
        <v>34</v>
      </c>
      <c r="E12" s="8"/>
      <c r="F12" s="8"/>
      <c r="G12" s="15"/>
      <c r="H12" s="15"/>
      <c r="I12" s="15"/>
      <c r="J12" s="117"/>
      <c r="K12" s="118"/>
      <c r="M12" s="116" t="s">
        <v>25</v>
      </c>
      <c r="N12" t="s">
        <v>34</v>
      </c>
      <c r="P12" s="8"/>
      <c r="Q12" s="8"/>
      <c r="R12" s="15"/>
      <c r="S12" s="15"/>
      <c r="T12" s="15"/>
      <c r="U12" s="117"/>
      <c r="V12" s="118"/>
    </row>
    <row r="13" spans="2:24" x14ac:dyDescent="0.25">
      <c r="B13" s="58"/>
      <c r="C13" t="s">
        <v>5</v>
      </c>
      <c r="D13" t="s">
        <v>104</v>
      </c>
      <c r="E13" s="106"/>
      <c r="F13" s="8" t="s">
        <v>69</v>
      </c>
      <c r="G13" s="104">
        <v>0</v>
      </c>
      <c r="H13" s="15" t="s">
        <v>170</v>
      </c>
      <c r="I13" s="15" t="s">
        <v>170</v>
      </c>
      <c r="J13" s="117"/>
      <c r="K13" s="118" t="str">
        <f>H13</f>
        <v>N/A</v>
      </c>
      <c r="M13" s="58"/>
      <c r="N13" t="s">
        <v>5</v>
      </c>
      <c r="O13" t="s">
        <v>104</v>
      </c>
      <c r="P13" s="106"/>
      <c r="Q13" s="8" t="s">
        <v>69</v>
      </c>
      <c r="R13" s="104">
        <v>0</v>
      </c>
      <c r="S13" s="15" t="s">
        <v>170</v>
      </c>
      <c r="T13" s="15" t="s">
        <v>170</v>
      </c>
      <c r="U13" s="117"/>
      <c r="V13" s="118" t="str">
        <f>S13</f>
        <v>N/A</v>
      </c>
    </row>
    <row r="14" spans="2:24" x14ac:dyDescent="0.25">
      <c r="B14" s="58"/>
      <c r="C14" t="s">
        <v>6</v>
      </c>
      <c r="D14" t="s">
        <v>35</v>
      </c>
      <c r="E14" s="97">
        <f>175*8760+(600*0.7457*8760)</f>
        <v>5452399.2000000002</v>
      </c>
      <c r="F14" s="8" t="s">
        <v>159</v>
      </c>
      <c r="G14" s="107">
        <v>0.20499999999999999</v>
      </c>
      <c r="H14" s="15">
        <f>E14*G14</f>
        <v>1117741.8359999999</v>
      </c>
      <c r="I14" s="15" t="s">
        <v>85</v>
      </c>
      <c r="J14" s="117"/>
      <c r="K14" s="118">
        <f>H14</f>
        <v>1117741.8359999999</v>
      </c>
      <c r="M14" s="58"/>
      <c r="N14" t="s">
        <v>6</v>
      </c>
      <c r="O14" t="s">
        <v>35</v>
      </c>
      <c r="P14" s="97">
        <f>175*8760+(600*0.7457*8760)</f>
        <v>5452399.2000000002</v>
      </c>
      <c r="Q14" s="8" t="s">
        <v>159</v>
      </c>
      <c r="R14" s="107">
        <v>0.20499999999999999</v>
      </c>
      <c r="S14" s="15">
        <f>P14*R14</f>
        <v>1117741.8359999999</v>
      </c>
      <c r="T14" s="15" t="s">
        <v>85</v>
      </c>
      <c r="U14" s="117"/>
      <c r="V14" s="118">
        <f>S14</f>
        <v>1117741.8359999999</v>
      </c>
    </row>
    <row r="15" spans="2:24" x14ac:dyDescent="0.25">
      <c r="B15" s="116"/>
      <c r="C15" t="s">
        <v>7</v>
      </c>
      <c r="D15" t="s">
        <v>93</v>
      </c>
      <c r="E15" s="97">
        <f>17*60*8760/1000</f>
        <v>8935.2000000000007</v>
      </c>
      <c r="F15" s="8" t="s">
        <v>151</v>
      </c>
      <c r="G15" s="104">
        <v>11.3</v>
      </c>
      <c r="H15" s="15">
        <f>E15*G15</f>
        <v>100967.76000000001</v>
      </c>
      <c r="I15" s="15" t="s">
        <v>85</v>
      </c>
      <c r="J15" s="117"/>
      <c r="K15" s="118">
        <f>H15</f>
        <v>100967.76000000001</v>
      </c>
      <c r="M15" s="116"/>
      <c r="N15" t="s">
        <v>7</v>
      </c>
      <c r="O15" t="s">
        <v>93</v>
      </c>
      <c r="P15" s="97">
        <f>17*60*8760/1000</f>
        <v>8935.2000000000007</v>
      </c>
      <c r="Q15" s="8" t="s">
        <v>151</v>
      </c>
      <c r="R15" s="104">
        <v>11.3</v>
      </c>
      <c r="S15" s="15">
        <f>P15*R15</f>
        <v>100967.76000000001</v>
      </c>
      <c r="T15" s="15" t="s">
        <v>85</v>
      </c>
      <c r="U15" s="117"/>
      <c r="V15" s="118">
        <f>S15</f>
        <v>100967.76000000001</v>
      </c>
    </row>
    <row r="16" spans="2:24" x14ac:dyDescent="0.25">
      <c r="B16" s="119"/>
      <c r="C16" s="120"/>
      <c r="E16" s="121"/>
      <c r="F16" s="9"/>
      <c r="G16" s="117"/>
      <c r="H16" s="15"/>
      <c r="I16" s="122"/>
      <c r="J16" s="15"/>
      <c r="K16" s="118"/>
      <c r="M16" s="119"/>
      <c r="N16" s="120"/>
      <c r="P16" s="121"/>
      <c r="Q16" s="9"/>
      <c r="R16" s="117"/>
      <c r="S16" s="15"/>
      <c r="T16" s="122"/>
      <c r="U16" s="15"/>
      <c r="V16" s="118"/>
    </row>
    <row r="17" spans="2:22" x14ac:dyDescent="0.25">
      <c r="B17" s="123" t="s">
        <v>36</v>
      </c>
      <c r="C17" s="82"/>
      <c r="D17" s="83"/>
      <c r="E17" s="84"/>
      <c r="F17" s="85"/>
      <c r="G17" s="86"/>
      <c r="H17" s="75"/>
      <c r="I17" s="87"/>
      <c r="J17" s="88" t="s">
        <v>56</v>
      </c>
      <c r="K17" s="124">
        <f>SUM(K8:K15)</f>
        <v>1704896.956</v>
      </c>
      <c r="M17" s="123" t="s">
        <v>36</v>
      </c>
      <c r="N17" s="82"/>
      <c r="O17" s="83"/>
      <c r="P17" s="84"/>
      <c r="Q17" s="85"/>
      <c r="R17" s="86"/>
      <c r="S17" s="75"/>
      <c r="T17" s="87"/>
      <c r="U17" s="88" t="s">
        <v>56</v>
      </c>
      <c r="V17" s="124">
        <f>SUM(V8:V15)</f>
        <v>1704896.956</v>
      </c>
    </row>
    <row r="18" spans="2:22" x14ac:dyDescent="0.25">
      <c r="B18" s="58"/>
      <c r="C18" s="120"/>
      <c r="E18" s="8"/>
      <c r="G18" s="15"/>
      <c r="H18" s="15"/>
      <c r="I18" s="122"/>
      <c r="J18" s="125"/>
      <c r="K18" s="118"/>
      <c r="M18" s="58"/>
      <c r="N18" s="120"/>
      <c r="P18" s="8"/>
      <c r="R18" s="15"/>
      <c r="S18" s="15"/>
      <c r="T18" s="122"/>
      <c r="U18" s="125"/>
      <c r="V18" s="118"/>
    </row>
    <row r="19" spans="2:22" ht="15.75" x14ac:dyDescent="0.25">
      <c r="B19" s="126" t="s">
        <v>37</v>
      </c>
      <c r="C19" s="18"/>
      <c r="E19" s="8"/>
      <c r="F19" s="8"/>
      <c r="G19" s="15"/>
      <c r="H19" s="15"/>
      <c r="I19" s="15"/>
      <c r="J19" s="15"/>
      <c r="K19" s="118"/>
      <c r="M19" s="126" t="s">
        <v>37</v>
      </c>
      <c r="N19" s="18"/>
      <c r="P19" s="8"/>
      <c r="Q19" s="8"/>
      <c r="R19" s="15"/>
      <c r="S19" s="15"/>
      <c r="T19" s="15"/>
      <c r="U19" s="15"/>
      <c r="V19" s="118"/>
    </row>
    <row r="20" spans="2:22" x14ac:dyDescent="0.25">
      <c r="B20" s="116" t="s">
        <v>27</v>
      </c>
      <c r="C20" t="s">
        <v>38</v>
      </c>
      <c r="E20" s="81">
        <v>0.01</v>
      </c>
      <c r="F20" s="8" t="s">
        <v>75</v>
      </c>
      <c r="G20" s="8"/>
      <c r="H20" s="15"/>
      <c r="I20" s="15">
        <f>E20*'Total Capital Investment'!K56</f>
        <v>325058.14990308374</v>
      </c>
      <c r="J20" s="117"/>
      <c r="K20" s="118">
        <f>I20</f>
        <v>325058.14990308374</v>
      </c>
      <c r="M20" s="116" t="s">
        <v>27</v>
      </c>
      <c r="N20" t="s">
        <v>38</v>
      </c>
      <c r="P20" s="81">
        <v>0.01</v>
      </c>
      <c r="Q20" s="8" t="s">
        <v>75</v>
      </c>
      <c r="R20" s="8"/>
      <c r="S20" s="15"/>
      <c r="T20" s="15">
        <f>P20*'Total Capital Investment'!V56</f>
        <v>325058.14990308374</v>
      </c>
      <c r="U20" s="117"/>
      <c r="V20" s="118">
        <f>T20</f>
        <v>325058.14990308374</v>
      </c>
    </row>
    <row r="21" spans="2:22" x14ac:dyDescent="0.25">
      <c r="B21" s="116" t="s">
        <v>141</v>
      </c>
      <c r="C21" t="s">
        <v>155</v>
      </c>
      <c r="E21" s="98">
        <v>0.03</v>
      </c>
      <c r="F21" s="8" t="s">
        <v>88</v>
      </c>
      <c r="G21" s="8"/>
      <c r="H21" s="15"/>
      <c r="I21" s="15">
        <f>E21*'Total Capital Investment'!K56</f>
        <v>975174.44970925117</v>
      </c>
      <c r="J21" s="117"/>
      <c r="K21" s="118">
        <f>I21</f>
        <v>975174.44970925117</v>
      </c>
      <c r="M21" s="116" t="s">
        <v>141</v>
      </c>
      <c r="N21" t="s">
        <v>155</v>
      </c>
      <c r="P21" s="98">
        <v>0.03</v>
      </c>
      <c r="Q21" s="8" t="s">
        <v>88</v>
      </c>
      <c r="R21" s="8"/>
      <c r="S21" s="15"/>
      <c r="T21" s="15">
        <f>P21*'Total Capital Investment'!V56</f>
        <v>975174.44970925117</v>
      </c>
      <c r="U21" s="117"/>
      <c r="V21" s="118">
        <f>T21</f>
        <v>975174.44970925117</v>
      </c>
    </row>
    <row r="22" spans="2:22" x14ac:dyDescent="0.25">
      <c r="B22" s="116" t="s">
        <v>143</v>
      </c>
      <c r="C22" t="s">
        <v>82</v>
      </c>
      <c r="E22" s="121">
        <f>($E$31/100*POWER((1+($E$31/100)),$E$32))/((POWER(((1+$E$31/100)),$E$32))-1)</f>
        <v>8.467123576763981E-2</v>
      </c>
      <c r="F22" s="8"/>
      <c r="G22" s="15"/>
      <c r="H22" s="15"/>
      <c r="I22" s="15"/>
      <c r="J22" s="117"/>
      <c r="K22" s="127"/>
      <c r="M22" s="116" t="s">
        <v>143</v>
      </c>
      <c r="N22" t="s">
        <v>82</v>
      </c>
      <c r="P22" s="121">
        <f>($P$31/100*POWER((1+($P$31/100)),$P$32))/((POWER(((1+$P$31/100)),$P$32))-1)</f>
        <v>9.3050575311267647E-2</v>
      </c>
      <c r="Q22" s="8"/>
      <c r="R22" s="15"/>
      <c r="S22" s="15"/>
      <c r="T22" s="15"/>
      <c r="U22" s="117"/>
      <c r="V22" s="127"/>
    </row>
    <row r="23" spans="2:22" x14ac:dyDescent="0.25">
      <c r="B23" s="116" t="s">
        <v>40</v>
      </c>
      <c r="C23" t="s">
        <v>39</v>
      </c>
      <c r="G23" s="15"/>
      <c r="H23" s="128"/>
      <c r="I23" s="15"/>
      <c r="J23" s="129" t="s">
        <v>55</v>
      </c>
      <c r="K23" s="118">
        <f>E22*'Total Capital Investment'!K56</f>
        <v>2752307.5248636808</v>
      </c>
      <c r="M23" s="116" t="s">
        <v>40</v>
      </c>
      <c r="N23" t="s">
        <v>39</v>
      </c>
      <c r="R23" s="15"/>
      <c r="S23" s="128"/>
      <c r="T23" s="15"/>
      <c r="U23" s="129" t="s">
        <v>55</v>
      </c>
      <c r="V23" s="118">
        <f>P22*'Total Capital Investment'!V56</f>
        <v>3024684.7858098224</v>
      </c>
    </row>
    <row r="24" spans="2:22" x14ac:dyDescent="0.25">
      <c r="B24" s="58"/>
      <c r="E24" s="8"/>
      <c r="G24" s="15"/>
      <c r="H24" s="15"/>
      <c r="I24" s="15"/>
      <c r="J24" s="15"/>
      <c r="K24" s="118"/>
      <c r="M24" s="58"/>
      <c r="P24" s="8"/>
      <c r="R24" s="15"/>
      <c r="S24" s="15"/>
      <c r="T24" s="15"/>
      <c r="U24" s="15"/>
      <c r="V24" s="118"/>
    </row>
    <row r="25" spans="2:22" x14ac:dyDescent="0.25">
      <c r="B25" s="123" t="s">
        <v>41</v>
      </c>
      <c r="C25" s="82"/>
      <c r="D25" s="89"/>
      <c r="E25" s="90"/>
      <c r="F25" s="89"/>
      <c r="G25" s="87"/>
      <c r="H25" s="75"/>
      <c r="I25" s="87"/>
      <c r="J25" s="88" t="s">
        <v>57</v>
      </c>
      <c r="K25" s="124">
        <f>SUM(K20:K23)</f>
        <v>4052540.1244760156</v>
      </c>
      <c r="M25" s="123" t="s">
        <v>41</v>
      </c>
      <c r="N25" s="82"/>
      <c r="O25" s="89"/>
      <c r="P25" s="90"/>
      <c r="Q25" s="89"/>
      <c r="R25" s="87"/>
      <c r="S25" s="75"/>
      <c r="T25" s="87"/>
      <c r="U25" s="88" t="s">
        <v>57</v>
      </c>
      <c r="V25" s="124">
        <f>SUM(V20:V23)</f>
        <v>4324917.3854221571</v>
      </c>
    </row>
    <row r="26" spans="2:22" x14ac:dyDescent="0.25">
      <c r="B26" s="130"/>
      <c r="C26" s="131"/>
      <c r="E26" s="8"/>
      <c r="G26" s="15"/>
      <c r="H26" s="15"/>
      <c r="I26" s="15"/>
      <c r="J26" s="15"/>
      <c r="K26" s="118"/>
      <c r="M26" s="130"/>
      <c r="N26" s="131"/>
      <c r="P26" s="8"/>
      <c r="R26" s="15"/>
      <c r="S26" s="15"/>
      <c r="T26" s="15"/>
      <c r="U26" s="15"/>
      <c r="V26" s="118"/>
    </row>
    <row r="27" spans="2:22" ht="16.5" thickBot="1" x14ac:dyDescent="0.3">
      <c r="B27" s="148" t="s">
        <v>46</v>
      </c>
      <c r="C27" s="149"/>
      <c r="D27" s="150"/>
      <c r="E27" s="102"/>
      <c r="F27" s="150"/>
      <c r="G27" s="151"/>
      <c r="H27" s="152"/>
      <c r="I27" s="151"/>
      <c r="J27" s="153" t="s">
        <v>58</v>
      </c>
      <c r="K27" s="154">
        <f>K17+K25</f>
        <v>5757437.0804760158</v>
      </c>
      <c r="M27" s="148" t="s">
        <v>46</v>
      </c>
      <c r="N27" s="149"/>
      <c r="O27" s="150"/>
      <c r="P27" s="102"/>
      <c r="Q27" s="150"/>
      <c r="R27" s="151"/>
      <c r="S27" s="152"/>
      <c r="T27" s="151"/>
      <c r="U27" s="153" t="s">
        <v>58</v>
      </c>
      <c r="V27" s="154">
        <f>V17+V25</f>
        <v>6029814.3414221574</v>
      </c>
    </row>
    <row r="28" spans="2:22" ht="15.75" thickBot="1" x14ac:dyDescent="0.3">
      <c r="B28" s="157" t="s">
        <v>210</v>
      </c>
      <c r="C28" s="155"/>
      <c r="D28" s="155"/>
      <c r="E28" s="155"/>
      <c r="F28" s="155"/>
      <c r="G28" s="155"/>
      <c r="H28" s="155"/>
      <c r="I28" s="158" t="s">
        <v>211</v>
      </c>
      <c r="J28" s="158"/>
      <c r="K28" s="159">
        <f>K27/K32</f>
        <v>55585.392071500886</v>
      </c>
      <c r="M28" s="157" t="s">
        <v>210</v>
      </c>
      <c r="N28" s="155"/>
      <c r="O28" s="155"/>
      <c r="P28" s="155"/>
      <c r="Q28" s="155"/>
      <c r="R28" s="155"/>
      <c r="S28" s="155"/>
      <c r="T28" s="158" t="s">
        <v>211</v>
      </c>
      <c r="U28" s="158"/>
      <c r="V28" s="160">
        <f>V27/V32</f>
        <v>58215.068545499111</v>
      </c>
    </row>
    <row r="29" spans="2:22" ht="15.75" thickBot="1" x14ac:dyDescent="0.3"/>
    <row r="30" spans="2:22" x14ac:dyDescent="0.25">
      <c r="D30" s="55" t="s">
        <v>83</v>
      </c>
      <c r="E30" s="56"/>
      <c r="F30" s="57"/>
      <c r="G30" s="12"/>
      <c r="I30" t="s">
        <v>212</v>
      </c>
      <c r="K30" s="156">
        <f>0.1*295.6*8760/2000</f>
        <v>129.47280000000001</v>
      </c>
      <c r="O30" s="55" t="s">
        <v>83</v>
      </c>
      <c r="P30" s="56"/>
      <c r="Q30" s="57"/>
      <c r="R30" s="12"/>
      <c r="T30" t="s">
        <v>212</v>
      </c>
      <c r="V30" s="156">
        <f>0.1*295.6*8760/2000</f>
        <v>129.47280000000001</v>
      </c>
    </row>
    <row r="31" spans="2:22" x14ac:dyDescent="0.25">
      <c r="D31" s="58" t="s">
        <v>86</v>
      </c>
      <c r="E31" s="79">
        <v>7.5</v>
      </c>
      <c r="F31" s="59" t="s">
        <v>75</v>
      </c>
      <c r="I31" t="s">
        <v>213</v>
      </c>
      <c r="K31" s="156">
        <f>295.6*0.02*8760/2000</f>
        <v>25.894560000000006</v>
      </c>
      <c r="O31" s="58" t="s">
        <v>86</v>
      </c>
      <c r="P31" s="79">
        <v>8.5</v>
      </c>
      <c r="Q31" s="59" t="s">
        <v>75</v>
      </c>
      <c r="T31" t="s">
        <v>213</v>
      </c>
      <c r="V31" s="156">
        <f>295.6*0.02*8760/2000</f>
        <v>25.894560000000006</v>
      </c>
    </row>
    <row r="32" spans="2:22" ht="15.75" thickBot="1" x14ac:dyDescent="0.3">
      <c r="D32" s="60" t="s">
        <v>87</v>
      </c>
      <c r="E32" s="80">
        <v>30</v>
      </c>
      <c r="F32" s="61" t="s">
        <v>76</v>
      </c>
      <c r="I32" t="s">
        <v>214</v>
      </c>
      <c r="K32" s="156">
        <f>K30-K31</f>
        <v>103.57823999999999</v>
      </c>
      <c r="O32" s="60" t="s">
        <v>87</v>
      </c>
      <c r="P32" s="80">
        <v>30</v>
      </c>
      <c r="Q32" s="61" t="s">
        <v>76</v>
      </c>
      <c r="T32" t="s">
        <v>214</v>
      </c>
      <c r="V32" s="156">
        <f>V30-V31</f>
        <v>103.57823999999999</v>
      </c>
    </row>
    <row r="35" spans="2:27" x14ac:dyDescent="0.25">
      <c r="B35" s="174" t="s">
        <v>145</v>
      </c>
      <c r="C35" s="176"/>
      <c r="D35" s="175"/>
      <c r="E35" s="174" t="s">
        <v>146</v>
      </c>
      <c r="F35" s="175"/>
      <c r="G35" s="174" t="s">
        <v>181</v>
      </c>
      <c r="H35" s="176"/>
      <c r="I35" s="176"/>
      <c r="J35" s="176"/>
      <c r="K35" s="175"/>
      <c r="M35" s="174" t="s">
        <v>145</v>
      </c>
      <c r="N35" s="176"/>
      <c r="O35" s="175"/>
      <c r="P35" s="174" t="s">
        <v>146</v>
      </c>
      <c r="Q35" s="175"/>
      <c r="R35" s="174" t="s">
        <v>181</v>
      </c>
      <c r="S35" s="176"/>
      <c r="T35" s="176"/>
      <c r="U35" s="176"/>
      <c r="V35" s="175"/>
      <c r="W35" s="174" t="s">
        <v>182</v>
      </c>
      <c r="X35" s="176"/>
      <c r="Y35" s="176"/>
      <c r="Z35" s="176"/>
      <c r="AA35" s="175"/>
    </row>
    <row r="36" spans="2:27" ht="62.25" customHeight="1" x14ac:dyDescent="0.25">
      <c r="B36" s="186" t="s">
        <v>137</v>
      </c>
      <c r="C36" s="187"/>
      <c r="D36" s="188"/>
      <c r="E36" s="172" t="s">
        <v>134</v>
      </c>
      <c r="F36" s="172"/>
      <c r="G36" s="180" t="s">
        <v>152</v>
      </c>
      <c r="H36" s="181"/>
      <c r="I36" s="181"/>
      <c r="J36" s="181"/>
      <c r="K36" s="182"/>
      <c r="M36" s="186" t="s">
        <v>137</v>
      </c>
      <c r="N36" s="187"/>
      <c r="O36" s="188"/>
      <c r="P36" s="172" t="s">
        <v>134</v>
      </c>
      <c r="Q36" s="172"/>
      <c r="R36" s="180" t="s">
        <v>152</v>
      </c>
      <c r="S36" s="181"/>
      <c r="T36" s="181"/>
      <c r="U36" s="181"/>
      <c r="V36" s="182"/>
      <c r="W36" s="192" t="s">
        <v>205</v>
      </c>
      <c r="X36" s="193"/>
      <c r="Y36" s="193"/>
      <c r="Z36" s="193"/>
      <c r="AA36" s="194"/>
    </row>
    <row r="37" spans="2:27" ht="56.25" customHeight="1" x14ac:dyDescent="0.25">
      <c r="B37" s="186" t="s">
        <v>107</v>
      </c>
      <c r="C37" s="187"/>
      <c r="D37" s="188"/>
      <c r="E37" s="170" t="s">
        <v>108</v>
      </c>
      <c r="F37" s="170"/>
      <c r="G37" s="180" t="s">
        <v>168</v>
      </c>
      <c r="H37" s="181"/>
      <c r="I37" s="181"/>
      <c r="J37" s="181"/>
      <c r="K37" s="182"/>
      <c r="M37" s="186" t="s">
        <v>107</v>
      </c>
      <c r="N37" s="187"/>
      <c r="O37" s="188"/>
      <c r="P37" s="170" t="s">
        <v>108</v>
      </c>
      <c r="Q37" s="170"/>
      <c r="R37" s="180" t="s">
        <v>168</v>
      </c>
      <c r="S37" s="181"/>
      <c r="T37" s="181"/>
      <c r="U37" s="181"/>
      <c r="V37" s="182"/>
      <c r="W37" s="192" t="s">
        <v>201</v>
      </c>
      <c r="X37" s="193"/>
      <c r="Y37" s="193"/>
      <c r="Z37" s="193"/>
      <c r="AA37" s="194"/>
    </row>
    <row r="38" spans="2:27" ht="31.5" customHeight="1" x14ac:dyDescent="0.25">
      <c r="B38" s="186" t="s">
        <v>171</v>
      </c>
      <c r="C38" s="187"/>
      <c r="D38" s="188"/>
      <c r="E38" s="170" t="s">
        <v>173</v>
      </c>
      <c r="F38" s="170"/>
      <c r="G38" s="180" t="s">
        <v>172</v>
      </c>
      <c r="H38" s="181"/>
      <c r="I38" s="181"/>
      <c r="J38" s="181"/>
      <c r="K38" s="182"/>
      <c r="M38" s="186" t="s">
        <v>171</v>
      </c>
      <c r="N38" s="187"/>
      <c r="O38" s="188"/>
      <c r="P38" s="170" t="s">
        <v>173</v>
      </c>
      <c r="Q38" s="170"/>
      <c r="R38" s="180" t="s">
        <v>172</v>
      </c>
      <c r="S38" s="181"/>
      <c r="T38" s="181"/>
      <c r="U38" s="181"/>
      <c r="V38" s="182"/>
      <c r="W38" s="192" t="s">
        <v>170</v>
      </c>
      <c r="X38" s="193"/>
      <c r="Y38" s="193"/>
      <c r="Z38" s="193"/>
      <c r="AA38" s="194"/>
    </row>
    <row r="39" spans="2:27" ht="51" customHeight="1" x14ac:dyDescent="0.25">
      <c r="B39" s="186" t="s">
        <v>138</v>
      </c>
      <c r="C39" s="187"/>
      <c r="D39" s="188"/>
      <c r="E39" s="170" t="s">
        <v>109</v>
      </c>
      <c r="F39" s="170"/>
      <c r="G39" s="180" t="s">
        <v>153</v>
      </c>
      <c r="H39" s="181"/>
      <c r="I39" s="181"/>
      <c r="J39" s="181"/>
      <c r="K39" s="182"/>
      <c r="M39" s="186" t="s">
        <v>138</v>
      </c>
      <c r="N39" s="187"/>
      <c r="O39" s="188"/>
      <c r="P39" s="170" t="s">
        <v>109</v>
      </c>
      <c r="Q39" s="170"/>
      <c r="R39" s="180" t="s">
        <v>153</v>
      </c>
      <c r="S39" s="181"/>
      <c r="T39" s="181"/>
      <c r="U39" s="181"/>
      <c r="V39" s="182"/>
      <c r="W39" s="192" t="s">
        <v>207</v>
      </c>
      <c r="X39" s="193"/>
      <c r="Y39" s="193"/>
      <c r="Z39" s="193"/>
      <c r="AA39" s="194"/>
    </row>
    <row r="40" spans="2:27" ht="37.5" customHeight="1" x14ac:dyDescent="0.25">
      <c r="B40" s="186" t="s">
        <v>139</v>
      </c>
      <c r="C40" s="187"/>
      <c r="D40" s="188"/>
      <c r="E40" s="170" t="s">
        <v>135</v>
      </c>
      <c r="F40" s="170"/>
      <c r="G40" s="180" t="s">
        <v>136</v>
      </c>
      <c r="H40" s="181"/>
      <c r="I40" s="181"/>
      <c r="J40" s="181"/>
      <c r="K40" s="182"/>
      <c r="M40" s="186" t="s">
        <v>139</v>
      </c>
      <c r="N40" s="187"/>
      <c r="O40" s="188"/>
      <c r="P40" s="170" t="s">
        <v>135</v>
      </c>
      <c r="Q40" s="170"/>
      <c r="R40" s="180" t="s">
        <v>136</v>
      </c>
      <c r="S40" s="181"/>
      <c r="T40" s="181"/>
      <c r="U40" s="181"/>
      <c r="V40" s="182"/>
      <c r="W40" s="192" t="s">
        <v>204</v>
      </c>
      <c r="X40" s="193"/>
      <c r="Y40" s="193"/>
      <c r="Z40" s="193"/>
      <c r="AA40" s="194"/>
    </row>
    <row r="41" spans="2:27" ht="67.5" customHeight="1" x14ac:dyDescent="0.25">
      <c r="B41" s="186" t="s">
        <v>140</v>
      </c>
      <c r="C41" s="187"/>
      <c r="D41" s="188"/>
      <c r="E41" s="170" t="s">
        <v>38</v>
      </c>
      <c r="F41" s="170"/>
      <c r="G41" s="180" t="s">
        <v>110</v>
      </c>
      <c r="H41" s="181"/>
      <c r="I41" s="181"/>
      <c r="J41" s="181"/>
      <c r="K41" s="182"/>
      <c r="M41" s="186" t="s">
        <v>140</v>
      </c>
      <c r="N41" s="187"/>
      <c r="O41" s="188"/>
      <c r="P41" s="170" t="s">
        <v>38</v>
      </c>
      <c r="Q41" s="170"/>
      <c r="R41" s="180" t="s">
        <v>110</v>
      </c>
      <c r="S41" s="181"/>
      <c r="T41" s="181"/>
      <c r="U41" s="181"/>
      <c r="V41" s="182"/>
      <c r="W41" s="192" t="s">
        <v>206</v>
      </c>
      <c r="X41" s="193"/>
      <c r="Y41" s="193"/>
      <c r="Z41" s="193"/>
      <c r="AA41" s="194"/>
    </row>
    <row r="42" spans="2:27" ht="15" customHeight="1" x14ac:dyDescent="0.25">
      <c r="B42" s="186" t="s">
        <v>142</v>
      </c>
      <c r="C42" s="187"/>
      <c r="D42" s="188"/>
      <c r="E42" s="170" t="s">
        <v>111</v>
      </c>
      <c r="F42" s="170"/>
      <c r="G42" s="180" t="s">
        <v>110</v>
      </c>
      <c r="H42" s="181"/>
      <c r="I42" s="181"/>
      <c r="J42" s="181"/>
      <c r="K42" s="182"/>
      <c r="M42" s="186" t="s">
        <v>142</v>
      </c>
      <c r="N42" s="187"/>
      <c r="O42" s="188"/>
      <c r="P42" s="170" t="s">
        <v>111</v>
      </c>
      <c r="Q42" s="170"/>
      <c r="R42" s="180" t="s">
        <v>110</v>
      </c>
      <c r="S42" s="181"/>
      <c r="T42" s="181"/>
      <c r="U42" s="181"/>
      <c r="V42" s="182"/>
      <c r="W42" s="192" t="s">
        <v>204</v>
      </c>
      <c r="X42" s="193"/>
      <c r="Y42" s="193"/>
      <c r="Z42" s="193"/>
      <c r="AA42" s="194"/>
    </row>
    <row r="43" spans="2:27" ht="42" customHeight="1" x14ac:dyDescent="0.25">
      <c r="B43" s="186" t="s">
        <v>144</v>
      </c>
      <c r="C43" s="187"/>
      <c r="D43" s="188"/>
      <c r="E43" s="170" t="s">
        <v>112</v>
      </c>
      <c r="F43" s="170"/>
      <c r="G43" s="180" t="s">
        <v>113</v>
      </c>
      <c r="H43" s="181"/>
      <c r="I43" s="181"/>
      <c r="J43" s="181"/>
      <c r="K43" s="182"/>
      <c r="M43" s="186" t="s">
        <v>144</v>
      </c>
      <c r="N43" s="187"/>
      <c r="O43" s="188"/>
      <c r="P43" s="170" t="s">
        <v>112</v>
      </c>
      <c r="Q43" s="170"/>
      <c r="R43" s="180" t="s">
        <v>113</v>
      </c>
      <c r="S43" s="181"/>
      <c r="T43" s="181"/>
      <c r="U43" s="181"/>
      <c r="V43" s="182"/>
      <c r="W43" s="192" t="s">
        <v>203</v>
      </c>
      <c r="X43" s="193"/>
      <c r="Y43" s="193"/>
      <c r="Z43" s="193"/>
      <c r="AA43" s="194"/>
    </row>
    <row r="44" spans="2:27" ht="15" customHeight="1" x14ac:dyDescent="0.25">
      <c r="B44" s="186" t="s">
        <v>133</v>
      </c>
      <c r="C44" s="187"/>
      <c r="D44" s="188"/>
      <c r="E44" s="170" t="s">
        <v>39</v>
      </c>
      <c r="F44" s="170"/>
      <c r="G44" s="180" t="s">
        <v>114</v>
      </c>
      <c r="H44" s="181"/>
      <c r="I44" s="181"/>
      <c r="J44" s="181"/>
      <c r="K44" s="182"/>
      <c r="M44" s="186" t="s">
        <v>133</v>
      </c>
      <c r="N44" s="187"/>
      <c r="O44" s="188"/>
      <c r="P44" s="170" t="s">
        <v>39</v>
      </c>
      <c r="Q44" s="170"/>
      <c r="R44" s="180" t="s">
        <v>114</v>
      </c>
      <c r="S44" s="181"/>
      <c r="T44" s="181"/>
      <c r="U44" s="181"/>
      <c r="V44" s="182"/>
      <c r="W44" s="192" t="s">
        <v>204</v>
      </c>
      <c r="X44" s="193"/>
      <c r="Y44" s="193"/>
      <c r="Z44" s="193"/>
      <c r="AA44" s="194"/>
    </row>
    <row r="45" spans="2:27" x14ac:dyDescent="0.25">
      <c r="B45" s="186" t="s">
        <v>86</v>
      </c>
      <c r="C45" s="187"/>
      <c r="D45" s="188"/>
      <c r="E45" s="170" t="s">
        <v>115</v>
      </c>
      <c r="F45" s="170"/>
      <c r="G45" s="189" t="s">
        <v>156</v>
      </c>
      <c r="H45" s="190"/>
      <c r="I45" s="190"/>
      <c r="J45" s="190"/>
      <c r="K45" s="191"/>
      <c r="M45" s="186" t="s">
        <v>86</v>
      </c>
      <c r="N45" s="187"/>
      <c r="O45" s="188"/>
      <c r="P45" s="170" t="s">
        <v>115</v>
      </c>
      <c r="Q45" s="170"/>
      <c r="R45" s="189" t="s">
        <v>156</v>
      </c>
      <c r="S45" s="190"/>
      <c r="T45" s="190"/>
      <c r="U45" s="190"/>
      <c r="V45" s="191"/>
      <c r="W45" s="192" t="s">
        <v>204</v>
      </c>
      <c r="X45" s="193"/>
      <c r="Y45" s="193"/>
      <c r="Z45" s="193"/>
      <c r="AA45" s="194"/>
    </row>
    <row r="46" spans="2:27" x14ac:dyDescent="0.25">
      <c r="B46" s="186" t="s">
        <v>87</v>
      </c>
      <c r="C46" s="187"/>
      <c r="D46" s="188"/>
      <c r="E46" s="170" t="s">
        <v>116</v>
      </c>
      <c r="F46" s="170"/>
      <c r="G46" s="189" t="s">
        <v>117</v>
      </c>
      <c r="H46" s="190"/>
      <c r="I46" s="190"/>
      <c r="J46" s="190"/>
      <c r="K46" s="191"/>
      <c r="M46" s="186" t="s">
        <v>87</v>
      </c>
      <c r="N46" s="187"/>
      <c r="O46" s="188"/>
      <c r="P46" s="170" t="s">
        <v>116</v>
      </c>
      <c r="Q46" s="170"/>
      <c r="R46" s="189" t="s">
        <v>117</v>
      </c>
      <c r="S46" s="190"/>
      <c r="T46" s="190"/>
      <c r="U46" s="190"/>
      <c r="V46" s="191"/>
      <c r="W46" s="192" t="s">
        <v>204</v>
      </c>
      <c r="X46" s="193"/>
      <c r="Y46" s="193"/>
      <c r="Z46" s="193"/>
      <c r="AA46" s="194"/>
    </row>
  </sheetData>
  <mergeCells count="87">
    <mergeCell ref="R45:V45"/>
    <mergeCell ref="M46:O46"/>
    <mergeCell ref="P46:Q46"/>
    <mergeCell ref="R46:V46"/>
    <mergeCell ref="R42:V42"/>
    <mergeCell ref="M43:O43"/>
    <mergeCell ref="P43:Q43"/>
    <mergeCell ref="R43:V43"/>
    <mergeCell ref="M44:O44"/>
    <mergeCell ref="P44:Q44"/>
    <mergeCell ref="R44:V44"/>
    <mergeCell ref="M42:O42"/>
    <mergeCell ref="P42:Q42"/>
    <mergeCell ref="M45:O45"/>
    <mergeCell ref="P45:Q45"/>
    <mergeCell ref="R39:V39"/>
    <mergeCell ref="M40:O40"/>
    <mergeCell ref="P40:Q40"/>
    <mergeCell ref="R40:V40"/>
    <mergeCell ref="M41:O41"/>
    <mergeCell ref="P41:Q41"/>
    <mergeCell ref="R41:V41"/>
    <mergeCell ref="P39:Q39"/>
    <mergeCell ref="W45:AA45"/>
    <mergeCell ref="W46:AA46"/>
    <mergeCell ref="M6:V6"/>
    <mergeCell ref="M35:O35"/>
    <mergeCell ref="P35:Q35"/>
    <mergeCell ref="R35:V35"/>
    <mergeCell ref="M36:O36"/>
    <mergeCell ref="P36:Q36"/>
    <mergeCell ref="R36:V36"/>
    <mergeCell ref="M37:O37"/>
    <mergeCell ref="P37:Q37"/>
    <mergeCell ref="R37:V37"/>
    <mergeCell ref="M38:O38"/>
    <mergeCell ref="P38:Q38"/>
    <mergeCell ref="R38:V38"/>
    <mergeCell ref="M39:O39"/>
    <mergeCell ref="W40:AA40"/>
    <mergeCell ref="W41:AA41"/>
    <mergeCell ref="W42:AA42"/>
    <mergeCell ref="W43:AA43"/>
    <mergeCell ref="W44:AA44"/>
    <mergeCell ref="W35:AA35"/>
    <mergeCell ref="W36:AA36"/>
    <mergeCell ref="W37:AA37"/>
    <mergeCell ref="W38:AA38"/>
    <mergeCell ref="W39:AA39"/>
    <mergeCell ref="B38:D38"/>
    <mergeCell ref="E38:F38"/>
    <mergeCell ref="G38:K38"/>
    <mergeCell ref="B39:D39"/>
    <mergeCell ref="B40:D40"/>
    <mergeCell ref="E39:F39"/>
    <mergeCell ref="B41:D41"/>
    <mergeCell ref="B46:D46"/>
    <mergeCell ref="B42:D42"/>
    <mergeCell ref="B43:D43"/>
    <mergeCell ref="B44:D44"/>
    <mergeCell ref="B45:D45"/>
    <mergeCell ref="E45:F45"/>
    <mergeCell ref="E46:F46"/>
    <mergeCell ref="E43:F43"/>
    <mergeCell ref="E44:F44"/>
    <mergeCell ref="G43:K43"/>
    <mergeCell ref="G44:K44"/>
    <mergeCell ref="G45:K45"/>
    <mergeCell ref="G46:K46"/>
    <mergeCell ref="E41:F41"/>
    <mergeCell ref="E42:F42"/>
    <mergeCell ref="G39:K39"/>
    <mergeCell ref="G41:K41"/>
    <mergeCell ref="G42:K42"/>
    <mergeCell ref="E40:F40"/>
    <mergeCell ref="G40:K40"/>
    <mergeCell ref="E37:F37"/>
    <mergeCell ref="G36:K36"/>
    <mergeCell ref="G37:K37"/>
    <mergeCell ref="B6:K6"/>
    <mergeCell ref="B36:D36"/>
    <mergeCell ref="B37:D37"/>
    <mergeCell ref="I1:K1"/>
    <mergeCell ref="E35:F35"/>
    <mergeCell ref="G35:K35"/>
    <mergeCell ref="B35:D35"/>
    <mergeCell ref="E36:F36"/>
  </mergeCells>
  <printOptions horizontalCentered="1"/>
  <pageMargins left="0.33" right="0.41" top="0.56000000000000005" bottom="0.52" header="0.3" footer="0.3"/>
  <pageSetup scale="57" orientation="portrait" r:id="rId1"/>
  <headerFooter>
    <oddFooter>&amp;LUniversity of Alaska Fairbanks
BACT Analysis&amp;R
December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08C179EEC2074C94A5872F733D36B4" ma:contentTypeVersion="16" ma:contentTypeDescription="Create a new document." ma:contentTypeScope="" ma:versionID="0f5fbe200114ef317095e8011f4b7a2d">
  <xsd:schema xmlns:xsd="http://www.w3.org/2001/XMLSchema" xmlns:xs="http://www.w3.org/2001/XMLSchema" xmlns:p="http://schemas.microsoft.com/office/2006/metadata/properties" xmlns:ns2="328188c1-2ee9-48af-ac1f-a2e00dbc8300" xmlns:ns3="e9801683-13b5-4471-b07d-4f526a8d92e6" targetNamespace="http://schemas.microsoft.com/office/2006/metadata/properties" ma:root="true" ma:fieldsID="18f240d04f6301ac98a2c5d2ac33bf3c" ns2:_="" ns3:_="">
    <xsd:import namespace="328188c1-2ee9-48af-ac1f-a2e00dbc8300"/>
    <xsd:import namespace="e9801683-13b5-4471-b07d-4f526a8d92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8188c1-2ee9-48af-ac1f-a2e00dbc83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1fff9b3-6ef6-4aa5-8852-6b1354b1ee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801683-13b5-4471-b07d-4f526a8d9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cb7ffe5-37ca-40c1-9381-711a17cdd677}" ma:internalName="TaxCatchAll" ma:showField="CatchAllData" ma:web="e9801683-13b5-4471-b07d-4f526a8d92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801683-13b5-4471-b07d-4f526a8d92e6" xsi:nil="true"/>
    <lcf76f155ced4ddcb4097134ff3c332f xmlns="328188c1-2ee9-48af-ac1f-a2e00dbc830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0CAFB4-35F2-45AB-9C30-A3D99F15D62F}"/>
</file>

<file path=customXml/itemProps2.xml><?xml version="1.0" encoding="utf-8"?>
<ds:datastoreItem xmlns:ds="http://schemas.openxmlformats.org/officeDocument/2006/customXml" ds:itemID="{549F63D3-B876-45C5-888E-EF2A1F61EB2D}"/>
</file>

<file path=customXml/itemProps3.xml><?xml version="1.0" encoding="utf-8"?>
<ds:datastoreItem xmlns:ds="http://schemas.openxmlformats.org/officeDocument/2006/customXml" ds:itemID="{2391284F-D62A-4D1C-9B46-E18E9F690B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Total Capital Investment</vt:lpstr>
      <vt:lpstr>Cost Effectiveness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2022-10-12T22:01:20Z</dcterms:created>
  <dcterms:modified xsi:type="dcterms:W3CDTF">2024-03-29T00:13:57Z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0x010100EF08C179EEC2074C94A5872F733D36B4</vt:lpwstr>
  </property>
</Properties>
</file>