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asalimi\Downloads\8202024\BACM Spreadsheets Umbraco Ready\"/>
    </mc:Choice>
  </mc:AlternateContent>
  <xr:revisionPtr revIDLastSave="0" documentId="13_ncr:1_{CCCBD618-D418-4A83-ABDA-5D119290370C}" xr6:coauthVersionLast="47" xr6:coauthVersionMax="47" xr10:uidLastSave="{00000000-0000-0000-0000-000000000000}"/>
  <bookViews>
    <workbookView xWindow="-120" yWindow="-120" windowWidth="29040" windowHeight="15840" xr2:uid="{11855C67-F2D6-484A-920A-656DD6FBA974}"/>
  </bookViews>
  <sheets>
    <sheet name="Underfired Charbroile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E68" i="1" l="1"/>
  <c r="E71" i="1" s="1"/>
  <c r="F68" i="1"/>
  <c r="F71" i="1" s="1"/>
  <c r="G68" i="1"/>
  <c r="G71" i="1" s="1"/>
  <c r="D68" i="1"/>
  <c r="D71" i="1" s="1"/>
  <c r="I72" i="1" l="1"/>
  <c r="D72" i="1" s="1"/>
  <c r="J19" i="1"/>
  <c r="I49" i="1" s="1"/>
  <c r="K19" i="1"/>
  <c r="K20" i="1"/>
  <c r="J20" i="1"/>
  <c r="G25" i="1"/>
  <c r="C58" i="1"/>
  <c r="E50" i="1" l="1"/>
  <c r="F50" i="1" s="1"/>
  <c r="G50" i="1" s="1"/>
  <c r="E55" i="1"/>
  <c r="E49" i="1"/>
  <c r="F49" i="1" s="1"/>
  <c r="G49" i="1" s="1"/>
  <c r="E51" i="1"/>
  <c r="E54" i="1"/>
  <c r="F54" i="1" s="1"/>
  <c r="G54" i="1" s="1"/>
  <c r="E56" i="1"/>
  <c r="F56" i="1" s="1"/>
  <c r="G56" i="1" s="1"/>
  <c r="E52" i="1"/>
  <c r="F52" i="1" s="1"/>
  <c r="G52" i="1" s="1"/>
  <c r="E53" i="1"/>
  <c r="F53" i="1" s="1"/>
  <c r="G53" i="1" s="1"/>
  <c r="E46" i="1"/>
  <c r="F46" i="1" s="1"/>
  <c r="E57" i="1"/>
  <c r="F57" i="1" s="1"/>
  <c r="G57" i="1" s="1"/>
  <c r="E47" i="1"/>
  <c r="F47" i="1" s="1"/>
  <c r="E48" i="1"/>
  <c r="F48" i="1" s="1"/>
  <c r="G48" i="1" s="1"/>
  <c r="D74" i="1"/>
  <c r="D73" i="1"/>
  <c r="G72" i="1"/>
  <c r="G74" i="1" s="1"/>
  <c r="F72" i="1"/>
  <c r="F74" i="1" s="1"/>
  <c r="E72" i="1"/>
  <c r="J49" i="1"/>
  <c r="K49" i="1" s="1"/>
  <c r="D58" i="1"/>
  <c r="I54" i="1"/>
  <c r="J54" i="1" s="1"/>
  <c r="I46" i="1"/>
  <c r="J46" i="1" s="1"/>
  <c r="I56" i="1"/>
  <c r="J56" i="1" s="1"/>
  <c r="I48" i="1"/>
  <c r="J48" i="1" s="1"/>
  <c r="I53" i="1"/>
  <c r="J53" i="1" s="1"/>
  <c r="I50" i="1"/>
  <c r="J50" i="1" s="1"/>
  <c r="I51" i="1"/>
  <c r="J51" i="1" s="1"/>
  <c r="I55" i="1"/>
  <c r="J55" i="1" s="1"/>
  <c r="I47" i="1"/>
  <c r="J47" i="1" s="1"/>
  <c r="I52" i="1"/>
  <c r="J52" i="1" s="1"/>
  <c r="F55" i="1"/>
  <c r="G55" i="1" s="1"/>
  <c r="F51" i="1"/>
  <c r="G51" i="1" s="1"/>
  <c r="I57" i="1"/>
  <c r="J57" i="1" s="1"/>
  <c r="E73" i="1" l="1"/>
  <c r="E74" i="1"/>
  <c r="D79" i="1" s="1"/>
  <c r="G47" i="1"/>
  <c r="G60" i="1" s="1"/>
  <c r="F59" i="1"/>
  <c r="L49" i="1"/>
  <c r="H47" i="1"/>
  <c r="G73" i="1"/>
  <c r="F73" i="1"/>
  <c r="H50" i="1"/>
  <c r="K57" i="1"/>
  <c r="L57" i="1"/>
  <c r="H51" i="1"/>
  <c r="K51" i="1"/>
  <c r="L51" i="1"/>
  <c r="L46" i="1"/>
  <c r="J58" i="1"/>
  <c r="J59" i="1"/>
  <c r="K46" i="1"/>
  <c r="L54" i="1"/>
  <c r="K54" i="1"/>
  <c r="L56" i="1"/>
  <c r="K56" i="1"/>
  <c r="H52" i="1"/>
  <c r="L48" i="1"/>
  <c r="K48" i="1"/>
  <c r="L50" i="1"/>
  <c r="K50" i="1"/>
  <c r="K52" i="1"/>
  <c r="L52" i="1"/>
  <c r="L53" i="1"/>
  <c r="K53" i="1"/>
  <c r="L47" i="1"/>
  <c r="K47" i="1"/>
  <c r="H49" i="1"/>
  <c r="F58" i="1"/>
  <c r="H46" i="1"/>
  <c r="H56" i="1"/>
  <c r="L55" i="1"/>
  <c r="K55" i="1"/>
  <c r="H53" i="1"/>
  <c r="H54" i="1"/>
  <c r="H55" i="1"/>
  <c r="H48" i="1"/>
  <c r="H57" i="1"/>
  <c r="D102" i="1" l="1"/>
  <c r="D89" i="1"/>
  <c r="D112" i="1"/>
  <c r="D111" i="1"/>
  <c r="D88" i="1"/>
  <c r="D78" i="1"/>
  <c r="D101" i="1"/>
  <c r="L58" i="1"/>
  <c r="L60" i="1"/>
  <c r="L61" i="1" s="1"/>
  <c r="G58" i="1"/>
  <c r="G61" i="1"/>
  <c r="D80" i="1" s="1"/>
  <c r="K58" i="1"/>
  <c r="K60" i="1"/>
  <c r="K61" i="1" s="1"/>
  <c r="H60" i="1"/>
  <c r="H61" i="1" s="1"/>
  <c r="H58" i="1"/>
  <c r="D103" i="1" l="1"/>
  <c r="D113" i="1"/>
  <c r="D81" i="1"/>
  <c r="D84" i="1" s="1"/>
  <c r="D91" i="1"/>
  <c r="D90" i="1"/>
  <c r="D92" i="1" s="1"/>
  <c r="D104" i="1"/>
  <c r="D114" i="1"/>
  <c r="D118" i="1" l="1"/>
  <c r="D117" i="1"/>
  <c r="D106" i="1"/>
  <c r="D105" i="1"/>
  <c r="D108" i="1"/>
  <c r="D107" i="1"/>
  <c r="D83" i="1"/>
  <c r="D82" i="1"/>
  <c r="D116" i="1"/>
  <c r="D115" i="1"/>
  <c r="D93" i="1"/>
  <c r="D94" i="1"/>
  <c r="D95" i="1"/>
  <c r="D85" i="1"/>
  <c r="D97" i="1" l="1"/>
  <c r="C97" i="1"/>
  <c r="D120" i="1"/>
  <c r="C120" i="1"/>
</calcChain>
</file>

<file path=xl/sharedStrings.xml><?xml version="1.0" encoding="utf-8"?>
<sst xmlns="http://schemas.openxmlformats.org/spreadsheetml/2006/main" count="181" uniqueCount="139">
  <si>
    <t>Estimating Cost Effectiveness for Control Technology for Underfired Charbroilers</t>
  </si>
  <si>
    <t>AURORA AUTHENTIC MEDITERRANEAN FOOD</t>
  </si>
  <si>
    <t>DALE ROAD HOTEL OPERATIONS INC.</t>
  </si>
  <si>
    <t>FUJI JAPANESE RESTAURANT, INC.</t>
  </si>
  <si>
    <t>FUSHIMI LLC</t>
  </si>
  <si>
    <t>GERALDO'S RESTAURANT</t>
  </si>
  <si>
    <t>LAVELLE'S BISTRO</t>
  </si>
  <si>
    <t>LEMONGRASS THAI CUISINE</t>
  </si>
  <si>
    <t>Nix'xx Philippine Express</t>
  </si>
  <si>
    <t>PAGODA RESTAURANT</t>
  </si>
  <si>
    <t>PIKE'S LANDING</t>
  </si>
  <si>
    <t>SHOGUN HIBACHI JAPANESE STEAKHOUSE, INC.</t>
  </si>
  <si>
    <t>THE BANKS ALEHOUSE</t>
  </si>
  <si>
    <t>BusinessName</t>
  </si>
  <si>
    <t>Device Make &amp; Model</t>
  </si>
  <si>
    <t>Vollriath</t>
  </si>
  <si>
    <t>Ven-Matic Systems</t>
  </si>
  <si>
    <t>GCB Greenheck GHEW 12.0 11.8</t>
  </si>
  <si>
    <t>CR-103 6in/wc</t>
  </si>
  <si>
    <t>StarMax</t>
  </si>
  <si>
    <t>N/A</t>
  </si>
  <si>
    <t>Royal Range RRB-24-2</t>
  </si>
  <si>
    <t>Royal RR-24RB-2-G12-220-2</t>
  </si>
  <si>
    <t>Imperial IRB-30</t>
  </si>
  <si>
    <t>Garland 6tb636-AR36</t>
  </si>
  <si>
    <t>LBS of meat/yr</t>
  </si>
  <si>
    <t>LBS of meat/day</t>
  </si>
  <si>
    <t>ESP (control efficiency)</t>
  </si>
  <si>
    <t>SJVUAPCD, “2018 PM2.5 Plan”. Accessed at http://www.valleyair.org/pmplans/documents/2018/pm-plan-adopted/2018-Plan-for-the-1997-2006-and-2012-PM2.5-Standards.pdf, Pg. C-210.</t>
  </si>
  <si>
    <t>Costs</t>
  </si>
  <si>
    <t>New Restaurants</t>
  </si>
  <si>
    <t>Costs of Control Units</t>
  </si>
  <si>
    <t>Installation Costs</t>
  </si>
  <si>
    <t>https://www.valleyair.org/Air_Quality_Plans/EmissionsMethods/MethodForms/Current/CommercialCooking2006.pdf</t>
  </si>
  <si>
    <t>Equipment Type</t>
  </si>
  <si>
    <t>Underfired Charbroilers</t>
  </si>
  <si>
    <t>Steak</t>
  </si>
  <si>
    <t>Hamburger</t>
  </si>
  <si>
    <t>Poultry (with and without skin)</t>
  </si>
  <si>
    <t>Pork</t>
  </si>
  <si>
    <t>Seafood</t>
  </si>
  <si>
    <t>Other</t>
  </si>
  <si>
    <t>Chaindriven Charbroilers</t>
  </si>
  <si>
    <t>PM10</t>
  </si>
  <si>
    <t>PM2.5</t>
  </si>
  <si>
    <t>Emissions Factors (lb/ton meat)</t>
  </si>
  <si>
    <t>Distribution of meat cooked on chain-driven charbroilers</t>
  </si>
  <si>
    <t>Meat Type</t>
  </si>
  <si>
    <t>% of total meat consumption</t>
  </si>
  <si>
    <t>Poultry (with skin)</t>
  </si>
  <si>
    <t>Poultry (without skin)</t>
  </si>
  <si>
    <t>Total</t>
  </si>
  <si>
    <t>Composite Emission Factors (lbs/ton meat)</t>
  </si>
  <si>
    <t>Emissions Calculation</t>
  </si>
  <si>
    <t>Assumptions</t>
  </si>
  <si>
    <t>PM2.5 EFs (lbs/ton of meat)</t>
  </si>
  <si>
    <t>Uncontrolled PM2.5 Emissions (lbs/yr)</t>
  </si>
  <si>
    <t>Controlled PM2.5 Emissions (lbs/yr) using an ESP</t>
  </si>
  <si>
    <t>Controlled PM2.5 Emissions (lbs/yr) using a filter</t>
  </si>
  <si>
    <t xml:space="preserve">Underfired </t>
  </si>
  <si>
    <t xml:space="preserve">Chaindriven </t>
  </si>
  <si>
    <t>PM10 EFs (lbs/ton of meat)</t>
  </si>
  <si>
    <t>Uncontrolled PM10 Emissions (lbs/yr)</t>
  </si>
  <si>
    <t>Controlled PM10 Emissions (lbs/yr) using an ESP</t>
  </si>
  <si>
    <t>Controlled PM10 Emissions (lbs/yr) using a filter</t>
  </si>
  <si>
    <t xml:space="preserve">Totals (lb/year):  </t>
  </si>
  <si>
    <t xml:space="preserve">Max Individual Emissions per Unit (lb/year):  </t>
  </si>
  <si>
    <t xml:space="preserve">Max Individual Emission Reductions (lb/year):  </t>
  </si>
  <si>
    <t xml:space="preserve">Max Individual Controlled Emission (lb/year):  </t>
  </si>
  <si>
    <t>Existing Restaurants</t>
  </si>
  <si>
    <t xml:space="preserve">Lower End </t>
  </si>
  <si>
    <t>Upper End</t>
  </si>
  <si>
    <t>https://www.sciencedirect.com/topics/physics-and-astronomy/electrostatic-precipitator</t>
  </si>
  <si>
    <t>New Restaurants               ($ annual costs in 2022)</t>
  </si>
  <si>
    <t>Useful life of ESP (yrs)</t>
  </si>
  <si>
    <t>Capital Recovery Rate for equipments (%)</t>
  </si>
  <si>
    <t xml:space="preserve">Capital Recovery Factor </t>
  </si>
  <si>
    <t>Annual Amortized Capital Cost ($/yr)</t>
  </si>
  <si>
    <t>Cost of Control units + Installation Costs</t>
  </si>
  <si>
    <t>Annual Maintainance Costs</t>
  </si>
  <si>
    <t>Annual Cost per Control Device $/yr (amortized capital costs+annual maintenance costs): Lower End</t>
  </si>
  <si>
    <t>Annual Cost per Control Device $/yr (amortized capital costs+annual maintenance costs): Upper End</t>
  </si>
  <si>
    <t>PM2.5 Reductions (tons/yr) (based on largest individual emissions reduction)</t>
  </si>
  <si>
    <t>PM10 Reductions (tons/yr) (based on largest individual emissions reduction)</t>
  </si>
  <si>
    <t>Cost-Effectiveness of Control ($/ton of PM2.5 removed): Lower End</t>
  </si>
  <si>
    <t>Cost-Effectiveness of Control ($/ton of PM2.5 removed): Upper End</t>
  </si>
  <si>
    <t>Cost-Effectiveness of Control ($/ton of PM10 removed): Lower End</t>
  </si>
  <si>
    <t>Cost-Effectiveness of Control ($/ton of PM10 removed): Upper End</t>
  </si>
  <si>
    <t xml:space="preserve">CE values vary depending on the type of restaurant, size of restaurant (low to medium volume), type of controls (simple, complication configurations), and structural, electrical, or water-line modifications, etc. </t>
  </si>
  <si>
    <t>Annual Costs (rescaled from California to Alaska)</t>
  </si>
  <si>
    <t>Hourly labor cost is $21.26 in California versus $23.88 in Alaska (https://finance.yahoo.com/news/most-least-expensive-states-build-100750954.html)</t>
  </si>
  <si>
    <t>Shipping Cost</t>
  </si>
  <si>
    <t>New Restaurants ($)</t>
  </si>
  <si>
    <t>Existing Restaurants (Retrofits) ($)</t>
  </si>
  <si>
    <t>Annual Cost per Control Device $/yr: Lower End</t>
  </si>
  <si>
    <t>Annual Cost per Control Device $/yr: Upper End</t>
  </si>
  <si>
    <t>16,000 - 138,000</t>
  </si>
  <si>
    <t>$ in 2020 was adjusted for inflation using Inflation Calculator https://www.bls.gov/data/inflation_calculator.htm</t>
  </si>
  <si>
    <t xml:space="preserve">10,000 - 20,000 </t>
  </si>
  <si>
    <t>20,000 - 60,000</t>
  </si>
  <si>
    <t xml:space="preserve">6,000 - 100,000 </t>
  </si>
  <si>
    <t>Annual Operational Costs</t>
  </si>
  <si>
    <t>Capital Costs</t>
  </si>
  <si>
    <t>Annual Costs (amortized cap cost+ annual maintenance and operational costs)</t>
  </si>
  <si>
    <t>SJVUAPCD, “2020 Board Meeting Report". Accessed at https://www.valleyair.org/Board_meetings/GB/agenda_minutes/Agenda/2020/December/final/11.pdf, Pg. 7.</t>
  </si>
  <si>
    <t>Cost-Effectiveness Calculation (ESP)</t>
  </si>
  <si>
    <t>Emissions Factors (lb/ton of meat) for Commercial Cooking Operation</t>
  </si>
  <si>
    <t>Cost-Effectiveness Calculation (Filteration)</t>
  </si>
  <si>
    <t>https://www.federalreserve.gov/releases/h15/ as of 01/17/2023</t>
  </si>
  <si>
    <t>Range of Cost-Effectiveness of Control ($/ton of PM removed) for filtration</t>
  </si>
  <si>
    <t>Range of Cost-Effectiveness of Control ($/ton of PM removed) for ESP</t>
  </si>
  <si>
    <t>Installation costs was obtained from 2018 PM2.5 Plan as the 2020 Staff Report did not report the installation costs.</t>
  </si>
  <si>
    <t>Filtration (control efficiency)</t>
  </si>
  <si>
    <t>4% of capital cost</t>
  </si>
  <si>
    <t>Assumed to be 4% of capital costs based on conversation with vendors</t>
  </si>
  <si>
    <t>Estimating Used Oil Cost Effectiveness (Method: Centrifuge Facility in Fairbanks)</t>
  </si>
  <si>
    <t>BACM Measure 68: Charbroilers</t>
  </si>
  <si>
    <t>Key Data Sources, Assumptions, Methods:</t>
  </si>
  <si>
    <t>Small source response tracking survey conducted in 2020 as part of the regulation 18 AAC 50.078(c) was used to develop information on the restaurants using charbroilers, and estimate the type of charbroiler and the amount of meat cooked.</t>
  </si>
  <si>
    <t>-Based on mapping the device make and model, only underfired charbroilers operated in FB. Accordingly, BACM and cost-effectiveness analysis is conducted only undefired charbroilers.</t>
  </si>
  <si>
    <t xml:space="preserve">-Removal Efficiency was obtained from SCAQMD 2016 Plan, Appendix IV-A, 2016. Accessed at http://www.aqmd.gov/docs/default-source/clean-air-plans/air-quality-management-plans/2016-air-quality-management-plan/final-2016-aqmp/appendix-iv-a.pdf?sfvrsn=4, Pg. IV-A-186. </t>
  </si>
  <si>
    <t>-The cost-effectiveness analyses for filtration represent wet scrubbers as well, because wet scrubbers require filtration. A wet scrubber is essentially a fine stream of water and detergent that washes the particulates from the underfired charbroiler’s exhaust  , which passes through a filtration system before discharging to the sewer. Therefore, the cost estimates developed for ESP and   ESP and filtration systems conservatively represent the cost estimates for wet scrubbers, because wet scrubbers are an additional cost upstream of filtration systems (based on communication with Kevin M. Wing, Senior Air Quality Specialist, Air Quality Science and Planning, SJVAPCD).</t>
  </si>
  <si>
    <t>Assuming Electrostatic Precipitator (ESP) and Filteration as control technologies for underfired charbroilers based on San Joaquin Valley (SJVAPCD) and South Coast (SCAQMD) review of charbroilers</t>
  </si>
  <si>
    <t>Emission Factors are determined from San Joaquin Valley District’s Area Source Methodology for Commercial Cooking (2006 Emissions Inventory Methodology for Commercial Cooking Operations)</t>
  </si>
  <si>
    <t>Information on Charbroilers</t>
  </si>
  <si>
    <t>Control Technologies</t>
  </si>
  <si>
    <t>Emissions</t>
  </si>
  <si>
    <t>Costs informations are derived from the San Joaquin 2020 Staff Meeting Report and 2018 PM2.5 Plan</t>
  </si>
  <si>
    <t>Costs are categorized into new and existing restaurants (retrofits) due to substantial differences in installation costs between the two.</t>
  </si>
  <si>
    <t>Costs are reported as a range due to the variabilities involved in terms of type of control technology, new vs existing restaurants, size of operations, and structural, electrical, or water-line modifications. Based on conservation with Kevin Wing,  SJV reporting cost-effectiveness in terms of a range is a better option considering the range of variabilities involved.</t>
  </si>
  <si>
    <t>As mentioned above, a wet scrubber is used upstream of a filtration system as it is not effective as a standalong technology.</t>
  </si>
  <si>
    <t xml:space="preserve">Emissions factors are derived from 2006 San Joaquin Valley District’s Area Source Methodology for Commercial Cooking. Although the data is many yrs old, this is most comprehensive compilation of EFs by charbroiler, and meat type. </t>
  </si>
  <si>
    <t>The percentage of meat consumption data was available only for chain-driven charbroilers, and is assumed for underfired charbroilers.</t>
  </si>
  <si>
    <t>The restaurants are assumed to be operating 7 days a week.</t>
  </si>
  <si>
    <t xml:space="preserve">Cost-effectiveness is calculated based on the restaurant producing the largest emissions. The quantity of meat, and emissions generated from charbroiling is assumed to be the same for both new and existing restaurants due to lack of data on new restaurants. </t>
  </si>
  <si>
    <t>Costs Calculation</t>
  </si>
  <si>
    <t>Shipping costs approximated based on conversation with vendors (Captive Air, https://www.captiveaire.com/, and Air Associates, http://www.airhvac.com/)</t>
  </si>
  <si>
    <t>Several online resources were researched for obtaining the cost estimates as listed in the "Notes" column below</t>
  </si>
  <si>
    <t>Existing Restaurants                                                      ($ annual costs 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</si>
</sst>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
    <numFmt numFmtId="166" formatCode="0.000"/>
    <numFmt numFmtId="167" formatCode="0.0"/>
    <numFmt numFmtId="168"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name val="Calibri"/>
      <family val="2"/>
      <scheme val="minor"/>
    </font>
    <font>
      <sz val="10"/>
      <color theme="1"/>
      <name val="Calibri"/>
      <family val="2"/>
      <scheme val="minor"/>
    </font>
    <font>
      <u/>
      <sz val="11"/>
      <color theme="10"/>
      <name val="Calibri"/>
      <family val="2"/>
      <scheme val="minor"/>
    </font>
    <font>
      <sz val="8"/>
      <name val="Calibri"/>
      <family val="2"/>
      <scheme val="minor"/>
    </font>
    <font>
      <i/>
      <sz val="11"/>
      <color theme="1"/>
      <name val="Calibri"/>
      <family val="2"/>
      <scheme val="minor"/>
    </font>
    <font>
      <b/>
      <sz val="14"/>
      <color theme="1"/>
      <name val="Calibri"/>
      <family val="2"/>
      <scheme val="minor"/>
    </font>
    <font>
      <b/>
      <sz val="12"/>
      <color rgb="FFFF0000"/>
      <name val="Calibri"/>
      <family val="2"/>
      <scheme val="minor"/>
    </font>
    <font>
      <b/>
      <sz val="11"/>
      <name val="Calibri"/>
      <family val="2"/>
      <scheme val="minor"/>
    </font>
    <font>
      <b/>
      <i/>
      <u/>
      <sz val="11"/>
      <color theme="1"/>
      <name val="Calibri"/>
      <family val="2"/>
      <scheme val="minor"/>
    </font>
    <font>
      <i/>
      <u/>
      <sz val="11"/>
      <color theme="10"/>
      <name val="Calibri"/>
      <family val="2"/>
      <scheme val="minor"/>
    </font>
    <font>
      <b/>
      <sz val="11"/>
      <color theme="4"/>
      <name val="Calibri"/>
      <family val="2"/>
      <scheme val="minor"/>
    </font>
    <font>
      <b/>
      <i/>
      <sz val="11"/>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double">
        <color auto="1"/>
      </left>
      <right/>
      <top style="double">
        <color auto="1"/>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cellStyleXfs>
  <cellXfs count="77">
    <xf numFmtId="0" fontId="0" fillId="0" borderId="0" xfId="0"/>
    <xf numFmtId="0" fontId="2" fillId="0" borderId="0" xfId="0" applyFont="1" applyAlignment="1">
      <alignment horizontal="left" vertical="top"/>
    </xf>
    <xf numFmtId="3" fontId="2" fillId="0" borderId="0" xfId="0" applyNumberFormat="1" applyFont="1"/>
    <xf numFmtId="0" fontId="3" fillId="0" borderId="3" xfId="0" applyFont="1" applyBorder="1"/>
    <xf numFmtId="0" fontId="3" fillId="0" borderId="3" xfId="0" applyFont="1" applyBorder="1" applyAlignment="1">
      <alignment horizontal="left" vertical="top"/>
    </xf>
    <xf numFmtId="0" fontId="3" fillId="0" borderId="3" xfId="0" applyFont="1" applyBorder="1" applyAlignment="1">
      <alignment horizontal="right" vertical="top"/>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5" fillId="0" borderId="0" xfId="0" applyFont="1"/>
    <xf numFmtId="9" fontId="0" fillId="0" borderId="0" xfId="1" applyFont="1"/>
    <xf numFmtId="164" fontId="3" fillId="0" borderId="3" xfId="0" applyNumberFormat="1" applyFont="1" applyBorder="1"/>
    <xf numFmtId="164" fontId="0" fillId="0" borderId="3" xfId="0" applyNumberFormat="1" applyBorder="1"/>
    <xf numFmtId="164" fontId="3" fillId="0" borderId="0" xfId="0" applyNumberFormat="1" applyFont="1"/>
    <xf numFmtId="0" fontId="2" fillId="2" borderId="0" xfId="0" applyFont="1" applyFill="1"/>
    <xf numFmtId="3" fontId="2" fillId="2" borderId="0" xfId="0" applyNumberFormat="1" applyFont="1" applyFill="1"/>
    <xf numFmtId="0" fontId="2" fillId="0" borderId="0" xfId="0" applyFont="1"/>
    <xf numFmtId="0" fontId="3" fillId="0" borderId="0" xfId="0" applyFont="1" applyAlignment="1">
      <alignment horizontal="right" vertical="top"/>
    </xf>
    <xf numFmtId="0" fontId="0" fillId="0" borderId="3" xfId="0" applyBorder="1"/>
    <xf numFmtId="9" fontId="0" fillId="0" borderId="3" xfId="1" applyFont="1" applyBorder="1"/>
    <xf numFmtId="9" fontId="2" fillId="0" borderId="3" xfId="1" applyFont="1" applyBorder="1"/>
    <xf numFmtId="9" fontId="2" fillId="0" borderId="3" xfId="1"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wrapText="1"/>
    </xf>
    <xf numFmtId="165" fontId="0" fillId="0" borderId="3" xfId="1" applyNumberFormat="1" applyFont="1" applyBorder="1"/>
    <xf numFmtId="166" fontId="0" fillId="0" borderId="3" xfId="0" applyNumberFormat="1" applyBorder="1"/>
    <xf numFmtId="2" fontId="0" fillId="0" borderId="3" xfId="0" applyNumberFormat="1" applyBorder="1"/>
    <xf numFmtId="167" fontId="0" fillId="0" borderId="3" xfId="0" applyNumberFormat="1" applyBorder="1"/>
    <xf numFmtId="167" fontId="3" fillId="0" borderId="3" xfId="0" applyNumberFormat="1" applyFont="1" applyBorder="1"/>
    <xf numFmtId="44" fontId="0" fillId="0" borderId="3" xfId="3" applyFont="1" applyBorder="1" applyAlignment="1">
      <alignment horizontal="right"/>
    </xf>
    <xf numFmtId="0" fontId="2" fillId="0" borderId="0" xfId="0" applyFont="1" applyAlignment="1">
      <alignment horizontal="right"/>
    </xf>
    <xf numFmtId="0" fontId="4" fillId="0" borderId="6" xfId="0" applyFont="1" applyBorder="1" applyAlignment="1">
      <alignment vertical="center" wrapText="1"/>
    </xf>
    <xf numFmtId="44" fontId="0" fillId="0" borderId="6" xfId="3" applyFont="1" applyBorder="1" applyAlignment="1">
      <alignment horizontal="right"/>
    </xf>
    <xf numFmtId="0" fontId="4" fillId="0" borderId="3" xfId="0" applyFont="1" applyBorder="1" applyAlignment="1">
      <alignment horizontal="center" vertical="center" wrapText="1"/>
    </xf>
    <xf numFmtId="3" fontId="0" fillId="0" borderId="3" xfId="0" applyNumberFormat="1" applyBorder="1" applyAlignment="1">
      <alignment horizontal="center"/>
    </xf>
    <xf numFmtId="0" fontId="8" fillId="0" borderId="0" xfId="0" applyFont="1"/>
    <xf numFmtId="0" fontId="8" fillId="0" borderId="7" xfId="0" applyFont="1" applyBorder="1"/>
    <xf numFmtId="3" fontId="0" fillId="0" borderId="3" xfId="0" applyNumberFormat="1" applyBorder="1"/>
    <xf numFmtId="168" fontId="0" fillId="0" borderId="3" xfId="0" applyNumberFormat="1" applyBorder="1"/>
    <xf numFmtId="3" fontId="2" fillId="0" borderId="3" xfId="0" applyNumberFormat="1" applyFont="1" applyBorder="1" applyAlignment="1">
      <alignment horizontal="right"/>
    </xf>
    <xf numFmtId="44" fontId="0" fillId="0" borderId="3" xfId="3" applyFont="1" applyFill="1" applyBorder="1" applyAlignment="1">
      <alignment horizontal="right"/>
    </xf>
    <xf numFmtId="0" fontId="8" fillId="0" borderId="5" xfId="0" applyFont="1" applyBorder="1"/>
    <xf numFmtId="1" fontId="8" fillId="0" borderId="0" xfId="0" applyNumberFormat="1" applyFont="1"/>
    <xf numFmtId="10" fontId="8" fillId="0" borderId="0" xfId="0" applyNumberFormat="1" applyFont="1"/>
    <xf numFmtId="166" fontId="8" fillId="0" borderId="8" xfId="0" applyNumberFormat="1" applyFont="1" applyBorder="1"/>
    <xf numFmtId="3" fontId="0" fillId="0" borderId="3" xfId="0" applyNumberFormat="1" applyBorder="1" applyAlignment="1">
      <alignment horizontal="right"/>
    </xf>
    <xf numFmtId="0" fontId="8" fillId="0" borderId="3" xfId="0" applyFont="1" applyBorder="1" applyAlignment="1">
      <alignment horizontal="right"/>
    </xf>
    <xf numFmtId="168" fontId="2" fillId="0" borderId="3" xfId="0" applyNumberFormat="1" applyFont="1" applyBorder="1" applyAlignment="1">
      <alignment horizontal="right"/>
    </xf>
    <xf numFmtId="2" fontId="3" fillId="0" borderId="3" xfId="0" applyNumberFormat="1" applyFont="1" applyBorder="1"/>
    <xf numFmtId="0" fontId="3" fillId="0" borderId="0" xfId="0" applyFont="1"/>
    <xf numFmtId="3" fontId="8" fillId="0" borderId="3" xfId="0" applyNumberFormat="1" applyFont="1" applyBorder="1" applyAlignment="1">
      <alignment horizontal="center"/>
    </xf>
    <xf numFmtId="0" fontId="9" fillId="0" borderId="0" xfId="0" applyFont="1"/>
    <xf numFmtId="0" fontId="12" fillId="0" borderId="0" xfId="0" applyFont="1"/>
    <xf numFmtId="0" fontId="8" fillId="0" borderId="0" xfId="0" applyFont="1" applyAlignment="1">
      <alignment horizontal="left" indent="1"/>
    </xf>
    <xf numFmtId="0" fontId="8" fillId="0" borderId="0" xfId="0" quotePrefix="1" applyFont="1" applyAlignment="1">
      <alignment horizontal="left" indent="1"/>
    </xf>
    <xf numFmtId="0" fontId="8" fillId="0" borderId="3" xfId="0" applyFont="1" applyBorder="1" applyAlignment="1">
      <alignment horizontal="left" indent="1"/>
    </xf>
    <xf numFmtId="9" fontId="8" fillId="0" borderId="3" xfId="1" applyFont="1" applyBorder="1" applyAlignment="1"/>
    <xf numFmtId="0" fontId="13" fillId="0" borderId="0" xfId="2" applyFont="1"/>
    <xf numFmtId="0" fontId="14" fillId="0" borderId="0" xfId="0" applyFont="1"/>
    <xf numFmtId="0" fontId="15" fillId="0" borderId="0" xfId="0" applyFont="1" applyAlignment="1">
      <alignment horizontal="left" indent="1"/>
    </xf>
    <xf numFmtId="9" fontId="0" fillId="0" borderId="0" xfId="1" applyFont="1" applyBorder="1"/>
    <xf numFmtId="0" fontId="13" fillId="0" borderId="0" xfId="2" applyFont="1" applyAlignment="1">
      <alignment vertical="center"/>
    </xf>
    <xf numFmtId="0" fontId="11" fillId="0" borderId="3" xfId="0" applyFont="1" applyBorder="1"/>
    <xf numFmtId="3" fontId="11" fillId="0" borderId="3" xfId="0" applyNumberFormat="1" applyFont="1" applyBorder="1" applyAlignment="1">
      <alignment horizontal="center"/>
    </xf>
    <xf numFmtId="3" fontId="2" fillId="0" borderId="3" xfId="0" applyNumberFormat="1"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3" fontId="0" fillId="0" borderId="6" xfId="0" applyNumberFormat="1" applyBorder="1" applyAlignment="1">
      <alignment horizontal="right"/>
    </xf>
    <xf numFmtId="0" fontId="0" fillId="0" borderId="9" xfId="0" applyBorder="1" applyAlignment="1">
      <alignment horizontal="right"/>
    </xf>
    <xf numFmtId="0" fontId="2" fillId="0" borderId="6" xfId="0" applyFont="1" applyBorder="1" applyAlignment="1">
      <alignment horizontal="center" wrapText="1"/>
    </xf>
    <xf numFmtId="0" fontId="2" fillId="0" borderId="9" xfId="0" applyFont="1" applyBorder="1" applyAlignment="1">
      <alignment horizontal="center" wrapText="1"/>
    </xf>
    <xf numFmtId="0" fontId="0" fillId="0" borderId="3" xfId="0" applyBorder="1" applyAlignment="1">
      <alignment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wrapText="1"/>
    </xf>
    <xf numFmtId="0" fontId="2" fillId="0" borderId="3" xfId="0" applyFont="1" applyBorder="1" applyAlignment="1">
      <alignment horizontal="center" vertical="center" wrapText="1"/>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alleyair.org/pmplans/documents/2018/pm-plan-adopted/2018-Plan-for-the-1997-2006-and-2012-PM2.5-Standar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5E0D-8996-4619-83A7-1DE343B845C5}">
  <sheetPr codeName="Sheet1"/>
  <dimension ref="A1:X122"/>
  <sheetViews>
    <sheetView tabSelected="1" zoomScaleNormal="100" workbookViewId="0">
      <selection activeCell="I25" sqref="I25"/>
    </sheetView>
  </sheetViews>
  <sheetFormatPr defaultRowHeight="15" x14ac:dyDescent="0.25"/>
  <cols>
    <col min="1" max="1" width="40.42578125" customWidth="1"/>
    <col min="2" max="2" width="27.85546875" bestFit="1" customWidth="1"/>
    <col min="3" max="3" width="26.28515625" customWidth="1"/>
    <col min="4" max="4" width="12.42578125" bestFit="1" customWidth="1"/>
    <col min="5" max="5" width="10.140625" customWidth="1"/>
    <col min="6" max="6" width="13.5703125" customWidth="1"/>
    <col min="7" max="7" width="15" customWidth="1"/>
    <col min="8" max="10" width="13.5703125" customWidth="1"/>
    <col min="11" max="11" width="15" customWidth="1"/>
    <col min="12" max="12" width="16.7109375" customWidth="1"/>
  </cols>
  <sheetData>
    <row r="1" spans="1:24" ht="20.25" thickTop="1" thickBot="1" x14ac:dyDescent="0.35">
      <c r="A1" s="50" t="s">
        <v>116</v>
      </c>
      <c r="M1" s="64" t="s">
        <v>115</v>
      </c>
      <c r="N1" s="65"/>
      <c r="O1" s="65"/>
      <c r="P1" s="65"/>
      <c r="Q1" s="65"/>
      <c r="R1" s="65"/>
      <c r="S1" s="65"/>
      <c r="T1" s="65"/>
      <c r="U1" s="65"/>
      <c r="V1" s="65"/>
      <c r="W1" s="65"/>
      <c r="X1" s="65"/>
    </row>
    <row r="2" spans="1:24" ht="15.75" thickTop="1" x14ac:dyDescent="0.25">
      <c r="A2" s="66" t="s">
        <v>0</v>
      </c>
      <c r="B2" s="67"/>
      <c r="C2" s="67"/>
      <c r="D2" s="67"/>
      <c r="E2" s="67"/>
      <c r="F2" s="67"/>
      <c r="G2" s="67"/>
      <c r="H2" s="67"/>
      <c r="I2" s="67"/>
      <c r="J2" s="67"/>
      <c r="K2" s="67"/>
      <c r="L2" s="67"/>
    </row>
    <row r="4" spans="1:24" x14ac:dyDescent="0.25">
      <c r="A4" s="51" t="s">
        <v>117</v>
      </c>
    </row>
    <row r="5" spans="1:24" x14ac:dyDescent="0.25">
      <c r="A5" s="58" t="s">
        <v>124</v>
      </c>
    </row>
    <row r="6" spans="1:24" x14ac:dyDescent="0.25">
      <c r="A6" s="52" t="s">
        <v>118</v>
      </c>
    </row>
    <row r="7" spans="1:24" x14ac:dyDescent="0.25">
      <c r="A7" s="53" t="s">
        <v>119</v>
      </c>
    </row>
    <row r="8" spans="1:24" x14ac:dyDescent="0.25">
      <c r="A8" s="58" t="s">
        <v>125</v>
      </c>
    </row>
    <row r="9" spans="1:24" x14ac:dyDescent="0.25">
      <c r="A9" s="52" t="s">
        <v>122</v>
      </c>
    </row>
    <row r="10" spans="1:24" x14ac:dyDescent="0.25">
      <c r="A10" s="53" t="s">
        <v>120</v>
      </c>
    </row>
    <row r="11" spans="1:24" x14ac:dyDescent="0.25">
      <c r="A11" s="54" t="s">
        <v>27</v>
      </c>
      <c r="B11" s="55">
        <v>0.86</v>
      </c>
    </row>
    <row r="12" spans="1:24" x14ac:dyDescent="0.25">
      <c r="A12" s="54" t="s">
        <v>112</v>
      </c>
      <c r="B12" s="55">
        <v>0.8</v>
      </c>
    </row>
    <row r="13" spans="1:24" x14ac:dyDescent="0.25">
      <c r="A13" s="53" t="s">
        <v>121</v>
      </c>
    </row>
    <row r="14" spans="1:24" x14ac:dyDescent="0.25">
      <c r="A14" s="58" t="s">
        <v>126</v>
      </c>
    </row>
    <row r="15" spans="1:24" x14ac:dyDescent="0.25">
      <c r="A15" s="34" t="s">
        <v>123</v>
      </c>
      <c r="B15" s="9"/>
    </row>
    <row r="16" spans="1:24" x14ac:dyDescent="0.25">
      <c r="A16" s="56" t="s">
        <v>33</v>
      </c>
      <c r="B16" s="9"/>
    </row>
    <row r="17" spans="1:11" ht="30" customHeight="1" x14ac:dyDescent="0.25">
      <c r="A17" s="73" t="s">
        <v>106</v>
      </c>
      <c r="B17" s="74"/>
      <c r="C17" s="74"/>
      <c r="D17" s="74"/>
      <c r="F17" s="75" t="s">
        <v>46</v>
      </c>
      <c r="G17" s="75"/>
      <c r="I17" s="76" t="s">
        <v>52</v>
      </c>
      <c r="J17" s="76"/>
      <c r="K17" s="76"/>
    </row>
    <row r="18" spans="1:11" ht="13.5" customHeight="1" x14ac:dyDescent="0.25">
      <c r="A18" s="21" t="s">
        <v>34</v>
      </c>
      <c r="B18" s="20" t="s">
        <v>45</v>
      </c>
      <c r="C18" s="21" t="s">
        <v>43</v>
      </c>
      <c r="D18" s="21" t="s">
        <v>44</v>
      </c>
      <c r="F18" s="22" t="s">
        <v>47</v>
      </c>
      <c r="G18" s="22" t="s">
        <v>48</v>
      </c>
      <c r="I18" s="17"/>
      <c r="J18" s="21" t="s">
        <v>43</v>
      </c>
      <c r="K18" s="21" t="s">
        <v>44</v>
      </c>
    </row>
    <row r="19" spans="1:11" x14ac:dyDescent="0.25">
      <c r="A19" s="72" t="s">
        <v>35</v>
      </c>
      <c r="B19" s="18" t="s">
        <v>36</v>
      </c>
      <c r="C19" s="17">
        <v>34.4</v>
      </c>
      <c r="D19" s="17">
        <v>33.6</v>
      </c>
      <c r="F19" s="18" t="s">
        <v>36</v>
      </c>
      <c r="G19" s="23">
        <v>0.1454</v>
      </c>
      <c r="I19" s="17" t="s">
        <v>59</v>
      </c>
      <c r="J19" s="26">
        <f>(C19*G19)+(C20*G20)+(C21*AVERAGE(G21:G22))+(C22*G23)+(C23*G24)</f>
        <v>41.045290000000001</v>
      </c>
      <c r="K19" s="26">
        <f>(D19*G19)+(D20*G20)+(D21*AVERAGE(G21:G22))+(D22*G23)+(D23*G24)</f>
        <v>39.932729999999992</v>
      </c>
    </row>
    <row r="20" spans="1:11" x14ac:dyDescent="0.25">
      <c r="A20" s="72"/>
      <c r="B20" s="18" t="s">
        <v>37</v>
      </c>
      <c r="C20" s="17">
        <v>65.400000000000006</v>
      </c>
      <c r="D20" s="17">
        <v>63.8</v>
      </c>
      <c r="F20" s="18" t="s">
        <v>37</v>
      </c>
      <c r="G20" s="23">
        <v>0.49149999999999999</v>
      </c>
      <c r="I20" s="17" t="s">
        <v>60</v>
      </c>
      <c r="J20" s="26">
        <f>(C25*G19)+(C26*G20)+(C27*AVERAGE(G21:G22))+(C28*G23)+(C29*G24)</f>
        <v>13.32555</v>
      </c>
      <c r="K20" s="26">
        <f>(D25*G19)+(D26*G20)+(D27*AVERAGE(G21:G22))+(D28*G23)+(D29*G24)</f>
        <v>12.988329999999998</v>
      </c>
    </row>
    <row r="21" spans="1:11" x14ac:dyDescent="0.25">
      <c r="A21" s="72"/>
      <c r="B21" s="18" t="s">
        <v>38</v>
      </c>
      <c r="C21" s="17">
        <v>21</v>
      </c>
      <c r="D21" s="17">
        <v>19.8</v>
      </c>
      <c r="F21" s="18" t="s">
        <v>49</v>
      </c>
      <c r="G21" s="23">
        <v>9.0499999999999997E-2</v>
      </c>
    </row>
    <row r="22" spans="1:11" x14ac:dyDescent="0.25">
      <c r="A22" s="72"/>
      <c r="B22" s="18" t="s">
        <v>39</v>
      </c>
      <c r="C22" s="17">
        <v>21</v>
      </c>
      <c r="D22" s="17">
        <v>19.8</v>
      </c>
      <c r="F22" s="18" t="s">
        <v>50</v>
      </c>
      <c r="G22" s="23">
        <v>0.1638</v>
      </c>
    </row>
    <row r="23" spans="1:11" x14ac:dyDescent="0.25">
      <c r="A23" s="72"/>
      <c r="B23" s="18" t="s">
        <v>40</v>
      </c>
      <c r="C23" s="17">
        <v>6.6</v>
      </c>
      <c r="D23" s="17">
        <v>6.4</v>
      </c>
      <c r="F23" s="18" t="s">
        <v>39</v>
      </c>
      <c r="G23" s="23">
        <v>3.5499999999999997E-2</v>
      </c>
    </row>
    <row r="24" spans="1:11" x14ac:dyDescent="0.25">
      <c r="A24" s="72"/>
      <c r="B24" s="18" t="s">
        <v>41</v>
      </c>
      <c r="C24" s="17">
        <v>34.4</v>
      </c>
      <c r="D24" s="17">
        <v>33.6</v>
      </c>
      <c r="F24" s="18" t="s">
        <v>40</v>
      </c>
      <c r="G24" s="23">
        <v>7.3300000000000004E-2</v>
      </c>
    </row>
    <row r="25" spans="1:11" x14ac:dyDescent="0.25">
      <c r="A25" s="72" t="s">
        <v>42</v>
      </c>
      <c r="B25" s="18" t="s">
        <v>36</v>
      </c>
      <c r="C25" s="17">
        <v>14.8</v>
      </c>
      <c r="D25" s="17">
        <v>14.6</v>
      </c>
      <c r="F25" s="19" t="s">
        <v>51</v>
      </c>
      <c r="G25" s="19">
        <f>SUM(G19:G24)</f>
        <v>1</v>
      </c>
    </row>
    <row r="26" spans="1:11" x14ac:dyDescent="0.25">
      <c r="A26" s="72"/>
      <c r="B26" s="18" t="s">
        <v>37</v>
      </c>
      <c r="C26" s="17">
        <v>14.8</v>
      </c>
      <c r="D26" s="17">
        <v>14.6</v>
      </c>
    </row>
    <row r="27" spans="1:11" x14ac:dyDescent="0.25">
      <c r="A27" s="72"/>
      <c r="B27" s="18" t="s">
        <v>38</v>
      </c>
      <c r="C27" s="17">
        <v>21</v>
      </c>
      <c r="D27" s="17">
        <v>19.8</v>
      </c>
    </row>
    <row r="28" spans="1:11" x14ac:dyDescent="0.25">
      <c r="A28" s="72"/>
      <c r="B28" s="18" t="s">
        <v>39</v>
      </c>
      <c r="C28" s="17">
        <v>21</v>
      </c>
      <c r="D28" s="17">
        <v>19.8</v>
      </c>
    </row>
    <row r="29" spans="1:11" x14ac:dyDescent="0.25">
      <c r="A29" s="72"/>
      <c r="B29" s="18" t="s">
        <v>40</v>
      </c>
      <c r="C29" s="17">
        <v>6.6</v>
      </c>
      <c r="D29" s="17">
        <v>6.4</v>
      </c>
    </row>
    <row r="30" spans="1:11" x14ac:dyDescent="0.25">
      <c r="A30" s="58" t="s">
        <v>29</v>
      </c>
      <c r="B30" s="59"/>
    </row>
    <row r="31" spans="1:11" x14ac:dyDescent="0.25">
      <c r="A31" s="34" t="s">
        <v>127</v>
      </c>
    </row>
    <row r="32" spans="1:11" x14ac:dyDescent="0.25">
      <c r="A32" s="34" t="s">
        <v>104</v>
      </c>
    </row>
    <row r="33" spans="1:12" x14ac:dyDescent="0.25">
      <c r="A33" s="60" t="s">
        <v>28</v>
      </c>
    </row>
    <row r="34" spans="1:12" ht="15.95" customHeight="1" x14ac:dyDescent="0.25">
      <c r="A34" s="34" t="s">
        <v>128</v>
      </c>
    </row>
    <row r="35" spans="1:12" ht="15.6" customHeight="1" x14ac:dyDescent="0.25">
      <c r="A35" s="34" t="s">
        <v>129</v>
      </c>
    </row>
    <row r="36" spans="1:12" x14ac:dyDescent="0.25">
      <c r="A36" s="34" t="s">
        <v>130</v>
      </c>
    </row>
    <row r="37" spans="1:12" x14ac:dyDescent="0.25">
      <c r="A37" s="52" t="s">
        <v>137</v>
      </c>
    </row>
    <row r="38" spans="1:12" x14ac:dyDescent="0.25">
      <c r="A38" s="58" t="s">
        <v>54</v>
      </c>
    </row>
    <row r="39" spans="1:12" x14ac:dyDescent="0.25">
      <c r="A39" s="34" t="s">
        <v>131</v>
      </c>
    </row>
    <row r="40" spans="1:12" x14ac:dyDescent="0.25">
      <c r="A40" s="34" t="s">
        <v>132</v>
      </c>
    </row>
    <row r="41" spans="1:12" x14ac:dyDescent="0.25">
      <c r="A41" s="34" t="s">
        <v>133</v>
      </c>
    </row>
    <row r="42" spans="1:12" x14ac:dyDescent="0.25">
      <c r="A42" s="34" t="s">
        <v>134</v>
      </c>
    </row>
    <row r="43" spans="1:12" x14ac:dyDescent="0.25">
      <c r="B43" s="9"/>
    </row>
    <row r="44" spans="1:12" x14ac:dyDescent="0.25">
      <c r="A44" s="57" t="s">
        <v>53</v>
      </c>
    </row>
    <row r="45" spans="1:12" s="8" customFormat="1" ht="48" customHeight="1" x14ac:dyDescent="0.2">
      <c r="A45" s="6" t="s">
        <v>13</v>
      </c>
      <c r="B45" s="7" t="s">
        <v>14</v>
      </c>
      <c r="C45" s="7" t="s">
        <v>26</v>
      </c>
      <c r="D45" s="7" t="s">
        <v>25</v>
      </c>
      <c r="E45" s="7" t="s">
        <v>55</v>
      </c>
      <c r="F45" s="7" t="s">
        <v>56</v>
      </c>
      <c r="G45" s="7" t="s">
        <v>57</v>
      </c>
      <c r="H45" s="7" t="s">
        <v>58</v>
      </c>
      <c r="I45" s="7" t="s">
        <v>61</v>
      </c>
      <c r="J45" s="7" t="s">
        <v>62</v>
      </c>
      <c r="K45" s="7" t="s">
        <v>63</v>
      </c>
      <c r="L45" s="7" t="s">
        <v>64</v>
      </c>
    </row>
    <row r="46" spans="1:12" x14ac:dyDescent="0.25">
      <c r="A46" s="3" t="s">
        <v>1</v>
      </c>
      <c r="B46" s="4" t="s">
        <v>15</v>
      </c>
      <c r="C46" s="5">
        <v>4</v>
      </c>
      <c r="D46" s="5">
        <v>720</v>
      </c>
      <c r="E46" s="27">
        <f>$K$19</f>
        <v>39.932729999999992</v>
      </c>
      <c r="F46" s="10">
        <f>(D46*0.0005)*E46</f>
        <v>14.375782799999996</v>
      </c>
      <c r="G46" s="11">
        <f>F46*(1-$B$11)</f>
        <v>2.0126095919999996</v>
      </c>
      <c r="H46" s="11">
        <f>F46*(1-$B$12)</f>
        <v>2.8751565599999984</v>
      </c>
      <c r="I46" s="25">
        <f>$J$19</f>
        <v>41.045290000000001</v>
      </c>
      <c r="J46" s="26">
        <f>(D46*0.0005)*I46</f>
        <v>14.776304400000001</v>
      </c>
      <c r="K46" s="26">
        <f>J46*(1-$B$11)</f>
        <v>2.0686826160000003</v>
      </c>
      <c r="L46" s="26">
        <f>J46*(1-$B$12)</f>
        <v>2.9552608799999995</v>
      </c>
    </row>
    <row r="47" spans="1:12" s="48" customFormat="1" x14ac:dyDescent="0.25">
      <c r="A47" s="3" t="s">
        <v>2</v>
      </c>
      <c r="B47" s="4" t="s">
        <v>16</v>
      </c>
      <c r="C47" s="5">
        <v>100</v>
      </c>
      <c r="D47" s="5">
        <v>36000</v>
      </c>
      <c r="E47" s="27">
        <f t="shared" ref="E47:E57" si="0">$K$19</f>
        <v>39.932729999999992</v>
      </c>
      <c r="F47" s="10">
        <f t="shared" ref="F47:F57" si="1">(D47*0.0005)*E47</f>
        <v>718.78913999999986</v>
      </c>
      <c r="G47" s="10">
        <f t="shared" ref="G47:G57" si="2">F47*(1-$B$11)</f>
        <v>100.63047959999999</v>
      </c>
      <c r="H47" s="10">
        <f t="shared" ref="H47:H57" si="3">F47*(1-$B$12)</f>
        <v>143.75782799999993</v>
      </c>
      <c r="I47" s="47">
        <f t="shared" ref="I47:I57" si="4">$J$19</f>
        <v>41.045290000000001</v>
      </c>
      <c r="J47" s="27">
        <f t="shared" ref="J47:J57" si="5">(D47*0.0005)*I47</f>
        <v>738.81522000000007</v>
      </c>
      <c r="K47" s="27">
        <f t="shared" ref="K47:K57" si="6">J47*(1-$B$11)</f>
        <v>103.43413080000002</v>
      </c>
      <c r="L47" s="27">
        <f t="shared" ref="L47:L57" si="7">J47*(1-$B$12)</f>
        <v>147.76304399999998</v>
      </c>
    </row>
    <row r="48" spans="1:12" x14ac:dyDescent="0.25">
      <c r="A48" s="3" t="s">
        <v>3</v>
      </c>
      <c r="B48" s="4" t="s">
        <v>17</v>
      </c>
      <c r="C48" s="5">
        <v>8</v>
      </c>
      <c r="D48" s="5">
        <v>1440</v>
      </c>
      <c r="E48" s="27">
        <f t="shared" si="0"/>
        <v>39.932729999999992</v>
      </c>
      <c r="F48" s="10">
        <f t="shared" si="1"/>
        <v>28.751565599999992</v>
      </c>
      <c r="G48" s="11">
        <f t="shared" si="2"/>
        <v>4.0252191839999991</v>
      </c>
      <c r="H48" s="11">
        <f t="shared" si="3"/>
        <v>5.7503131199999968</v>
      </c>
      <c r="I48" s="25">
        <f t="shared" si="4"/>
        <v>41.045290000000001</v>
      </c>
      <c r="J48" s="26">
        <f t="shared" si="5"/>
        <v>29.552608800000002</v>
      </c>
      <c r="K48" s="26">
        <f t="shared" si="6"/>
        <v>4.1373652320000005</v>
      </c>
      <c r="L48" s="26">
        <f t="shared" si="7"/>
        <v>5.9105217599999991</v>
      </c>
    </row>
    <row r="49" spans="1:12" x14ac:dyDescent="0.25">
      <c r="A49" s="3" t="s">
        <v>4</v>
      </c>
      <c r="B49" s="4" t="s">
        <v>18</v>
      </c>
      <c r="C49" s="5">
        <v>28</v>
      </c>
      <c r="D49" s="5">
        <v>5040</v>
      </c>
      <c r="E49" s="27">
        <f t="shared" si="0"/>
        <v>39.932729999999992</v>
      </c>
      <c r="F49" s="10">
        <f t="shared" si="1"/>
        <v>100.63047959999999</v>
      </c>
      <c r="G49" s="11">
        <f t="shared" si="2"/>
        <v>14.088267144</v>
      </c>
      <c r="H49" s="11">
        <f t="shared" si="3"/>
        <v>20.126095919999994</v>
      </c>
      <c r="I49" s="25">
        <f t="shared" si="4"/>
        <v>41.045290000000001</v>
      </c>
      <c r="J49" s="26">
        <f t="shared" si="5"/>
        <v>103.43413080000001</v>
      </c>
      <c r="K49" s="26">
        <f t="shared" si="6"/>
        <v>14.480778312000002</v>
      </c>
      <c r="L49" s="26">
        <f t="shared" si="7"/>
        <v>20.686826159999995</v>
      </c>
    </row>
    <row r="50" spans="1:12" x14ac:dyDescent="0.25">
      <c r="A50" s="3" t="s">
        <v>5</v>
      </c>
      <c r="B50" s="4" t="s">
        <v>19</v>
      </c>
      <c r="C50" s="5">
        <v>10</v>
      </c>
      <c r="D50" s="5">
        <v>1800</v>
      </c>
      <c r="E50" s="27">
        <f t="shared" si="0"/>
        <v>39.932729999999992</v>
      </c>
      <c r="F50" s="10">
        <f t="shared" si="1"/>
        <v>35.939456999999997</v>
      </c>
      <c r="G50" s="11">
        <f t="shared" si="2"/>
        <v>5.0315239800000002</v>
      </c>
      <c r="H50" s="11">
        <f t="shared" si="3"/>
        <v>7.187891399999998</v>
      </c>
      <c r="I50" s="25">
        <f t="shared" si="4"/>
        <v>41.045290000000001</v>
      </c>
      <c r="J50" s="26">
        <f t="shared" si="5"/>
        <v>36.940761000000002</v>
      </c>
      <c r="K50" s="26">
        <f t="shared" si="6"/>
        <v>5.1717065400000006</v>
      </c>
      <c r="L50" s="26">
        <f t="shared" si="7"/>
        <v>7.3881521999999986</v>
      </c>
    </row>
    <row r="51" spans="1:12" x14ac:dyDescent="0.25">
      <c r="A51" s="3" t="s">
        <v>6</v>
      </c>
      <c r="B51" s="4" t="s">
        <v>19</v>
      </c>
      <c r="C51" s="5">
        <v>100</v>
      </c>
      <c r="D51" s="5">
        <v>18000</v>
      </c>
      <c r="E51" s="27">
        <f t="shared" si="0"/>
        <v>39.932729999999992</v>
      </c>
      <c r="F51" s="10">
        <f t="shared" si="1"/>
        <v>359.39456999999993</v>
      </c>
      <c r="G51" s="11">
        <f t="shared" si="2"/>
        <v>50.315239799999993</v>
      </c>
      <c r="H51" s="11">
        <f t="shared" si="3"/>
        <v>71.878913999999966</v>
      </c>
      <c r="I51" s="25">
        <f t="shared" si="4"/>
        <v>41.045290000000001</v>
      </c>
      <c r="J51" s="26">
        <f t="shared" si="5"/>
        <v>369.40761000000003</v>
      </c>
      <c r="K51" s="26">
        <f t="shared" si="6"/>
        <v>51.71706540000001</v>
      </c>
      <c r="L51" s="26">
        <f t="shared" si="7"/>
        <v>73.88152199999999</v>
      </c>
    </row>
    <row r="52" spans="1:12" x14ac:dyDescent="0.25">
      <c r="A52" s="3" t="s">
        <v>7</v>
      </c>
      <c r="B52" s="4" t="s">
        <v>20</v>
      </c>
      <c r="C52" s="5">
        <v>9</v>
      </c>
      <c r="D52" s="5">
        <v>18000</v>
      </c>
      <c r="E52" s="27">
        <f t="shared" si="0"/>
        <v>39.932729999999992</v>
      </c>
      <c r="F52" s="10">
        <f t="shared" si="1"/>
        <v>359.39456999999993</v>
      </c>
      <c r="G52" s="11">
        <f t="shared" si="2"/>
        <v>50.315239799999993</v>
      </c>
      <c r="H52" s="11">
        <f t="shared" si="3"/>
        <v>71.878913999999966</v>
      </c>
      <c r="I52" s="25">
        <f t="shared" si="4"/>
        <v>41.045290000000001</v>
      </c>
      <c r="J52" s="26">
        <f t="shared" si="5"/>
        <v>369.40761000000003</v>
      </c>
      <c r="K52" s="26">
        <f t="shared" si="6"/>
        <v>51.71706540000001</v>
      </c>
      <c r="L52" s="26">
        <f t="shared" si="7"/>
        <v>73.88152199999999</v>
      </c>
    </row>
    <row r="53" spans="1:12" x14ac:dyDescent="0.25">
      <c r="A53" s="3" t="s">
        <v>8</v>
      </c>
      <c r="B53" s="4" t="s">
        <v>21</v>
      </c>
      <c r="C53" s="5">
        <v>1</v>
      </c>
      <c r="D53" s="5">
        <v>180</v>
      </c>
      <c r="E53" s="27">
        <f t="shared" si="0"/>
        <v>39.932729999999992</v>
      </c>
      <c r="F53" s="10">
        <f t="shared" si="1"/>
        <v>3.593945699999999</v>
      </c>
      <c r="G53" s="11">
        <f t="shared" si="2"/>
        <v>0.50315239799999989</v>
      </c>
      <c r="H53" s="11">
        <f t="shared" si="3"/>
        <v>0.7187891399999996</v>
      </c>
      <c r="I53" s="25">
        <f t="shared" si="4"/>
        <v>41.045290000000001</v>
      </c>
      <c r="J53" s="26">
        <f t="shared" si="5"/>
        <v>3.6940761000000002</v>
      </c>
      <c r="K53" s="26">
        <f t="shared" si="6"/>
        <v>0.51717065400000006</v>
      </c>
      <c r="L53" s="26">
        <f t="shared" si="7"/>
        <v>0.73881521999999988</v>
      </c>
    </row>
    <row r="54" spans="1:12" x14ac:dyDescent="0.25">
      <c r="A54" s="3" t="s">
        <v>9</v>
      </c>
      <c r="B54" s="4" t="s">
        <v>22</v>
      </c>
      <c r="C54" s="5">
        <v>30</v>
      </c>
      <c r="D54" s="5">
        <v>5400</v>
      </c>
      <c r="E54" s="27">
        <f t="shared" si="0"/>
        <v>39.932729999999992</v>
      </c>
      <c r="F54" s="10">
        <f t="shared" si="1"/>
        <v>107.81837099999998</v>
      </c>
      <c r="G54" s="11">
        <f t="shared" si="2"/>
        <v>15.09457194</v>
      </c>
      <c r="H54" s="11">
        <f t="shared" si="3"/>
        <v>21.563674199999991</v>
      </c>
      <c r="I54" s="25">
        <f t="shared" si="4"/>
        <v>41.045290000000001</v>
      </c>
      <c r="J54" s="26">
        <f t="shared" si="5"/>
        <v>110.82228300000001</v>
      </c>
      <c r="K54" s="26">
        <f t="shared" si="6"/>
        <v>15.515119620000004</v>
      </c>
      <c r="L54" s="26">
        <f t="shared" si="7"/>
        <v>22.164456599999998</v>
      </c>
    </row>
    <row r="55" spans="1:12" x14ac:dyDescent="0.25">
      <c r="A55" s="3" t="s">
        <v>10</v>
      </c>
      <c r="B55" s="4" t="s">
        <v>23</v>
      </c>
      <c r="C55" s="5">
        <v>22</v>
      </c>
      <c r="D55" s="5">
        <v>3960</v>
      </c>
      <c r="E55" s="27">
        <f t="shared" si="0"/>
        <v>39.932729999999992</v>
      </c>
      <c r="F55" s="10">
        <f t="shared" si="1"/>
        <v>79.066805399999978</v>
      </c>
      <c r="G55" s="11">
        <f t="shared" si="2"/>
        <v>11.069352755999999</v>
      </c>
      <c r="H55" s="11">
        <f t="shared" si="3"/>
        <v>15.813361079999993</v>
      </c>
      <c r="I55" s="25">
        <f t="shared" si="4"/>
        <v>41.045290000000001</v>
      </c>
      <c r="J55" s="26">
        <f t="shared" si="5"/>
        <v>81.269674199999997</v>
      </c>
      <c r="K55" s="26">
        <f t="shared" si="6"/>
        <v>11.377754388000001</v>
      </c>
      <c r="L55" s="26">
        <f t="shared" si="7"/>
        <v>16.253934839999996</v>
      </c>
    </row>
    <row r="56" spans="1:12" x14ac:dyDescent="0.25">
      <c r="A56" s="3" t="s">
        <v>11</v>
      </c>
      <c r="B56" s="4" t="s">
        <v>17</v>
      </c>
      <c r="C56" s="5">
        <v>10</v>
      </c>
      <c r="D56" s="5">
        <v>1800</v>
      </c>
      <c r="E56" s="27">
        <f t="shared" si="0"/>
        <v>39.932729999999992</v>
      </c>
      <c r="F56" s="10">
        <f t="shared" si="1"/>
        <v>35.939456999999997</v>
      </c>
      <c r="G56" s="11">
        <f t="shared" si="2"/>
        <v>5.0315239800000002</v>
      </c>
      <c r="H56" s="11">
        <f t="shared" si="3"/>
        <v>7.187891399999998</v>
      </c>
      <c r="I56" s="25">
        <f t="shared" si="4"/>
        <v>41.045290000000001</v>
      </c>
      <c r="J56" s="26">
        <f t="shared" si="5"/>
        <v>36.940761000000002</v>
      </c>
      <c r="K56" s="26">
        <f t="shared" si="6"/>
        <v>5.1717065400000006</v>
      </c>
      <c r="L56" s="26">
        <f t="shared" si="7"/>
        <v>7.3881521999999986</v>
      </c>
    </row>
    <row r="57" spans="1:12" x14ac:dyDescent="0.25">
      <c r="A57" s="3" t="s">
        <v>12</v>
      </c>
      <c r="B57" s="4" t="s">
        <v>24</v>
      </c>
      <c r="C57" s="5">
        <v>13</v>
      </c>
      <c r="D57" s="5">
        <v>2340</v>
      </c>
      <c r="E57" s="27">
        <f t="shared" si="0"/>
        <v>39.932729999999992</v>
      </c>
      <c r="F57" s="10">
        <f t="shared" si="1"/>
        <v>46.721294099999987</v>
      </c>
      <c r="G57" s="11">
        <f t="shared" si="2"/>
        <v>6.5409811739999988</v>
      </c>
      <c r="H57" s="11">
        <f t="shared" si="3"/>
        <v>9.344258819999995</v>
      </c>
      <c r="I57" s="25">
        <f t="shared" si="4"/>
        <v>41.045290000000001</v>
      </c>
      <c r="J57" s="26">
        <f t="shared" si="5"/>
        <v>48.022989299999999</v>
      </c>
      <c r="K57" s="26">
        <f t="shared" si="6"/>
        <v>6.7232185020000008</v>
      </c>
      <c r="L57" s="26">
        <f t="shared" si="7"/>
        <v>9.6045978599999984</v>
      </c>
    </row>
    <row r="58" spans="1:12" x14ac:dyDescent="0.25">
      <c r="B58" s="29" t="s">
        <v>65</v>
      </c>
      <c r="C58" s="13">
        <f>SUM(C46:C57)</f>
        <v>335</v>
      </c>
      <c r="D58" s="14">
        <f>SUM(D46:D57)</f>
        <v>94680</v>
      </c>
      <c r="E58" s="14"/>
      <c r="F58" s="14">
        <f t="shared" ref="F58" si="8">SUM(F46:F57)</f>
        <v>1890.4154381999997</v>
      </c>
      <c r="G58" s="14">
        <f t="shared" ref="G58" si="9">SUM(G46:G57)</f>
        <v>264.65816134800002</v>
      </c>
      <c r="H58" s="14">
        <f t="shared" ref="H58:L58" si="10">SUM(H46:H57)</f>
        <v>378.0830876399998</v>
      </c>
      <c r="I58" s="14"/>
      <c r="J58" s="14">
        <f t="shared" si="10"/>
        <v>1943.0840286000002</v>
      </c>
      <c r="K58" s="14">
        <f t="shared" si="10"/>
        <v>272.03176400400008</v>
      </c>
      <c r="L58" s="14">
        <f t="shared" si="10"/>
        <v>388.61680571999989</v>
      </c>
    </row>
    <row r="59" spans="1:12" x14ac:dyDescent="0.25">
      <c r="B59" s="29" t="s">
        <v>66</v>
      </c>
      <c r="C59" s="15"/>
      <c r="D59" s="2"/>
      <c r="E59" s="2"/>
      <c r="F59" s="2">
        <f>MAX(F46:F57)</f>
        <v>718.78913999999986</v>
      </c>
      <c r="G59" s="2"/>
      <c r="H59" s="2"/>
      <c r="I59" s="2"/>
      <c r="J59" s="2">
        <f>MAX(J46:J57)</f>
        <v>738.81522000000007</v>
      </c>
      <c r="K59" s="2"/>
      <c r="L59" s="2"/>
    </row>
    <row r="60" spans="1:12" x14ac:dyDescent="0.25">
      <c r="B60" s="29" t="s">
        <v>68</v>
      </c>
      <c r="C60" s="15"/>
      <c r="D60" s="2"/>
      <c r="E60" s="2"/>
      <c r="F60" s="2"/>
      <c r="G60" s="2">
        <f>MAX(G46:G57)</f>
        <v>100.63047959999999</v>
      </c>
      <c r="H60" s="2">
        <f>MAX(H46:H57)</f>
        <v>143.75782799999993</v>
      </c>
      <c r="I60" s="2"/>
      <c r="J60" s="2"/>
      <c r="K60" s="2">
        <f>MAX(K46:K57)</f>
        <v>103.43413080000002</v>
      </c>
      <c r="L60" s="2">
        <f>MAX(L46:L57)</f>
        <v>147.76304399999998</v>
      </c>
    </row>
    <row r="61" spans="1:12" x14ac:dyDescent="0.25">
      <c r="B61" s="29" t="s">
        <v>67</v>
      </c>
      <c r="C61" s="15"/>
      <c r="D61" s="2"/>
      <c r="E61" s="2"/>
      <c r="F61" s="2"/>
      <c r="G61" s="2">
        <f>F59-G60</f>
        <v>618.15866039999992</v>
      </c>
      <c r="H61" s="2">
        <f>F59-H60</f>
        <v>575.03131199999996</v>
      </c>
      <c r="I61" s="2"/>
      <c r="J61" s="2"/>
      <c r="K61" s="2">
        <f>J59-K60</f>
        <v>635.38108920000002</v>
      </c>
      <c r="L61" s="2">
        <f>J59-L60</f>
        <v>591.05217600000014</v>
      </c>
    </row>
    <row r="62" spans="1:12" x14ac:dyDescent="0.25">
      <c r="B62" s="1"/>
      <c r="C62" s="2"/>
      <c r="D62" s="16"/>
      <c r="F62" s="12"/>
    </row>
    <row r="63" spans="1:12" x14ac:dyDescent="0.25">
      <c r="A63" s="57" t="s">
        <v>135</v>
      </c>
    </row>
    <row r="64" spans="1:12" ht="30" customHeight="1" x14ac:dyDescent="0.25">
      <c r="D64" s="70" t="s">
        <v>73</v>
      </c>
      <c r="E64" s="71"/>
      <c r="F64" s="70" t="s">
        <v>138</v>
      </c>
      <c r="G64" s="71"/>
      <c r="H64" s="34"/>
    </row>
    <row r="65" spans="1:10" ht="25.5" x14ac:dyDescent="0.25">
      <c r="A65" s="6" t="s">
        <v>29</v>
      </c>
      <c r="B65" s="6" t="s">
        <v>92</v>
      </c>
      <c r="C65" s="30" t="s">
        <v>93</v>
      </c>
      <c r="D65" s="32" t="s">
        <v>70</v>
      </c>
      <c r="E65" s="32" t="s">
        <v>71</v>
      </c>
      <c r="F65" s="32" t="s">
        <v>70</v>
      </c>
      <c r="G65" s="32" t="s">
        <v>71</v>
      </c>
    </row>
    <row r="66" spans="1:10" x14ac:dyDescent="0.25">
      <c r="A66" s="17" t="s">
        <v>31</v>
      </c>
      <c r="B66" s="28" t="s">
        <v>96</v>
      </c>
      <c r="C66" s="28" t="s">
        <v>96</v>
      </c>
      <c r="D66" s="33">
        <v>18231</v>
      </c>
      <c r="E66" s="33">
        <v>157244</v>
      </c>
      <c r="F66" s="33">
        <v>18231</v>
      </c>
      <c r="G66" s="33">
        <v>157244</v>
      </c>
      <c r="H66" s="34" t="s">
        <v>97</v>
      </c>
    </row>
    <row r="67" spans="1:10" x14ac:dyDescent="0.25">
      <c r="A67" s="17" t="s">
        <v>32</v>
      </c>
      <c r="B67" s="28" t="s">
        <v>98</v>
      </c>
      <c r="C67" s="31" t="s">
        <v>99</v>
      </c>
      <c r="D67" s="33">
        <v>11343</v>
      </c>
      <c r="E67" s="33">
        <v>22685</v>
      </c>
      <c r="F67" s="33">
        <v>22685</v>
      </c>
      <c r="G67" s="33">
        <v>68056</v>
      </c>
      <c r="H67" s="34" t="s">
        <v>111</v>
      </c>
    </row>
    <row r="68" spans="1:10" x14ac:dyDescent="0.25">
      <c r="B68" s="17"/>
      <c r="C68" s="45" t="s">
        <v>102</v>
      </c>
      <c r="D68" s="49">
        <f>SUM(D66:D67)</f>
        <v>29574</v>
      </c>
      <c r="E68" s="49">
        <f t="shared" ref="E68:G68" si="11">SUM(E66:E67)</f>
        <v>179929</v>
      </c>
      <c r="F68" s="49">
        <f t="shared" si="11"/>
        <v>40916</v>
      </c>
      <c r="G68" s="49">
        <f t="shared" si="11"/>
        <v>225300</v>
      </c>
      <c r="H68" s="34" t="s">
        <v>136</v>
      </c>
    </row>
    <row r="69" spans="1:10" x14ac:dyDescent="0.25">
      <c r="A69" s="17" t="s">
        <v>91</v>
      </c>
      <c r="B69" s="44">
        <v>5000</v>
      </c>
      <c r="C69" s="44">
        <v>5000</v>
      </c>
      <c r="D69" s="33">
        <v>5000</v>
      </c>
      <c r="E69" s="33">
        <v>5000</v>
      </c>
      <c r="F69" s="33">
        <v>5000</v>
      </c>
      <c r="G69" s="33">
        <v>5000</v>
      </c>
      <c r="H69" s="40" t="s">
        <v>74</v>
      </c>
      <c r="I69" s="41">
        <v>20</v>
      </c>
      <c r="J69" s="34" t="s">
        <v>72</v>
      </c>
    </row>
    <row r="70" spans="1:10" x14ac:dyDescent="0.25">
      <c r="A70" s="17" t="s">
        <v>79</v>
      </c>
      <c r="B70" s="28" t="s">
        <v>100</v>
      </c>
      <c r="C70" s="28" t="s">
        <v>100</v>
      </c>
      <c r="D70" s="33">
        <v>6836</v>
      </c>
      <c r="E70" s="33">
        <v>113945</v>
      </c>
      <c r="F70" s="33">
        <v>6836</v>
      </c>
      <c r="G70" s="33">
        <v>113945</v>
      </c>
      <c r="H70" s="40" t="s">
        <v>75</v>
      </c>
      <c r="I70" s="42">
        <v>7.4999999999999997E-2</v>
      </c>
      <c r="J70" s="34" t="s">
        <v>108</v>
      </c>
    </row>
    <row r="71" spans="1:10" x14ac:dyDescent="0.25">
      <c r="A71" s="17" t="s">
        <v>101</v>
      </c>
      <c r="B71" s="68" t="s">
        <v>113</v>
      </c>
      <c r="C71" s="69"/>
      <c r="D71" s="33">
        <f>0.04*D68</f>
        <v>1182.96</v>
      </c>
      <c r="E71" s="33">
        <f t="shared" ref="E71:G71" si="12">0.04*E68</f>
        <v>7197.16</v>
      </c>
      <c r="F71" s="33">
        <f t="shared" si="12"/>
        <v>1636.64</v>
      </c>
      <c r="G71" s="33">
        <f t="shared" si="12"/>
        <v>9012</v>
      </c>
      <c r="H71" s="40" t="s">
        <v>114</v>
      </c>
      <c r="I71" s="42"/>
      <c r="J71" s="34"/>
    </row>
    <row r="72" spans="1:10" ht="15.75" thickBot="1" x14ac:dyDescent="0.3">
      <c r="A72" s="17" t="s">
        <v>77</v>
      </c>
      <c r="B72" s="17"/>
      <c r="C72" s="17"/>
      <c r="D72" s="33">
        <f>(D68+D69)*$I$72</f>
        <v>3391.4394334962267</v>
      </c>
      <c r="E72" s="33">
        <f t="shared" ref="E72:G72" si="13">(E68+E69)*$I$72</f>
        <v>18140.090906375415</v>
      </c>
      <c r="F72" s="33">
        <f t="shared" si="13"/>
        <v>4504.0010709901298</v>
      </c>
      <c r="G72" s="33">
        <f t="shared" si="13"/>
        <v>22590.631732925925</v>
      </c>
      <c r="H72" s="35" t="s">
        <v>76</v>
      </c>
      <c r="I72" s="43">
        <f>(I70*(1+I70)^I69)/((1+I70)^I69-1)</f>
        <v>9.8092191632331419E-2</v>
      </c>
      <c r="J72" s="34"/>
    </row>
    <row r="73" spans="1:10" ht="15.75" thickTop="1" x14ac:dyDescent="0.25">
      <c r="A73" s="17" t="s">
        <v>103</v>
      </c>
      <c r="B73" s="17"/>
      <c r="C73" s="17"/>
      <c r="D73" s="33">
        <f>D70+D71+D72</f>
        <v>11410.399433496226</v>
      </c>
      <c r="E73" s="33">
        <f>E70+E71+E72</f>
        <v>139282.25090637541</v>
      </c>
      <c r="F73" s="33">
        <f>F70+F71+F72</f>
        <v>12976.641070990128</v>
      </c>
      <c r="G73" s="33">
        <f>G70+G71+G72</f>
        <v>145547.63173292592</v>
      </c>
      <c r="H73" s="34" t="s">
        <v>78</v>
      </c>
      <c r="I73" s="34"/>
      <c r="J73" s="34"/>
    </row>
    <row r="74" spans="1:10" x14ac:dyDescent="0.25">
      <c r="A74" s="17" t="s">
        <v>89</v>
      </c>
      <c r="B74" s="39"/>
      <c r="C74" s="17"/>
      <c r="D74" s="63">
        <f>(D70+D71+D72)*(23.88/21.26)</f>
        <v>12816.572834990115</v>
      </c>
      <c r="E74" s="63">
        <f t="shared" ref="E74:G74" si="14">(E70+E71+E72)*(23.88/21.26)</f>
        <v>156446.85567470576</v>
      </c>
      <c r="F74" s="63">
        <f t="shared" si="14"/>
        <v>14575.832021413182</v>
      </c>
      <c r="G74" s="63">
        <f t="shared" si="14"/>
        <v>163484.35775081234</v>
      </c>
      <c r="H74" s="34" t="s">
        <v>90</v>
      </c>
    </row>
    <row r="76" spans="1:10" x14ac:dyDescent="0.25">
      <c r="A76" s="57" t="s">
        <v>105</v>
      </c>
    </row>
    <row r="77" spans="1:10" x14ac:dyDescent="0.25">
      <c r="A77" s="15" t="s">
        <v>30</v>
      </c>
    </row>
    <row r="78" spans="1:10" x14ac:dyDescent="0.25">
      <c r="A78" s="17" t="s">
        <v>94</v>
      </c>
      <c r="B78" s="17"/>
      <c r="C78" s="17"/>
      <c r="D78" s="36">
        <f>D74</f>
        <v>12816.572834990115</v>
      </c>
    </row>
    <row r="79" spans="1:10" x14ac:dyDescent="0.25">
      <c r="A79" s="17" t="s">
        <v>95</v>
      </c>
      <c r="B79" s="17"/>
      <c r="C79" s="17"/>
      <c r="D79" s="36">
        <f>E74</f>
        <v>156446.85567470576</v>
      </c>
    </row>
    <row r="80" spans="1:10" x14ac:dyDescent="0.25">
      <c r="A80" s="17" t="s">
        <v>82</v>
      </c>
      <c r="B80" s="17"/>
      <c r="C80" s="17"/>
      <c r="D80" s="37">
        <f>G61/2000</f>
        <v>0.30907933019999995</v>
      </c>
      <c r="F80" s="34"/>
    </row>
    <row r="81" spans="1:6" x14ac:dyDescent="0.25">
      <c r="A81" s="17" t="s">
        <v>83</v>
      </c>
      <c r="B81" s="17"/>
      <c r="C81" s="17"/>
      <c r="D81" s="24">
        <f>K61/2000</f>
        <v>0.31769054460000001</v>
      </c>
      <c r="F81" s="34"/>
    </row>
    <row r="82" spans="1:6" x14ac:dyDescent="0.25">
      <c r="A82" s="17" t="s">
        <v>84</v>
      </c>
      <c r="B82" s="17"/>
      <c r="C82" s="17"/>
      <c r="D82" s="38">
        <f>D78/D80</f>
        <v>41466.936099210288</v>
      </c>
    </row>
    <row r="83" spans="1:6" x14ac:dyDescent="0.25">
      <c r="A83" s="17" t="s">
        <v>85</v>
      </c>
      <c r="B83" s="17"/>
      <c r="C83" s="17"/>
      <c r="D83" s="38">
        <f>D79/D80</f>
        <v>506170.553603412</v>
      </c>
    </row>
    <row r="84" spans="1:6" x14ac:dyDescent="0.25">
      <c r="A84" s="17" t="s">
        <v>86</v>
      </c>
      <c r="B84" s="17"/>
      <c r="C84" s="17"/>
      <c r="D84" s="38">
        <f>D78/D81</f>
        <v>40342.947100069636</v>
      </c>
    </row>
    <row r="85" spans="1:6" x14ac:dyDescent="0.25">
      <c r="A85" s="17" t="s">
        <v>87</v>
      </c>
      <c r="B85" s="17"/>
      <c r="C85" s="17"/>
      <c r="D85" s="38">
        <f>D79/D81</f>
        <v>492450.46267173591</v>
      </c>
    </row>
    <row r="87" spans="1:6" x14ac:dyDescent="0.25">
      <c r="A87" s="15" t="s">
        <v>69</v>
      </c>
    </row>
    <row r="88" spans="1:6" x14ac:dyDescent="0.25">
      <c r="A88" s="17" t="s">
        <v>80</v>
      </c>
      <c r="B88" s="17"/>
      <c r="C88" s="17"/>
      <c r="D88" s="36">
        <f>F74</f>
        <v>14575.832021413182</v>
      </c>
    </row>
    <row r="89" spans="1:6" x14ac:dyDescent="0.25">
      <c r="A89" s="17" t="s">
        <v>81</v>
      </c>
      <c r="B89" s="17"/>
      <c r="C89" s="17"/>
      <c r="D89" s="36">
        <f>G74</f>
        <v>163484.35775081234</v>
      </c>
    </row>
    <row r="90" spans="1:6" x14ac:dyDescent="0.25">
      <c r="A90" s="17" t="s">
        <v>82</v>
      </c>
      <c r="B90" s="17"/>
      <c r="C90" s="17"/>
      <c r="D90" s="37">
        <f>G61/2000</f>
        <v>0.30907933019999995</v>
      </c>
      <c r="F90" s="34"/>
    </row>
    <row r="91" spans="1:6" x14ac:dyDescent="0.25">
      <c r="A91" s="17" t="s">
        <v>83</v>
      </c>
      <c r="B91" s="17"/>
      <c r="C91" s="17"/>
      <c r="D91" s="24">
        <f>K61/2000</f>
        <v>0.31769054460000001</v>
      </c>
      <c r="F91" s="34"/>
    </row>
    <row r="92" spans="1:6" x14ac:dyDescent="0.25">
      <c r="A92" s="17" t="s">
        <v>84</v>
      </c>
      <c r="B92" s="17"/>
      <c r="C92" s="17"/>
      <c r="D92" s="38">
        <f>D88/D90</f>
        <v>47158.870222675228</v>
      </c>
    </row>
    <row r="93" spans="1:6" x14ac:dyDescent="0.25">
      <c r="A93" s="17" t="s">
        <v>85</v>
      </c>
      <c r="B93" s="17"/>
      <c r="C93" s="17"/>
      <c r="D93" s="38">
        <f>D89/D90</f>
        <v>528939.79563442303</v>
      </c>
    </row>
    <row r="94" spans="1:6" x14ac:dyDescent="0.25">
      <c r="A94" s="17" t="s">
        <v>86</v>
      </c>
      <c r="B94" s="17"/>
      <c r="C94" s="17"/>
      <c r="D94" s="38">
        <f>D88/D91</f>
        <v>45880.597547419675</v>
      </c>
    </row>
    <row r="95" spans="1:6" x14ac:dyDescent="0.25">
      <c r="A95" s="17" t="s">
        <v>87</v>
      </c>
      <c r="B95" s="17"/>
      <c r="C95" s="17"/>
      <c r="D95" s="38">
        <f>D89/D91</f>
        <v>514602.52918969729</v>
      </c>
    </row>
    <row r="97" spans="1:4" x14ac:dyDescent="0.25">
      <c r="A97" s="61" t="s">
        <v>110</v>
      </c>
      <c r="B97" s="61"/>
      <c r="C97" s="62">
        <f>MIN(D82:D85,D92:D95)</f>
        <v>40342.947100069636</v>
      </c>
      <c r="D97" s="62">
        <f>MAX(D82:D85,D92:D95)</f>
        <v>528939.79563442303</v>
      </c>
    </row>
    <row r="99" spans="1:4" x14ac:dyDescent="0.25">
      <c r="A99" s="57" t="s">
        <v>107</v>
      </c>
    </row>
    <row r="100" spans="1:4" x14ac:dyDescent="0.25">
      <c r="A100" s="15" t="s">
        <v>30</v>
      </c>
    </row>
    <row r="101" spans="1:4" x14ac:dyDescent="0.25">
      <c r="A101" s="17" t="s">
        <v>94</v>
      </c>
      <c r="B101" s="17"/>
      <c r="C101" s="17"/>
      <c r="D101" s="36">
        <f>D74</f>
        <v>12816.572834990115</v>
      </c>
    </row>
    <row r="102" spans="1:4" x14ac:dyDescent="0.25">
      <c r="A102" s="17" t="s">
        <v>95</v>
      </c>
      <c r="B102" s="17"/>
      <c r="C102" s="17"/>
      <c r="D102" s="36">
        <f>E74</f>
        <v>156446.85567470576</v>
      </c>
    </row>
    <row r="103" spans="1:4" x14ac:dyDescent="0.25">
      <c r="A103" s="17" t="s">
        <v>82</v>
      </c>
      <c r="B103" s="17"/>
      <c r="C103" s="17"/>
      <c r="D103" s="46">
        <f>H61/2000</f>
        <v>0.28751565599999995</v>
      </c>
    </row>
    <row r="104" spans="1:4" x14ac:dyDescent="0.25">
      <c r="A104" s="17" t="s">
        <v>83</v>
      </c>
      <c r="B104" s="17"/>
      <c r="C104" s="17"/>
      <c r="D104" s="46">
        <f>L61/2000</f>
        <v>0.29552608800000008</v>
      </c>
    </row>
    <row r="105" spans="1:4" x14ac:dyDescent="0.25">
      <c r="A105" s="17" t="s">
        <v>84</v>
      </c>
      <c r="B105" s="17"/>
      <c r="C105" s="17"/>
      <c r="D105" s="38">
        <f>D101/D103</f>
        <v>44576.95630665106</v>
      </c>
    </row>
    <row r="106" spans="1:4" x14ac:dyDescent="0.25">
      <c r="A106" s="17" t="s">
        <v>85</v>
      </c>
      <c r="B106" s="17"/>
      <c r="C106" s="17"/>
      <c r="D106" s="38">
        <f>D102/D103</f>
        <v>544133.34512366797</v>
      </c>
    </row>
    <row r="107" spans="1:4" x14ac:dyDescent="0.25">
      <c r="A107" s="17" t="s">
        <v>86</v>
      </c>
      <c r="B107" s="17"/>
      <c r="C107" s="17"/>
      <c r="D107" s="38">
        <f>D101/D104</f>
        <v>43368.66813257485</v>
      </c>
    </row>
    <row r="108" spans="1:4" x14ac:dyDescent="0.25">
      <c r="A108" s="17" t="s">
        <v>87</v>
      </c>
      <c r="B108" s="17"/>
      <c r="C108" s="17"/>
      <c r="D108" s="38">
        <f>D102/D104</f>
        <v>529384.24737211596</v>
      </c>
    </row>
    <row r="110" spans="1:4" x14ac:dyDescent="0.25">
      <c r="A110" s="15" t="s">
        <v>69</v>
      </c>
    </row>
    <row r="111" spans="1:4" x14ac:dyDescent="0.25">
      <c r="A111" s="17" t="s">
        <v>80</v>
      </c>
      <c r="B111" s="17"/>
      <c r="C111" s="17"/>
      <c r="D111" s="36">
        <f>F74</f>
        <v>14575.832021413182</v>
      </c>
    </row>
    <row r="112" spans="1:4" x14ac:dyDescent="0.25">
      <c r="A112" s="17" t="s">
        <v>81</v>
      </c>
      <c r="B112" s="17"/>
      <c r="C112" s="17"/>
      <c r="D112" s="36">
        <f>G74</f>
        <v>163484.35775081234</v>
      </c>
    </row>
    <row r="113" spans="1:4" x14ac:dyDescent="0.25">
      <c r="A113" s="17" t="s">
        <v>82</v>
      </c>
      <c r="B113" s="17"/>
      <c r="C113" s="17"/>
      <c r="D113" s="37">
        <f>H61/2000</f>
        <v>0.28751565599999995</v>
      </c>
    </row>
    <row r="114" spans="1:4" x14ac:dyDescent="0.25">
      <c r="A114" s="17" t="s">
        <v>83</v>
      </c>
      <c r="B114" s="17"/>
      <c r="C114" s="17"/>
      <c r="D114" s="24">
        <f>L61/2000</f>
        <v>0.29552608800000008</v>
      </c>
    </row>
    <row r="115" spans="1:4" x14ac:dyDescent="0.25">
      <c r="A115" s="17" t="s">
        <v>84</v>
      </c>
      <c r="B115" s="17"/>
      <c r="C115" s="17"/>
      <c r="D115" s="38">
        <f>D111/D113</f>
        <v>50695.78548937587</v>
      </c>
    </row>
    <row r="116" spans="1:4" x14ac:dyDescent="0.25">
      <c r="A116" s="17" t="s">
        <v>85</v>
      </c>
      <c r="B116" s="17"/>
      <c r="C116" s="17"/>
      <c r="D116" s="38">
        <f>D112/D113</f>
        <v>568610.28030700481</v>
      </c>
    </row>
    <row r="117" spans="1:4" x14ac:dyDescent="0.25">
      <c r="A117" s="17" t="s">
        <v>86</v>
      </c>
      <c r="B117" s="17"/>
      <c r="C117" s="17"/>
      <c r="D117" s="38">
        <f>D111/D114</f>
        <v>49321.642363476138</v>
      </c>
    </row>
    <row r="118" spans="1:4" x14ac:dyDescent="0.25">
      <c r="A118" s="17" t="s">
        <v>87</v>
      </c>
      <c r="B118" s="17"/>
      <c r="C118" s="17"/>
      <c r="D118" s="38">
        <f>D112/D114</f>
        <v>553197.7188789245</v>
      </c>
    </row>
    <row r="120" spans="1:4" x14ac:dyDescent="0.25">
      <c r="A120" s="61" t="s">
        <v>109</v>
      </c>
      <c r="B120" s="61"/>
      <c r="C120" s="62">
        <f>MIN(D105:D108,D115:D118)</f>
        <v>43368.66813257485</v>
      </c>
      <c r="D120" s="62">
        <f>MAX(D105:D108,D115:D118)</f>
        <v>568610.28030700481</v>
      </c>
    </row>
    <row r="122" spans="1:4" x14ac:dyDescent="0.25">
      <c r="A122" s="34" t="s">
        <v>88</v>
      </c>
    </row>
  </sheetData>
  <sheetProtection algorithmName="SHA-512" hashValue="kqfA7lATZsh29xsR3KIwQCbkjS+zDTIZIWbb5+chsuxg3RwEnrfBKyUDy2Lz0CIYjbSVuyrPk8yjRiyKq5gmuQ==" saltValue="6xvoCAmaSrat4+CbajusxA==" spinCount="100000" sheet="1" objects="1" scenarios="1"/>
  <mergeCells count="10">
    <mergeCell ref="M1:X1"/>
    <mergeCell ref="A2:L2"/>
    <mergeCell ref="B71:C71"/>
    <mergeCell ref="D64:E64"/>
    <mergeCell ref="F64:G64"/>
    <mergeCell ref="A19:A24"/>
    <mergeCell ref="A17:D17"/>
    <mergeCell ref="A25:A29"/>
    <mergeCell ref="F17:G17"/>
    <mergeCell ref="I17:K17"/>
  </mergeCells>
  <phoneticPr fontId="7" type="noConversion"/>
  <hyperlinks>
    <hyperlink ref="A33" r:id="rId1" display="http://www.valleyair.org/pmplans/documents/2018/pm-plan-adopted/2018-Plan-for-the-1997-2006-and-2012-PM2.5-Standards.pdf" xr:uid="{5967E726-1A7A-4E2C-8DBA-312F28B444D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Underfired Charbroilers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Suriya Vallamsundar</dc:creator>
  <cp:lastModifiedBy>Alimi, Adeyemi S (DEC)</cp:lastModifiedBy>
  <cp:lastPrinted>2023-01-19T21:33:49Z</cp:lastPrinted>
  <dcterms:created xsi:type="dcterms:W3CDTF">2022-12-12T22:31:00Z</dcterms:created>
  <dcterms:modified xsi:type="dcterms:W3CDTF">2024-08-21T00:23:46Z</dcterms:modified>
</cp:coreProperties>
</file>