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0" documentId="13_ncr:1_{17DD3D85-290D-420D-BBEF-D792FB495A64}" xr6:coauthVersionLast="47" xr6:coauthVersionMax="47" xr10:uidLastSave="{00000000-0000-0000-0000-000000000000}"/>
  <bookViews>
    <workbookView xWindow="28680" yWindow="-120" windowWidth="29040" windowHeight="15840" xr2:uid="{00000000-000D-0000-FFFF-FFFF00000000}"/>
  </bookViews>
  <sheets>
    <sheet name="Total Capital Investment" sheetId="1" r:id="rId1"/>
    <sheet name="Cost Effectivene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K25" i="1" s="1"/>
  <c r="K22" i="1"/>
  <c r="K19" i="1"/>
  <c r="E10" i="2" l="1"/>
  <c r="E8" i="2"/>
  <c r="G38" i="1"/>
  <c r="G35" i="1" l="1"/>
  <c r="G11" i="1"/>
  <c r="E14" i="2" l="1"/>
  <c r="G12" i="1"/>
  <c r="K16" i="1" s="1"/>
  <c r="K38" i="1"/>
  <c r="K27" i="1" l="1"/>
  <c r="K28" i="1" s="1"/>
  <c r="K33" i="1" l="1"/>
  <c r="K34" i="1"/>
  <c r="K35" i="1"/>
  <c r="K36" i="1"/>
  <c r="K37" i="1"/>
  <c r="K32" i="1" l="1"/>
  <c r="I47" i="1" l="1"/>
  <c r="E15" i="2"/>
  <c r="H15" i="2" s="1"/>
  <c r="K15" i="2" s="1"/>
  <c r="H14" i="2" l="1"/>
  <c r="I10" i="2" l="1"/>
  <c r="G11" i="2" s="1"/>
  <c r="H11" i="2" s="1"/>
  <c r="I8" i="2"/>
  <c r="E22" i="2"/>
  <c r="K11" i="2" l="1"/>
  <c r="K14" i="2"/>
  <c r="K10" i="2"/>
  <c r="K9" i="2"/>
  <c r="K8" i="2"/>
  <c r="K13" i="2"/>
  <c r="K17" i="2" l="1"/>
  <c r="K29" i="1" l="1"/>
  <c r="K39" i="1" l="1"/>
  <c r="K42" i="1" l="1"/>
  <c r="I46" i="1" s="1"/>
  <c r="K48" i="1" s="1"/>
  <c r="I52" i="1" l="1"/>
  <c r="K53" i="1" s="1"/>
  <c r="K56" i="1" s="1"/>
  <c r="I20" i="2" s="1"/>
  <c r="K23" i="2" l="1"/>
  <c r="K20" i="2"/>
  <c r="I21" i="2"/>
  <c r="K21" i="2" s="1"/>
  <c r="K25" i="2" l="1"/>
  <c r="K27" i="2" s="1"/>
</calcChain>
</file>

<file path=xl/sharedStrings.xml><?xml version="1.0" encoding="utf-8"?>
<sst xmlns="http://schemas.openxmlformats.org/spreadsheetml/2006/main" count="256" uniqueCount="180">
  <si>
    <t>DIRECT COSTS</t>
  </si>
  <si>
    <t>Purchased equipment and material costs</t>
  </si>
  <si>
    <t>Basic equipment</t>
  </si>
  <si>
    <t>Freight</t>
  </si>
  <si>
    <t>Vendor representatives fees</t>
  </si>
  <si>
    <t>(a)</t>
  </si>
  <si>
    <t>(b)</t>
  </si>
  <si>
    <t>(c)</t>
  </si>
  <si>
    <t>(d)</t>
  </si>
  <si>
    <t>(f)</t>
  </si>
  <si>
    <t>(1)</t>
  </si>
  <si>
    <t>(2)</t>
  </si>
  <si>
    <t>Direct Installation Costs</t>
  </si>
  <si>
    <t>(g)</t>
  </si>
  <si>
    <t>Electrical</t>
  </si>
  <si>
    <t>Insulation</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</si>
  <si>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</si>
  <si>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</si>
  <si>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</si>
  <si>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</si>
  <si>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</si>
  <si>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</si>
  <si>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</si>
  <si>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</si>
  <si>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</si>
  <si>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</si>
  <si>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</si>
  <si>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</si>
  <si>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</si>
  <si>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</si>
  <si>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</si>
  <si>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</si>
  <si>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</si>
  <si>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</si>
  <si>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</si>
  <si>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</si>
  <si>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</si>
  <si>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</si>
  <si>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</si>
  <si>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</si>
  <si>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</si>
  <si>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</si>
  <si>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</si>
  <si>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</si>
  <si>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</si>
  <si>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</si>
  <si>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</si>
  <si>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</si>
  <si>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</si>
  <si>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</si>
  <si>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</si>
  <si>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</si>
  <si>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</si>
  <si>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</si>
  <si>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</si>
  <si>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</si>
  <si>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</si>
  <si>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</si>
  <si>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</si>
  <si>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</si>
  <si>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</si>
  <si>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</si>
  <si>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</si>
  <si>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</si>
  <si>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</si>
  <si>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</si>
  <si>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</si>
  <si>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</si>
  <si>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</si>
  <si>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</si>
  <si>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</si>
  <si>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</si>
  <si>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</si>
  <si>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</si>
  <si>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</si>
  <si>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</si>
  <si>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</si>
  <si>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</si>
  <si>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</si>
  <si>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</si>
  <si>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Onsite Vendor Representatives fees (enter no. of days and daily rate)</t>
  </si>
  <si>
    <t>Shaded cells indicate user inputs</t>
  </si>
  <si>
    <t>Capital Recovery Factor [see inputs below]</t>
  </si>
  <si>
    <t>Data Inputs for Capital Recovery Factor:</t>
  </si>
  <si>
    <t>(e)</t>
  </si>
  <si>
    <t>Excluded</t>
  </si>
  <si>
    <t xml:space="preserve">Annual Interest Rate (EPA OAQPS Control Cost Manual)  </t>
  </si>
  <si>
    <t xml:space="preserve">Project Life (EPA OAQPS Control Cost Manual) </t>
  </si>
  <si>
    <t>% total capital</t>
  </si>
  <si>
    <t>Total Capital Investment - CDS (Circulating Dry Scrubber)</t>
  </si>
  <si>
    <t>UAF - BACT Analysis</t>
  </si>
  <si>
    <t>M. Jahn</t>
  </si>
  <si>
    <t>Total CDS System</t>
  </si>
  <si>
    <t>Water:</t>
  </si>
  <si>
    <t xml:space="preserve">Vendor: </t>
  </si>
  <si>
    <t>Andritz</t>
  </si>
  <si>
    <t>HVAC</t>
  </si>
  <si>
    <t>Fire System</t>
  </si>
  <si>
    <t>ID Fan</t>
  </si>
  <si>
    <t>Concrete (CDS Building, Duct Supports)</t>
  </si>
  <si>
    <t>Structural Steel (CDS Building, Supports, Duct)</t>
  </si>
  <si>
    <t>Demo of existing Water Treatment Building</t>
  </si>
  <si>
    <t>CDS System</t>
  </si>
  <si>
    <t>ID Fan System Freight</t>
  </si>
  <si>
    <t>Reagent:</t>
  </si>
  <si>
    <t>Site Vibro Compaction (CDS Building, Supports)</t>
  </si>
  <si>
    <t>Line Number 3</t>
  </si>
  <si>
    <t>Line Number 4</t>
  </si>
  <si>
    <t>Maintenance Material</t>
  </si>
  <si>
    <t>Electricity</t>
  </si>
  <si>
    <t>Calculated as percent of Total Capital Investment</t>
  </si>
  <si>
    <t>Admin Charges, etc</t>
  </si>
  <si>
    <t>Capital Recovery Factor</t>
  </si>
  <si>
    <t>EPA calculated factor using Interest Rate and Project Life Span</t>
  </si>
  <si>
    <t>Capital Recovery Factor times Total Capital Investment.</t>
  </si>
  <si>
    <t>Annual Interest Rate</t>
  </si>
  <si>
    <t>Project Life</t>
  </si>
  <si>
    <t>Project Life expectancy in years.</t>
  </si>
  <si>
    <t>Golden Heart Utility Relocation</t>
  </si>
  <si>
    <t>CDS price provided by OEM Vendor. Cost includes equipment supply and installation costs. Andritz provided a rough installation factor based on material supply. Assumed installation costs were the same as equipment supply.</t>
  </si>
  <si>
    <t>Direct Installation Costs (DIC) - Estimate for new building, foundation, piping, electrical, etc.</t>
  </si>
  <si>
    <t>Fire System costs for the new CDS Building. Costs were derived from the original UAF estimate and scaled based on a cost/square foot and escalated using CEPCI.</t>
  </si>
  <si>
    <t>HVAC costs for the new CDS Building. Costs were derived from the original UAF estimate and scaled based on a cost/square foot and escalated using CEPCI.</t>
  </si>
  <si>
    <t>Water Treatment Building Demolition</t>
  </si>
  <si>
    <t>Water Treatment Building Demolition costs to demolish the existing water treatment building. The new CDS building will be built in it's place. Estimated costs were derived on a level of effort basis</t>
  </si>
  <si>
    <t>Total costs for new cabinets and integrating CDS I/O into existing UAF DCS.</t>
  </si>
  <si>
    <t>ID Fan Shipping Costs</t>
  </si>
  <si>
    <t>Direct Install Costs</t>
  </si>
  <si>
    <t>Costs broken down into individual disciplines for balance of plant equipment, materials and labor for the CDS System. Cost estimate basis for each discipline are provided as attachments.</t>
  </si>
  <si>
    <t>Engineering Services</t>
  </si>
  <si>
    <t>Performance Test</t>
  </si>
  <si>
    <t>Costs for a 3rd party performance testing company to validate emissions and performance guarantees by CDS vendor during operation</t>
  </si>
  <si>
    <t>Construction Contingency</t>
  </si>
  <si>
    <t>Line Number 8</t>
  </si>
  <si>
    <t>Operating/Maintenance Labor</t>
  </si>
  <si>
    <t>Water</t>
  </si>
  <si>
    <t>Pricing provided by UAF for published utility rates on campus. Water consumption rate provided by CDS vendor.</t>
  </si>
  <si>
    <t>Line Number 1 and 3</t>
  </si>
  <si>
    <t>Line Number 5b</t>
  </si>
  <si>
    <t>Line Number 5c</t>
  </si>
  <si>
    <t>Line Number 6</t>
  </si>
  <si>
    <t>(7a)</t>
  </si>
  <si>
    <t>Line Number 7a</t>
  </si>
  <si>
    <t>(7b)</t>
  </si>
  <si>
    <t>Line Number 7b</t>
  </si>
  <si>
    <t>Line Number/Description</t>
  </si>
  <si>
    <t>Title</t>
  </si>
  <si>
    <t>Comment</t>
  </si>
  <si>
    <t>Line Number 1a</t>
  </si>
  <si>
    <t>Line Number 1b</t>
  </si>
  <si>
    <t>Line Number 1c</t>
  </si>
  <si>
    <t>(K) Gallons</t>
  </si>
  <si>
    <t>Provided by UAF. Rate is burdoned rate for level of personnel operating and performing maintenance on this type of equipment. Additional FT operations person is assumed per shift. Four total shifts per week. Quarter FT maintenance persons is assumed for the new CDS system.</t>
  </si>
  <si>
    <t>Pricing provided by UAF for published utility rates on campus. Electical consumption rate provided by CDS vendor. Additional consumption by larger ID Fan was also included.</t>
  </si>
  <si>
    <t>Extended Outage Costs</t>
  </si>
  <si>
    <t>Administrative Charges, Insurance</t>
  </si>
  <si>
    <t>Latest federal prime rate. https://www.federalreserve.gov/releases/h15/</t>
  </si>
  <si>
    <t>Pricing provided by Clarage for new ID Fan. Fan shipping is provided in line number 1c.</t>
  </si>
  <si>
    <t>Costs to ship ID fan to site.</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</si>
  <si>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</si>
  <si>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</si>
  <si>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Line Number 5</t>
  </si>
  <si>
    <t>Additional days beyond a typical 3 week outage</t>
  </si>
  <si>
    <t>days</t>
  </si>
  <si>
    <t>Line Number 1d</t>
  </si>
  <si>
    <t>Line Number 1e</t>
  </si>
  <si>
    <t>Vendor Representative Costs</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</si>
  <si>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</si>
  <si>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</si>
  <si>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Total Annualized Costs - CDS (Circulating Dry Scrubber)</t>
  </si>
  <si>
    <t>N/A</t>
  </si>
  <si>
    <t>Line Number 5a</t>
  </si>
  <si>
    <r>
      <t>CDS vendor will not require injection of reagent for SO</t>
    </r>
    <r>
      <rPr>
        <vertAlign val="subscript"/>
        <sz val="11"/>
        <color theme="1"/>
        <rFont val="Calibri"/>
        <family val="2"/>
        <scheme val="minor"/>
      </rPr>
      <t>2</t>
    </r>
    <r>
      <rPr>
        <sz val="11"/>
        <color theme="1"/>
        <rFont val="Calibri"/>
        <family val="2"/>
        <scheme val="minor"/>
      </rPr>
      <t xml:space="preserve"> reduction.</t>
    </r>
  </si>
  <si>
    <t>Reagent</t>
  </si>
  <si>
    <t>Line Number 2a thru 2g</t>
  </si>
  <si>
    <t>B</t>
  </si>
  <si>
    <t>Updated By:</t>
  </si>
  <si>
    <t>C. Kimball</t>
  </si>
  <si>
    <t>Costs incurred for OEM to send a Field Technician to the field to confirm installation and provide technical guidance if needed. Cost per day includes hourly burdened rate for employee daily allowances and travel expenses. Based on general engineering and project experience.</t>
  </si>
  <si>
    <t>UAF typically schedules for a 3 week outage on Boiler #5. A CDS outage will take 6 weeks and University will incur 3 additional weeks of outage costs that include purchasing electric power and running additional boilers for steam generation. Costs per day were provided by UAF personnel. The daily outage cost calculations are presented in the last section of Appendix G beginning on page G-73.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</si>
</sst>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s>
  <fonts count="2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rgb="FFFF0000"/>
      <name val="Calibri"/>
      <family val="2"/>
      <scheme val="minor"/>
    </font>
    <font>
      <b/>
      <sz val="11"/>
      <color theme="8" tint="-0.249977111117893"/>
      <name val="Calibri"/>
      <family val="2"/>
      <scheme val="minor"/>
    </font>
    <font>
      <vertAlign val="subscript"/>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41">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66">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0" fontId="17" fillId="0" borderId="0" xfId="0" applyFont="1"/>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44" fontId="0" fillId="0" borderId="0" xfId="3" applyFont="1"/>
    <xf numFmtId="44" fontId="0" fillId="3" borderId="6" xfId="3" applyFont="1" applyFill="1" applyBorder="1" applyAlignment="1">
      <alignment horizontal="center"/>
    </xf>
    <xf numFmtId="0" fontId="0" fillId="0" borderId="31" xfId="0" applyBorder="1" applyAlignment="1">
      <alignment horizontal="center"/>
    </xf>
    <xf numFmtId="44" fontId="0" fillId="0" borderId="31" xfId="3" applyFont="1" applyFill="1" applyBorder="1" applyAlignment="1">
      <alignment horizontal="center"/>
    </xf>
    <xf numFmtId="43" fontId="0" fillId="3" borderId="6" xfId="2" applyFont="1" applyFill="1" applyBorder="1" applyAlignment="1">
      <alignment horizontal="center"/>
    </xf>
    <xf numFmtId="0" fontId="18" fillId="4" borderId="6" xfId="0" applyFont="1" applyFill="1" applyBorder="1" applyAlignment="1">
      <alignment horizontal="center"/>
    </xf>
    <xf numFmtId="1" fontId="0" fillId="3" borderId="6" xfId="0" applyNumberFormat="1" applyFill="1" applyBorder="1" applyAlignment="1">
      <alignment horizontal="center"/>
    </xf>
    <xf numFmtId="167" fontId="0" fillId="3" borderId="6" xfId="2" applyNumberFormat="1"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applyAlignment="1">
      <alignment horizontal="right"/>
    </xf>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49" fontId="12" fillId="0" borderId="38" xfId="0" applyNumberFormat="1" applyFont="1" applyBorder="1"/>
    <xf numFmtId="49" fontId="12" fillId="0" borderId="39" xfId="0" applyNumberFormat="1" applyFont="1" applyBorder="1"/>
    <xf numFmtId="0" fontId="0" fillId="0" borderId="39" xfId="0" applyBorder="1"/>
    <xf numFmtId="0" fontId="0" fillId="0" borderId="39" xfId="0" applyBorder="1" applyAlignment="1">
      <alignment horizontal="center"/>
    </xf>
    <xf numFmtId="42" fontId="0" fillId="0" borderId="39" xfId="0" applyNumberFormat="1" applyBorder="1"/>
    <xf numFmtId="42" fontId="4" fillId="0" borderId="39" xfId="0" applyNumberFormat="1" applyFont="1" applyBorder="1"/>
    <xf numFmtId="42" fontId="4" fillId="0" borderId="39" xfId="0" applyNumberFormat="1" applyFont="1" applyBorder="1" applyAlignment="1">
      <alignment horizontal="right"/>
    </xf>
    <xf numFmtId="42" fontId="0" fillId="0" borderId="40" xfId="0" applyNumberFormat="1" applyBorder="1"/>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3" borderId="35" xfId="0" applyFill="1" applyBorder="1" applyAlignment="1">
      <alignment horizontal="center"/>
    </xf>
    <xf numFmtId="0" fontId="18" fillId="4" borderId="33" xfId="0" applyFont="1" applyFill="1" applyBorder="1" applyAlignment="1">
      <alignment horizontal="center"/>
    </xf>
    <xf numFmtId="0" fontId="18" fillId="4" borderId="34" xfId="0" applyFont="1" applyFill="1" applyBorder="1" applyAlignment="1">
      <alignment horizontal="center"/>
    </xf>
    <xf numFmtId="0" fontId="0" fillId="0" borderId="6" xfId="0" applyBorder="1" applyAlignment="1">
      <alignment horizontal="center" vertical="center"/>
    </xf>
    <xf numFmtId="0" fontId="0" fillId="0" borderId="6" xfId="0" applyBorder="1" applyAlignment="1">
      <alignment horizontal="left" vertical="center" wrapText="1"/>
    </xf>
    <xf numFmtId="0" fontId="18" fillId="4" borderId="10" xfId="0" applyFont="1" applyFill="1" applyBorder="1" applyAlignment="1">
      <alignment horizontal="center"/>
    </xf>
    <xf numFmtId="0" fontId="0" fillId="0" borderId="6" xfId="0" applyBorder="1" applyAlignment="1">
      <alignment horizontal="center" vertical="center" wrapText="1"/>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K73"/>
  <sheetViews>
    <sheetView tabSelected="1" topLeftCell="A52" zoomScale="90" zoomScaleNormal="90" workbookViewId="0">
      <selection activeCell="M65" sqref="M65"/>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6.85546875" bestFit="1" customWidth="1"/>
    <col min="8" max="8" width="24.140625" customWidth="1"/>
    <col min="9" max="9" width="20.42578125" customWidth="1"/>
    <col min="10" max="10" width="14.7109375" customWidth="1"/>
    <col min="11" max="11" width="17.28515625" customWidth="1"/>
    <col min="13" max="13" width="29.85546875" customWidth="1"/>
  </cols>
  <sheetData>
    <row r="1" spans="2:11" ht="15.75" thickBot="1" x14ac:dyDescent="0.3">
      <c r="J1" s="144" t="s">
        <v>79</v>
      </c>
      <c r="K1" s="144"/>
    </row>
    <row r="2" spans="2:11" ht="19.5" thickTop="1" x14ac:dyDescent="0.3">
      <c r="B2" s="50" t="s">
        <v>89</v>
      </c>
      <c r="C2" s="51"/>
      <c r="D2" s="51"/>
      <c r="E2" s="52"/>
      <c r="F2" s="52"/>
      <c r="G2" s="52"/>
      <c r="H2" s="52"/>
      <c r="I2" s="52"/>
      <c r="J2" s="9" t="s">
        <v>47</v>
      </c>
      <c r="K2" s="97">
        <v>44923</v>
      </c>
    </row>
    <row r="3" spans="2:11" x14ac:dyDescent="0.25">
      <c r="B3" s="4" t="s">
        <v>73</v>
      </c>
      <c r="D3" s="22" t="s">
        <v>90</v>
      </c>
      <c r="J3" s="9" t="s">
        <v>48</v>
      </c>
      <c r="K3" s="95" t="s">
        <v>91</v>
      </c>
    </row>
    <row r="4" spans="2:11" x14ac:dyDescent="0.25">
      <c r="B4" s="4" t="s">
        <v>94</v>
      </c>
      <c r="D4" t="s">
        <v>95</v>
      </c>
      <c r="J4" s="9" t="s">
        <v>176</v>
      </c>
      <c r="K4" s="95" t="s">
        <v>177</v>
      </c>
    </row>
    <row r="5" spans="2:11" ht="15.75" thickBot="1" x14ac:dyDescent="0.3">
      <c r="B5" s="53"/>
      <c r="C5" s="48"/>
      <c r="D5" s="48"/>
      <c r="E5" s="48"/>
      <c r="F5" s="48"/>
      <c r="G5" s="48"/>
      <c r="H5" s="48"/>
      <c r="I5" s="48"/>
      <c r="J5" s="49" t="s">
        <v>49</v>
      </c>
      <c r="K5" s="96" t="s">
        <v>175</v>
      </c>
    </row>
    <row r="6" spans="2:11" ht="36.75" customHeight="1" thickBot="1" x14ac:dyDescent="0.3">
      <c r="B6" s="141" t="s">
        <v>42</v>
      </c>
      <c r="C6" s="142"/>
      <c r="D6" s="142"/>
      <c r="E6" s="142"/>
      <c r="F6" s="142"/>
      <c r="G6" s="142"/>
      <c r="H6" s="142"/>
      <c r="I6" s="142"/>
      <c r="J6" s="142"/>
      <c r="K6" s="143"/>
    </row>
    <row r="7" spans="2:11" ht="19.5" thickTop="1" x14ac:dyDescent="0.3">
      <c r="B7" s="23" t="s">
        <v>0</v>
      </c>
      <c r="C7" s="24"/>
      <c r="D7" s="24"/>
      <c r="E7" s="25" t="s">
        <v>50</v>
      </c>
      <c r="F7" s="25" t="s">
        <v>51</v>
      </c>
      <c r="G7" s="26" t="s">
        <v>52</v>
      </c>
      <c r="H7" s="25" t="s">
        <v>64</v>
      </c>
      <c r="I7" s="25" t="s">
        <v>63</v>
      </c>
      <c r="J7" s="24"/>
      <c r="K7" s="27"/>
    </row>
    <row r="8" spans="2:11" ht="15.75" x14ac:dyDescent="0.25">
      <c r="B8" s="1"/>
      <c r="E8" s="12"/>
      <c r="F8" s="12"/>
      <c r="G8" s="13"/>
      <c r="H8" s="12"/>
      <c r="I8" s="12"/>
      <c r="K8" s="20"/>
    </row>
    <row r="9" spans="2:11" ht="15.75" x14ac:dyDescent="0.25">
      <c r="B9" s="7" t="s">
        <v>10</v>
      </c>
      <c r="C9" s="18" t="s">
        <v>1</v>
      </c>
      <c r="D9" s="18"/>
      <c r="J9" s="6"/>
      <c r="K9" s="3"/>
    </row>
    <row r="10" spans="2:11" ht="15.75" x14ac:dyDescent="0.25">
      <c r="B10" s="1"/>
      <c r="C10" s="18" t="s">
        <v>5</v>
      </c>
      <c r="D10" s="18" t="s">
        <v>2</v>
      </c>
      <c r="J10" s="16"/>
      <c r="K10" s="17"/>
    </row>
    <row r="11" spans="2:11" x14ac:dyDescent="0.25">
      <c r="B11" s="5"/>
      <c r="C11" s="2"/>
      <c r="D11" t="s">
        <v>102</v>
      </c>
      <c r="E11" s="54">
        <v>1</v>
      </c>
      <c r="F11" s="8" t="s">
        <v>65</v>
      </c>
      <c r="G11" s="102">
        <f>8475000*2</f>
        <v>16950000</v>
      </c>
      <c r="H11" s="15"/>
      <c r="I11" s="15"/>
      <c r="J11" s="66"/>
      <c r="K11" s="11"/>
    </row>
    <row r="12" spans="2:11" x14ac:dyDescent="0.25">
      <c r="B12" s="5"/>
      <c r="C12" s="2"/>
      <c r="D12" t="s">
        <v>98</v>
      </c>
      <c r="E12" s="54">
        <v>1</v>
      </c>
      <c r="F12" s="8" t="s">
        <v>65</v>
      </c>
      <c r="G12" s="102">
        <f>425808+142071</f>
        <v>567879</v>
      </c>
      <c r="H12" s="15"/>
      <c r="I12" s="15"/>
      <c r="J12" s="66"/>
      <c r="K12" s="11"/>
    </row>
    <row r="13" spans="2:11" x14ac:dyDescent="0.25">
      <c r="B13" s="5"/>
      <c r="C13" s="2"/>
      <c r="D13" t="s">
        <v>97</v>
      </c>
      <c r="E13" s="54">
        <v>1</v>
      </c>
      <c r="F13" s="8" t="s">
        <v>65</v>
      </c>
      <c r="G13" s="102">
        <v>134000</v>
      </c>
      <c r="H13" s="15"/>
      <c r="I13" s="15"/>
      <c r="J13" s="66"/>
      <c r="K13" s="11"/>
    </row>
    <row r="14" spans="2:11" x14ac:dyDescent="0.25">
      <c r="B14" s="5"/>
      <c r="C14" s="2"/>
      <c r="D14" t="s">
        <v>96</v>
      </c>
      <c r="E14" s="54">
        <v>1</v>
      </c>
      <c r="F14" s="8" t="s">
        <v>65</v>
      </c>
      <c r="G14" s="102">
        <v>445000</v>
      </c>
      <c r="H14" s="15"/>
      <c r="I14" s="15"/>
      <c r="J14" s="66"/>
      <c r="K14" s="11"/>
    </row>
    <row r="15" spans="2:11" x14ac:dyDescent="0.25">
      <c r="B15" s="5"/>
      <c r="C15" s="2"/>
      <c r="D15" t="s">
        <v>101</v>
      </c>
      <c r="E15" s="54">
        <v>1</v>
      </c>
      <c r="F15" s="8" t="s">
        <v>65</v>
      </c>
      <c r="G15" s="102">
        <v>500000</v>
      </c>
      <c r="I15" s="101"/>
      <c r="J15" s="67"/>
      <c r="K15" s="11"/>
    </row>
    <row r="16" spans="2:11" x14ac:dyDescent="0.25">
      <c r="B16" s="5"/>
      <c r="C16" s="2"/>
      <c r="D16" t="s">
        <v>92</v>
      </c>
      <c r="E16" s="103"/>
      <c r="F16" s="8"/>
      <c r="G16" s="104"/>
      <c r="H16" s="15"/>
      <c r="I16" s="15"/>
      <c r="J16" s="67" t="s">
        <v>66</v>
      </c>
      <c r="K16" s="17">
        <f>E11*G11+E12*G12+E13*G13+E14*G14+E15*G15</f>
        <v>18596879</v>
      </c>
    </row>
    <row r="17" spans="2:11" ht="15.75" x14ac:dyDescent="0.25">
      <c r="B17" s="5"/>
      <c r="C17" s="18" t="s">
        <v>6</v>
      </c>
      <c r="D17" s="18" t="s">
        <v>43</v>
      </c>
      <c r="E17" s="8"/>
      <c r="F17" s="8"/>
      <c r="G17" s="14"/>
      <c r="H17" s="15"/>
      <c r="I17" s="15"/>
      <c r="J17" s="67"/>
      <c r="K17" s="10"/>
    </row>
    <row r="18" spans="2:11" x14ac:dyDescent="0.25">
      <c r="B18" s="5"/>
      <c r="C18" s="2"/>
      <c r="D18" t="s">
        <v>67</v>
      </c>
      <c r="E18" s="54">
        <v>1</v>
      </c>
      <c r="F18" s="8" t="s">
        <v>65</v>
      </c>
      <c r="G18" s="102">
        <v>760000</v>
      </c>
      <c r="H18" s="15"/>
      <c r="I18" s="15"/>
      <c r="J18" s="66"/>
      <c r="K18" s="11"/>
    </row>
    <row r="19" spans="2:11" x14ac:dyDescent="0.25">
      <c r="B19" s="31"/>
      <c r="C19" s="32"/>
      <c r="D19" s="33"/>
      <c r="E19" s="34"/>
      <c r="F19" s="34"/>
      <c r="G19" s="33"/>
      <c r="H19" s="75"/>
      <c r="I19" s="75"/>
      <c r="J19" s="67" t="s">
        <v>66</v>
      </c>
      <c r="K19" s="17">
        <f>E18*G18</f>
        <v>760000</v>
      </c>
    </row>
    <row r="20" spans="2:11" ht="15.75" x14ac:dyDescent="0.25">
      <c r="B20" s="5"/>
      <c r="C20" s="18" t="s">
        <v>7</v>
      </c>
      <c r="D20" s="18" t="s">
        <v>3</v>
      </c>
      <c r="E20" s="8"/>
      <c r="F20" s="8"/>
      <c r="H20" s="15"/>
      <c r="I20" s="15"/>
      <c r="J20" s="66"/>
      <c r="K20" s="10"/>
    </row>
    <row r="21" spans="2:11" x14ac:dyDescent="0.25">
      <c r="B21" s="5"/>
      <c r="C21" s="2"/>
      <c r="D21" t="s">
        <v>103</v>
      </c>
      <c r="E21" s="54">
        <v>1</v>
      </c>
      <c r="F21" s="8" t="s">
        <v>70</v>
      </c>
      <c r="G21" s="105">
        <v>112000</v>
      </c>
      <c r="H21" s="15"/>
      <c r="I21" s="15"/>
      <c r="J21" s="66"/>
      <c r="K21" s="10"/>
    </row>
    <row r="22" spans="2:11" x14ac:dyDescent="0.25">
      <c r="B22" s="4"/>
      <c r="E22" s="103"/>
      <c r="F22" s="8"/>
      <c r="G22" s="104"/>
      <c r="H22" s="15"/>
      <c r="I22" s="15"/>
      <c r="J22" s="67" t="s">
        <v>66</v>
      </c>
      <c r="K22" s="17">
        <f>E21*G21</f>
        <v>112000</v>
      </c>
    </row>
    <row r="23" spans="2:11" ht="15.75" x14ac:dyDescent="0.25">
      <c r="B23" s="5"/>
      <c r="C23" s="18" t="s">
        <v>8</v>
      </c>
      <c r="D23" s="18" t="s">
        <v>154</v>
      </c>
      <c r="E23" s="8"/>
      <c r="F23" s="8"/>
      <c r="H23" s="15"/>
      <c r="I23" s="15"/>
      <c r="J23" s="66"/>
      <c r="K23" s="10"/>
    </row>
    <row r="24" spans="2:11" x14ac:dyDescent="0.25">
      <c r="B24" s="4"/>
      <c r="D24" t="s">
        <v>162</v>
      </c>
      <c r="E24" s="54">
        <f>(6-3)*7</f>
        <v>21</v>
      </c>
      <c r="F24" s="8" t="s">
        <v>163</v>
      </c>
      <c r="G24" s="78">
        <v>48028</v>
      </c>
      <c r="H24" s="15"/>
      <c r="I24" s="15"/>
      <c r="J24" s="66"/>
      <c r="K24" s="10"/>
    </row>
    <row r="25" spans="2:11" x14ac:dyDescent="0.25">
      <c r="B25" s="4"/>
      <c r="E25" s="8"/>
      <c r="F25" s="8"/>
      <c r="H25" s="15"/>
      <c r="I25" s="15"/>
      <c r="J25" s="67" t="s">
        <v>66</v>
      </c>
      <c r="K25" s="17">
        <f>E24*G24</f>
        <v>1008588</v>
      </c>
    </row>
    <row r="26" spans="2:11" ht="15.75" x14ac:dyDescent="0.25">
      <c r="B26" s="5"/>
      <c r="C26" s="18" t="s">
        <v>84</v>
      </c>
      <c r="D26" s="18" t="s">
        <v>4</v>
      </c>
      <c r="E26" s="8"/>
      <c r="F26" s="8"/>
      <c r="H26" s="15"/>
      <c r="I26" s="15"/>
      <c r="J26" s="66"/>
      <c r="K26" s="10"/>
    </row>
    <row r="27" spans="2:11" x14ac:dyDescent="0.25">
      <c r="B27" s="5"/>
      <c r="C27" s="2"/>
      <c r="D27" t="s">
        <v>80</v>
      </c>
      <c r="E27" s="54">
        <v>7</v>
      </c>
      <c r="F27" s="8" t="s">
        <v>68</v>
      </c>
      <c r="G27" s="54">
        <v>2000</v>
      </c>
      <c r="H27" s="15"/>
      <c r="I27" s="15"/>
      <c r="J27" s="66"/>
      <c r="K27" s="10">
        <f>G27*E27</f>
        <v>14000</v>
      </c>
    </row>
    <row r="28" spans="2:11" x14ac:dyDescent="0.25">
      <c r="B28" s="5"/>
      <c r="C28" s="2"/>
      <c r="D28" s="2"/>
      <c r="E28" s="8"/>
      <c r="F28" s="8"/>
      <c r="H28" s="15"/>
      <c r="I28" s="15"/>
      <c r="J28" s="67" t="s">
        <v>66</v>
      </c>
      <c r="K28" s="17">
        <f>SUM(K27)</f>
        <v>14000</v>
      </c>
    </row>
    <row r="29" spans="2:11" ht="15.75" x14ac:dyDescent="0.25">
      <c r="B29" s="35" t="s">
        <v>44</v>
      </c>
      <c r="C29" s="36"/>
      <c r="D29" s="36"/>
      <c r="E29" s="21"/>
      <c r="F29" s="37"/>
      <c r="G29" s="21"/>
      <c r="H29" s="76"/>
      <c r="I29" s="76"/>
      <c r="J29" s="68" t="s">
        <v>59</v>
      </c>
      <c r="K29" s="38">
        <f>K16+K19+K22+K25+K28</f>
        <v>20491467</v>
      </c>
    </row>
    <row r="30" spans="2:11" ht="15.75" x14ac:dyDescent="0.25">
      <c r="B30" s="29"/>
      <c r="C30" s="28"/>
      <c r="D30" s="28"/>
      <c r="E30" s="8"/>
      <c r="F30" s="8"/>
      <c r="H30" s="15"/>
      <c r="I30" s="15"/>
      <c r="J30" s="14"/>
      <c r="K30" s="10"/>
    </row>
    <row r="31" spans="2:11" ht="15.75" x14ac:dyDescent="0.25">
      <c r="B31" s="7" t="s">
        <v>11</v>
      </c>
      <c r="C31" s="18" t="s">
        <v>12</v>
      </c>
      <c r="D31" s="18"/>
      <c r="E31" s="8"/>
      <c r="F31" s="8"/>
      <c r="H31" s="15"/>
      <c r="I31" s="15"/>
      <c r="J31" s="14"/>
      <c r="K31" s="10"/>
    </row>
    <row r="32" spans="2:11" ht="15.75" x14ac:dyDescent="0.25">
      <c r="B32" s="1"/>
      <c r="C32" s="18" t="s">
        <v>5</v>
      </c>
      <c r="D32" s="18" t="s">
        <v>99</v>
      </c>
      <c r="E32" s="54">
        <v>1</v>
      </c>
      <c r="F32" s="8" t="s">
        <v>70</v>
      </c>
      <c r="G32" s="102">
        <v>800000</v>
      </c>
      <c r="H32" s="15"/>
      <c r="I32" s="15"/>
      <c r="J32" s="66"/>
      <c r="K32" s="10">
        <f>G32*E32</f>
        <v>800000</v>
      </c>
    </row>
    <row r="33" spans="2:11" ht="15.75" x14ac:dyDescent="0.25">
      <c r="B33" s="1"/>
      <c r="C33" s="18" t="s">
        <v>6</v>
      </c>
      <c r="D33" s="18" t="s">
        <v>105</v>
      </c>
      <c r="E33" s="54">
        <v>1</v>
      </c>
      <c r="F33" s="8" t="s">
        <v>70</v>
      </c>
      <c r="G33" s="102">
        <v>423000</v>
      </c>
      <c r="H33" s="15"/>
      <c r="I33" s="15"/>
      <c r="J33" s="66"/>
      <c r="K33" s="10">
        <f t="shared" ref="K33:K37" si="0">G33*E33</f>
        <v>423000</v>
      </c>
    </row>
    <row r="34" spans="2:11" ht="15.75" x14ac:dyDescent="0.25">
      <c r="B34" s="1"/>
      <c r="C34" s="18" t="s">
        <v>7</v>
      </c>
      <c r="D34" s="18" t="s">
        <v>100</v>
      </c>
      <c r="E34" s="54">
        <v>1</v>
      </c>
      <c r="F34" s="8" t="s">
        <v>70</v>
      </c>
      <c r="G34" s="102">
        <v>3064000</v>
      </c>
      <c r="H34" s="15"/>
      <c r="I34" s="15"/>
      <c r="J34" s="66"/>
      <c r="K34" s="10">
        <f t="shared" si="0"/>
        <v>3064000</v>
      </c>
    </row>
    <row r="35" spans="2:11" ht="15.75" x14ac:dyDescent="0.25">
      <c r="B35" s="1"/>
      <c r="C35" s="18" t="s">
        <v>8</v>
      </c>
      <c r="D35" s="18" t="s">
        <v>14</v>
      </c>
      <c r="E35" s="54">
        <v>1</v>
      </c>
      <c r="F35" s="8" t="s">
        <v>70</v>
      </c>
      <c r="G35" s="102">
        <f>572000+311000</f>
        <v>883000</v>
      </c>
      <c r="H35" s="15"/>
      <c r="I35" s="15"/>
      <c r="J35" s="66"/>
      <c r="K35" s="10">
        <f t="shared" si="0"/>
        <v>883000</v>
      </c>
    </row>
    <row r="36" spans="2:11" ht="15.75" x14ac:dyDescent="0.25">
      <c r="B36" s="1"/>
      <c r="C36" s="18" t="s">
        <v>84</v>
      </c>
      <c r="D36" s="18" t="s">
        <v>15</v>
      </c>
      <c r="E36" s="54">
        <v>1</v>
      </c>
      <c r="F36" s="8" t="s">
        <v>70</v>
      </c>
      <c r="G36" s="102">
        <v>66000</v>
      </c>
      <c r="H36" s="15"/>
      <c r="I36" s="15"/>
      <c r="J36" s="66"/>
      <c r="K36" s="10">
        <f t="shared" si="0"/>
        <v>66000</v>
      </c>
    </row>
    <row r="37" spans="2:11" ht="15.75" x14ac:dyDescent="0.25">
      <c r="B37" s="1"/>
      <c r="C37" s="18" t="s">
        <v>9</v>
      </c>
      <c r="D37" s="18" t="s">
        <v>16</v>
      </c>
      <c r="E37" s="54">
        <v>1</v>
      </c>
      <c r="F37" s="8" t="s">
        <v>70</v>
      </c>
      <c r="G37" s="102">
        <v>442000</v>
      </c>
      <c r="H37" s="15"/>
      <c r="I37" s="15"/>
      <c r="J37" s="66"/>
      <c r="K37" s="10">
        <f t="shared" si="0"/>
        <v>442000</v>
      </c>
    </row>
    <row r="38" spans="2:11" ht="15.75" x14ac:dyDescent="0.25">
      <c r="B38" s="1"/>
      <c r="C38" s="18" t="s">
        <v>13</v>
      </c>
      <c r="D38" s="18" t="s">
        <v>118</v>
      </c>
      <c r="E38" s="54">
        <v>1</v>
      </c>
      <c r="F38" s="8" t="s">
        <v>70</v>
      </c>
      <c r="G38" s="102">
        <f>(708/567.5)*686300</f>
        <v>856212.15859030839</v>
      </c>
      <c r="H38" s="15"/>
      <c r="I38" s="15"/>
      <c r="J38" s="66"/>
      <c r="K38" s="10">
        <f t="shared" ref="K38" si="1">G38*E38</f>
        <v>856212.15859030839</v>
      </c>
    </row>
    <row r="39" spans="2:11" ht="15.75" x14ac:dyDescent="0.25">
      <c r="B39" s="35" t="s">
        <v>120</v>
      </c>
      <c r="C39" s="39"/>
      <c r="D39" s="39"/>
      <c r="E39" s="40"/>
      <c r="F39" s="40"/>
      <c r="G39" s="41"/>
      <c r="H39" s="77"/>
      <c r="I39" s="77"/>
      <c r="J39" s="68" t="s">
        <v>60</v>
      </c>
      <c r="K39" s="38">
        <f>SUM(K32:K38)</f>
        <v>6534212.1585903084</v>
      </c>
    </row>
    <row r="40" spans="2:11" ht="15.75" x14ac:dyDescent="0.25">
      <c r="B40" s="29"/>
      <c r="C40" s="28"/>
      <c r="D40" s="28"/>
      <c r="H40" s="14"/>
      <c r="I40" s="14"/>
      <c r="J40" s="14"/>
      <c r="K40" s="10"/>
    </row>
    <row r="41" spans="2:11" ht="15.75" x14ac:dyDescent="0.25">
      <c r="B41" s="29"/>
      <c r="C41" s="28"/>
      <c r="D41" s="28"/>
      <c r="H41" s="14"/>
      <c r="I41" s="14"/>
      <c r="J41" s="14"/>
      <c r="K41" s="10"/>
    </row>
    <row r="42" spans="2:11" ht="15.75" x14ac:dyDescent="0.25">
      <c r="B42" s="35" t="s">
        <v>17</v>
      </c>
      <c r="C42" s="43"/>
      <c r="D42" s="43"/>
      <c r="E42" s="41"/>
      <c r="F42" s="41"/>
      <c r="G42" s="41"/>
      <c r="H42" s="69"/>
      <c r="I42" s="69"/>
      <c r="J42" s="68" t="s">
        <v>61</v>
      </c>
      <c r="K42" s="38">
        <f>+K29+K39</f>
        <v>27025679.158590309</v>
      </c>
    </row>
    <row r="43" spans="2:11" ht="15.75" x14ac:dyDescent="0.25">
      <c r="B43" s="1"/>
      <c r="C43" s="28"/>
      <c r="D43" s="28"/>
      <c r="G43" s="2"/>
      <c r="H43" s="14"/>
      <c r="I43" s="14"/>
      <c r="J43" s="14"/>
      <c r="K43" s="11"/>
    </row>
    <row r="44" spans="2:11" ht="15.75" x14ac:dyDescent="0.25">
      <c r="B44" s="29"/>
      <c r="C44" s="28"/>
      <c r="D44" s="28"/>
      <c r="H44" s="14"/>
      <c r="I44" s="14"/>
      <c r="J44" s="14"/>
      <c r="K44" s="11"/>
    </row>
    <row r="45" spans="2:11" ht="15.75" x14ac:dyDescent="0.25">
      <c r="B45" s="1" t="s">
        <v>18</v>
      </c>
      <c r="C45" s="28"/>
      <c r="D45" s="28"/>
      <c r="H45" s="14"/>
      <c r="I45" s="14"/>
      <c r="J45" s="14"/>
      <c r="K45" s="11"/>
    </row>
    <row r="46" spans="2:11" ht="15.75" x14ac:dyDescent="0.25">
      <c r="B46" s="30" t="s">
        <v>19</v>
      </c>
      <c r="C46" s="28" t="s">
        <v>20</v>
      </c>
      <c r="D46" s="28"/>
      <c r="E46" s="82">
        <v>0.1</v>
      </c>
      <c r="F46" s="8" t="s">
        <v>72</v>
      </c>
      <c r="G46" s="19"/>
      <c r="H46" s="14"/>
      <c r="I46" s="15">
        <f>E46*K42</f>
        <v>2702567.915859031</v>
      </c>
      <c r="J46" s="66"/>
      <c r="K46" s="11"/>
    </row>
    <row r="47" spans="2:11" ht="15.75" x14ac:dyDescent="0.25">
      <c r="B47" s="30" t="s">
        <v>21</v>
      </c>
      <c r="C47" s="28" t="s">
        <v>22</v>
      </c>
      <c r="D47" s="28"/>
      <c r="E47" s="54">
        <v>1</v>
      </c>
      <c r="F47" s="8" t="s">
        <v>65</v>
      </c>
      <c r="G47" s="100">
        <v>75000</v>
      </c>
      <c r="H47" s="14"/>
      <c r="I47" s="15">
        <f>G47*E47</f>
        <v>75000</v>
      </c>
      <c r="J47" s="66"/>
      <c r="K47" s="79"/>
    </row>
    <row r="48" spans="2:11" ht="15.75" x14ac:dyDescent="0.25">
      <c r="B48" s="35" t="s">
        <v>23</v>
      </c>
      <c r="C48" s="43"/>
      <c r="D48" s="43"/>
      <c r="E48" s="41"/>
      <c r="F48" s="40"/>
      <c r="G48" s="41"/>
      <c r="H48" s="69"/>
      <c r="I48" s="77"/>
      <c r="J48" s="68" t="s">
        <v>62</v>
      </c>
      <c r="K48" s="38">
        <f>SUM(I46:I47)</f>
        <v>2777567.915859031</v>
      </c>
    </row>
    <row r="49" spans="2:11" ht="15.75" x14ac:dyDescent="0.25">
      <c r="B49" s="1"/>
      <c r="C49" s="28"/>
      <c r="D49" s="28"/>
      <c r="F49" s="8"/>
      <c r="H49" s="14"/>
      <c r="I49" s="15"/>
      <c r="J49" s="70"/>
      <c r="K49" s="11"/>
    </row>
    <row r="50" spans="2:11" ht="15.75" x14ac:dyDescent="0.25">
      <c r="B50" s="29"/>
      <c r="C50" s="28"/>
      <c r="D50" s="28"/>
      <c r="F50" s="8"/>
      <c r="H50" s="14"/>
      <c r="I50" s="15"/>
      <c r="J50" s="14"/>
      <c r="K50" s="11"/>
    </row>
    <row r="51" spans="2:11" ht="15.75" x14ac:dyDescent="0.25">
      <c r="B51" s="1" t="s">
        <v>24</v>
      </c>
      <c r="C51" s="28"/>
      <c r="D51" s="28"/>
      <c r="F51" s="8"/>
      <c r="H51" s="14"/>
      <c r="I51" s="15"/>
      <c r="J51" s="14"/>
      <c r="K51" s="11"/>
    </row>
    <row r="52" spans="2:11" ht="15.75" x14ac:dyDescent="0.25">
      <c r="B52" s="30" t="s">
        <v>25</v>
      </c>
      <c r="C52" s="28" t="s">
        <v>26</v>
      </c>
      <c r="D52" s="28"/>
      <c r="E52" s="92">
        <v>0.1</v>
      </c>
      <c r="F52" s="8" t="s">
        <v>72</v>
      </c>
      <c r="G52" s="19"/>
      <c r="H52" s="14"/>
      <c r="I52" s="15">
        <f>E52*K42</f>
        <v>2702567.915859031</v>
      </c>
      <c r="J52" s="66"/>
      <c r="K52" s="11"/>
    </row>
    <row r="53" spans="2:11" ht="15.75" x14ac:dyDescent="0.25">
      <c r="B53" s="35" t="s">
        <v>28</v>
      </c>
      <c r="C53" s="42"/>
      <c r="D53" s="42"/>
      <c r="E53" s="44"/>
      <c r="F53" s="44"/>
      <c r="G53" s="44"/>
      <c r="H53" s="71"/>
      <c r="I53" s="71"/>
      <c r="J53" s="68" t="s">
        <v>53</v>
      </c>
      <c r="K53" s="93">
        <f>SUM(I52:I52)</f>
        <v>2702567.915859031</v>
      </c>
    </row>
    <row r="54" spans="2:11" ht="15.75" x14ac:dyDescent="0.25">
      <c r="B54" s="1"/>
      <c r="C54" s="28"/>
      <c r="D54" s="28"/>
      <c r="H54" s="14"/>
      <c r="I54" s="14"/>
      <c r="J54" s="70"/>
      <c r="K54" s="11"/>
    </row>
    <row r="55" spans="2:11" ht="15.75" x14ac:dyDescent="0.25">
      <c r="B55" s="29"/>
      <c r="C55" s="28"/>
      <c r="D55" s="28"/>
      <c r="H55" s="14"/>
      <c r="I55" s="14"/>
      <c r="J55" s="14"/>
      <c r="K55" s="11"/>
    </row>
    <row r="56" spans="2:11" ht="34.5" customHeight="1" thickBot="1" x14ac:dyDescent="0.35">
      <c r="B56" s="45" t="s">
        <v>29</v>
      </c>
      <c r="C56" s="46"/>
      <c r="D56" s="46"/>
      <c r="E56" s="46"/>
      <c r="F56" s="46"/>
      <c r="G56" s="47"/>
      <c r="H56" s="72"/>
      <c r="I56" s="73"/>
      <c r="J56" s="74" t="s">
        <v>54</v>
      </c>
      <c r="K56" s="94">
        <f>K42+K48+K53</f>
        <v>32505814.990308374</v>
      </c>
    </row>
    <row r="57" spans="2:11" ht="15.75" thickTop="1" x14ac:dyDescent="0.25"/>
    <row r="58" spans="2:11" x14ac:dyDescent="0.25">
      <c r="G58" s="101"/>
    </row>
    <row r="59" spans="2:11" x14ac:dyDescent="0.25">
      <c r="G59" s="101"/>
    </row>
    <row r="60" spans="2:11" x14ac:dyDescent="0.25">
      <c r="D60" s="106" t="s">
        <v>145</v>
      </c>
      <c r="E60" s="145" t="s">
        <v>146</v>
      </c>
      <c r="F60" s="146"/>
      <c r="G60" s="145" t="s">
        <v>147</v>
      </c>
      <c r="H60" s="149"/>
      <c r="I60" s="149"/>
      <c r="J60" s="146"/>
    </row>
    <row r="61" spans="2:11" ht="50.25" customHeight="1" x14ac:dyDescent="0.25">
      <c r="D61" s="109" t="s">
        <v>148</v>
      </c>
      <c r="E61" s="147" t="s">
        <v>92</v>
      </c>
      <c r="F61" s="147"/>
      <c r="G61" s="148" t="s">
        <v>119</v>
      </c>
      <c r="H61" s="148"/>
      <c r="I61" s="148"/>
      <c r="J61" s="148"/>
    </row>
    <row r="62" spans="2:11" ht="45.75" customHeight="1" x14ac:dyDescent="0.25">
      <c r="D62" s="109" t="s">
        <v>148</v>
      </c>
      <c r="E62" s="147" t="s">
        <v>98</v>
      </c>
      <c r="F62" s="147"/>
      <c r="G62" s="148" t="s">
        <v>157</v>
      </c>
      <c r="H62" s="148"/>
      <c r="I62" s="148"/>
      <c r="J62" s="148"/>
    </row>
    <row r="63" spans="2:11" ht="35.25" customHeight="1" x14ac:dyDescent="0.25">
      <c r="D63" s="109" t="s">
        <v>148</v>
      </c>
      <c r="E63" s="147" t="s">
        <v>97</v>
      </c>
      <c r="F63" s="147"/>
      <c r="G63" s="148" t="s">
        <v>121</v>
      </c>
      <c r="H63" s="148"/>
      <c r="I63" s="148"/>
      <c r="J63" s="148"/>
    </row>
    <row r="64" spans="2:11" ht="36" customHeight="1" x14ac:dyDescent="0.25">
      <c r="D64" s="109" t="s">
        <v>148</v>
      </c>
      <c r="E64" s="147" t="s">
        <v>96</v>
      </c>
      <c r="F64" s="147"/>
      <c r="G64" s="148" t="s">
        <v>122</v>
      </c>
      <c r="H64" s="148"/>
      <c r="I64" s="148"/>
      <c r="J64" s="148"/>
    </row>
    <row r="65" spans="4:10" ht="53.25" customHeight="1" x14ac:dyDescent="0.25">
      <c r="D65" s="109" t="s">
        <v>148</v>
      </c>
      <c r="E65" s="150" t="s">
        <v>123</v>
      </c>
      <c r="F65" s="150"/>
      <c r="G65" s="148" t="s">
        <v>124</v>
      </c>
      <c r="H65" s="148"/>
      <c r="I65" s="148"/>
      <c r="J65" s="148"/>
    </row>
    <row r="66" spans="4:10" ht="41.25" customHeight="1" x14ac:dyDescent="0.25">
      <c r="D66" s="109" t="s">
        <v>149</v>
      </c>
      <c r="E66" s="147" t="s">
        <v>67</v>
      </c>
      <c r="F66" s="147"/>
      <c r="G66" s="148" t="s">
        <v>125</v>
      </c>
      <c r="H66" s="148"/>
      <c r="I66" s="148"/>
      <c r="J66" s="148"/>
    </row>
    <row r="67" spans="4:10" ht="41.25" customHeight="1" x14ac:dyDescent="0.25">
      <c r="D67" s="109" t="s">
        <v>150</v>
      </c>
      <c r="E67" s="147" t="s">
        <v>126</v>
      </c>
      <c r="F67" s="147"/>
      <c r="G67" s="148" t="s">
        <v>158</v>
      </c>
      <c r="H67" s="148"/>
      <c r="I67" s="148"/>
      <c r="J67" s="148"/>
    </row>
    <row r="68" spans="4:10" ht="71.25" customHeight="1" x14ac:dyDescent="0.25">
      <c r="D68" s="109" t="s">
        <v>164</v>
      </c>
      <c r="E68" s="147" t="s">
        <v>154</v>
      </c>
      <c r="F68" s="147"/>
      <c r="G68" s="148" t="s">
        <v>179</v>
      </c>
      <c r="H68" s="148"/>
      <c r="I68" s="148"/>
      <c r="J68" s="148"/>
    </row>
    <row r="69" spans="4:10" ht="57.75" customHeight="1" x14ac:dyDescent="0.25">
      <c r="D69" s="109" t="s">
        <v>165</v>
      </c>
      <c r="E69" s="147" t="s">
        <v>166</v>
      </c>
      <c r="F69" s="147"/>
      <c r="G69" s="148" t="s">
        <v>178</v>
      </c>
      <c r="H69" s="148"/>
      <c r="I69" s="148"/>
      <c r="J69" s="148"/>
    </row>
    <row r="70" spans="4:10" ht="60" customHeight="1" x14ac:dyDescent="0.25">
      <c r="D70" s="109" t="s">
        <v>174</v>
      </c>
      <c r="E70" s="147" t="s">
        <v>127</v>
      </c>
      <c r="F70" s="147"/>
      <c r="G70" s="148" t="s">
        <v>128</v>
      </c>
      <c r="H70" s="148"/>
      <c r="I70" s="148"/>
      <c r="J70" s="148"/>
    </row>
    <row r="71" spans="4:10" ht="96.75" customHeight="1" x14ac:dyDescent="0.25">
      <c r="D71" s="109" t="s">
        <v>106</v>
      </c>
      <c r="E71" s="147" t="s">
        <v>129</v>
      </c>
      <c r="F71" s="147"/>
      <c r="G71" s="148" t="s">
        <v>160</v>
      </c>
      <c r="H71" s="148"/>
      <c r="I71" s="148"/>
      <c r="J71" s="148"/>
    </row>
    <row r="72" spans="4:10" ht="40.5" customHeight="1" x14ac:dyDescent="0.25">
      <c r="D72" s="109" t="s">
        <v>107</v>
      </c>
      <c r="E72" s="147" t="s">
        <v>130</v>
      </c>
      <c r="F72" s="147"/>
      <c r="G72" s="148" t="s">
        <v>131</v>
      </c>
      <c r="H72" s="148"/>
      <c r="I72" s="148"/>
      <c r="J72" s="148"/>
    </row>
    <row r="73" spans="4:10" ht="99" customHeight="1" x14ac:dyDescent="0.25">
      <c r="D73" s="109" t="s">
        <v>161</v>
      </c>
      <c r="E73" s="147" t="s">
        <v>132</v>
      </c>
      <c r="F73" s="147"/>
      <c r="G73" s="148" t="s">
        <v>167</v>
      </c>
      <c r="H73" s="148"/>
      <c r="I73" s="148"/>
      <c r="J73" s="148"/>
    </row>
  </sheetData>
  <mergeCells count="30">
    <mergeCell ref="E68:F68"/>
    <mergeCell ref="G68:J68"/>
    <mergeCell ref="E69:F69"/>
    <mergeCell ref="G69:J69"/>
    <mergeCell ref="G70:J70"/>
    <mergeCell ref="G71:J71"/>
    <mergeCell ref="G72:J72"/>
    <mergeCell ref="G73:J73"/>
    <mergeCell ref="E73:F73"/>
    <mergeCell ref="E70:F70"/>
    <mergeCell ref="E71:F71"/>
    <mergeCell ref="E72:F72"/>
    <mergeCell ref="E65:F65"/>
    <mergeCell ref="E66:F66"/>
    <mergeCell ref="E67:F67"/>
    <mergeCell ref="G65:J65"/>
    <mergeCell ref="G66:J66"/>
    <mergeCell ref="G67:J67"/>
    <mergeCell ref="E62:F62"/>
    <mergeCell ref="E63:F63"/>
    <mergeCell ref="E64:F64"/>
    <mergeCell ref="G62:J62"/>
    <mergeCell ref="G63:J63"/>
    <mergeCell ref="G64:J64"/>
    <mergeCell ref="B6:K6"/>
    <mergeCell ref="J1:K1"/>
    <mergeCell ref="E60:F60"/>
    <mergeCell ref="E61:F61"/>
    <mergeCell ref="G61:J61"/>
    <mergeCell ref="G60:J60"/>
  </mergeCells>
  <printOptions horizontalCentered="1"/>
  <pageMargins left="0.38" right="0.4" top="0.48" bottom="0.75" header="0.3" footer="0.3"/>
  <pageSetup scale="42" orientation="portrait" r:id="rId1"/>
  <headerFooter>
    <oddFooter xml:space="preserve">&amp;LUniversity of Alaska Fairbanks
BACT Analysis&amp;R  
December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L46"/>
  <sheetViews>
    <sheetView topLeftCell="A30" zoomScaleNormal="100" workbookViewId="0">
      <selection activeCell="K30" sqref="K30"/>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s>
  <sheetData>
    <row r="1" spans="2:11" ht="15.75" thickBot="1" x14ac:dyDescent="0.3">
      <c r="I1" s="151" t="s">
        <v>81</v>
      </c>
      <c r="J1" s="152"/>
      <c r="K1" s="153"/>
    </row>
    <row r="2" spans="2:11" ht="18.75" x14ac:dyDescent="0.3">
      <c r="B2" s="110" t="s">
        <v>169</v>
      </c>
      <c r="C2" s="111"/>
      <c r="D2" s="56"/>
      <c r="E2" s="56"/>
      <c r="F2" s="56"/>
      <c r="G2" s="56"/>
      <c r="H2" s="56"/>
      <c r="I2" s="56"/>
      <c r="J2" s="112" t="s">
        <v>47</v>
      </c>
      <c r="K2" s="113">
        <v>44923</v>
      </c>
    </row>
    <row r="3" spans="2:11" x14ac:dyDescent="0.25">
      <c r="B3" s="58" t="s">
        <v>74</v>
      </c>
      <c r="D3" s="22" t="s">
        <v>90</v>
      </c>
      <c r="J3" s="9" t="s">
        <v>48</v>
      </c>
      <c r="K3" s="114" t="s">
        <v>91</v>
      </c>
    </row>
    <row r="4" spans="2:11" x14ac:dyDescent="0.25">
      <c r="B4" s="58" t="s">
        <v>94</v>
      </c>
      <c r="D4" t="s">
        <v>95</v>
      </c>
      <c r="J4" s="9" t="s">
        <v>176</v>
      </c>
      <c r="K4" s="114" t="s">
        <v>177</v>
      </c>
    </row>
    <row r="5" spans="2:11" ht="15.75" thickBot="1" x14ac:dyDescent="0.3">
      <c r="B5" s="60"/>
      <c r="C5" s="48"/>
      <c r="D5" s="48"/>
      <c r="E5" s="48"/>
      <c r="F5" s="48"/>
      <c r="G5" s="48"/>
      <c r="H5" s="48"/>
      <c r="I5" s="48"/>
      <c r="J5" s="49" t="s">
        <v>49</v>
      </c>
      <c r="K5" s="115" t="s">
        <v>175</v>
      </c>
    </row>
    <row r="6" spans="2:11" ht="16.5" thickBot="1" x14ac:dyDescent="0.3">
      <c r="B6" s="157" t="s">
        <v>45</v>
      </c>
      <c r="C6" s="158"/>
      <c r="D6" s="158"/>
      <c r="E6" s="158"/>
      <c r="F6" s="158"/>
      <c r="G6" s="158"/>
      <c r="H6" s="158"/>
      <c r="I6" s="158"/>
      <c r="J6" s="158"/>
      <c r="K6" s="159"/>
    </row>
    <row r="7" spans="2:11" ht="15.75" x14ac:dyDescent="0.25">
      <c r="B7" s="116" t="s">
        <v>30</v>
      </c>
      <c r="C7" s="62"/>
      <c r="D7" s="56"/>
      <c r="E7" s="63" t="s">
        <v>50</v>
      </c>
      <c r="F7" s="63" t="s">
        <v>51</v>
      </c>
      <c r="G7" s="64" t="s">
        <v>52</v>
      </c>
      <c r="H7" s="63" t="s">
        <v>64</v>
      </c>
      <c r="I7" s="63" t="s">
        <v>63</v>
      </c>
      <c r="J7" s="56"/>
      <c r="K7" s="57" t="s">
        <v>78</v>
      </c>
    </row>
    <row r="8" spans="2:11" x14ac:dyDescent="0.25">
      <c r="B8" s="117" t="s">
        <v>10</v>
      </c>
      <c r="C8" t="s">
        <v>31</v>
      </c>
      <c r="E8" s="98">
        <f>8760+2*52</f>
        <v>8864</v>
      </c>
      <c r="F8" s="8" t="s">
        <v>71</v>
      </c>
      <c r="G8" s="105">
        <v>49.09</v>
      </c>
      <c r="H8" s="15" t="s">
        <v>85</v>
      </c>
      <c r="I8" s="15">
        <f>E8*G8</f>
        <v>435133.76</v>
      </c>
      <c r="J8" s="118"/>
      <c r="K8" s="119">
        <f>I8</f>
        <v>435133.76</v>
      </c>
    </row>
    <row r="9" spans="2:11" x14ac:dyDescent="0.25">
      <c r="B9" s="117" t="s">
        <v>11</v>
      </c>
      <c r="C9" t="s">
        <v>32</v>
      </c>
      <c r="E9" s="98"/>
      <c r="F9" s="8" t="s">
        <v>71</v>
      </c>
      <c r="G9" s="105"/>
      <c r="H9" s="15" t="s">
        <v>85</v>
      </c>
      <c r="I9" s="15" t="s">
        <v>85</v>
      </c>
      <c r="J9" s="118"/>
      <c r="K9" s="119" t="str">
        <f t="shared" ref="K9:K10" si="0">I9</f>
        <v>Excluded</v>
      </c>
    </row>
    <row r="10" spans="2:11" x14ac:dyDescent="0.25">
      <c r="B10" s="117" t="s">
        <v>19</v>
      </c>
      <c r="C10" t="s">
        <v>33</v>
      </c>
      <c r="E10" s="98">
        <f>10*52</f>
        <v>520</v>
      </c>
      <c r="F10" s="8" t="s">
        <v>71</v>
      </c>
      <c r="G10" s="105">
        <v>49.09</v>
      </c>
      <c r="H10" s="15" t="s">
        <v>85</v>
      </c>
      <c r="I10" s="15">
        <f>E10*G10</f>
        <v>25526.800000000003</v>
      </c>
      <c r="J10" s="118"/>
      <c r="K10" s="119">
        <f t="shared" si="0"/>
        <v>25526.800000000003</v>
      </c>
    </row>
    <row r="11" spans="2:11" x14ac:dyDescent="0.25">
      <c r="B11" s="117" t="s">
        <v>21</v>
      </c>
      <c r="C11" t="s">
        <v>77</v>
      </c>
      <c r="E11" s="98">
        <v>1</v>
      </c>
      <c r="F11" s="8" t="s">
        <v>70</v>
      </c>
      <c r="G11" s="98">
        <f>I10</f>
        <v>25526.800000000003</v>
      </c>
      <c r="H11" s="15">
        <f>E11*G11</f>
        <v>25526.800000000003</v>
      </c>
      <c r="I11" s="15" t="s">
        <v>85</v>
      </c>
      <c r="J11" s="118"/>
      <c r="K11" s="119">
        <f>H11</f>
        <v>25526.800000000003</v>
      </c>
    </row>
    <row r="12" spans="2:11" x14ac:dyDescent="0.25">
      <c r="B12" s="117" t="s">
        <v>25</v>
      </c>
      <c r="C12" t="s">
        <v>34</v>
      </c>
      <c r="E12" s="8"/>
      <c r="F12" s="8"/>
      <c r="G12" s="15"/>
      <c r="H12" s="15"/>
      <c r="I12" s="15"/>
      <c r="J12" s="118"/>
      <c r="K12" s="119"/>
    </row>
    <row r="13" spans="2:11" x14ac:dyDescent="0.25">
      <c r="B13" s="58"/>
      <c r="C13" t="s">
        <v>5</v>
      </c>
      <c r="D13" t="s">
        <v>104</v>
      </c>
      <c r="E13" s="107"/>
      <c r="F13" s="8" t="s">
        <v>69</v>
      </c>
      <c r="G13" s="105">
        <v>0</v>
      </c>
      <c r="H13" s="15" t="s">
        <v>170</v>
      </c>
      <c r="I13" s="15" t="s">
        <v>170</v>
      </c>
      <c r="J13" s="118"/>
      <c r="K13" s="119" t="str">
        <f>H13</f>
        <v>N/A</v>
      </c>
    </row>
    <row r="14" spans="2:11" x14ac:dyDescent="0.25">
      <c r="B14" s="58"/>
      <c r="C14" t="s">
        <v>6</v>
      </c>
      <c r="D14" t="s">
        <v>35</v>
      </c>
      <c r="E14" s="98">
        <f>175*8760+(600*0.7457*8760)</f>
        <v>5452399.2000000002</v>
      </c>
      <c r="F14" s="8" t="s">
        <v>159</v>
      </c>
      <c r="G14" s="108">
        <v>0.20499999999999999</v>
      </c>
      <c r="H14" s="15">
        <f>E14*G14</f>
        <v>1117741.8359999999</v>
      </c>
      <c r="I14" s="15" t="s">
        <v>85</v>
      </c>
      <c r="J14" s="118"/>
      <c r="K14" s="119">
        <f>H14</f>
        <v>1117741.8359999999</v>
      </c>
    </row>
    <row r="15" spans="2:11" x14ac:dyDescent="0.25">
      <c r="B15" s="117"/>
      <c r="C15" t="s">
        <v>7</v>
      </c>
      <c r="D15" t="s">
        <v>93</v>
      </c>
      <c r="E15" s="98">
        <f>17*60*8760/1000</f>
        <v>8935.2000000000007</v>
      </c>
      <c r="F15" s="8" t="s">
        <v>151</v>
      </c>
      <c r="G15" s="105">
        <v>11.3</v>
      </c>
      <c r="H15" s="15">
        <f>E15*G15</f>
        <v>100967.76000000001</v>
      </c>
      <c r="I15" s="15" t="s">
        <v>85</v>
      </c>
      <c r="J15" s="118"/>
      <c r="K15" s="119">
        <f>H15</f>
        <v>100967.76000000001</v>
      </c>
    </row>
    <row r="16" spans="2:11" x14ac:dyDescent="0.25">
      <c r="B16" s="120"/>
      <c r="C16" s="121"/>
      <c r="E16" s="122"/>
      <c r="F16" s="9"/>
      <c r="G16" s="118"/>
      <c r="H16" s="15"/>
      <c r="I16" s="123"/>
      <c r="J16" s="15"/>
      <c r="K16" s="119"/>
    </row>
    <row r="17" spans="2:12" x14ac:dyDescent="0.25">
      <c r="B17" s="124" t="s">
        <v>36</v>
      </c>
      <c r="C17" s="83"/>
      <c r="D17" s="84"/>
      <c r="E17" s="85"/>
      <c r="F17" s="86"/>
      <c r="G17" s="87"/>
      <c r="H17" s="76"/>
      <c r="I17" s="88"/>
      <c r="J17" s="89" t="s">
        <v>56</v>
      </c>
      <c r="K17" s="125">
        <f>SUM(K8:K15)</f>
        <v>1704896.956</v>
      </c>
    </row>
    <row r="18" spans="2:12" x14ac:dyDescent="0.25">
      <c r="B18" s="58"/>
      <c r="C18" s="121"/>
      <c r="E18" s="8"/>
      <c r="G18" s="15"/>
      <c r="H18" s="15"/>
      <c r="I18" s="123"/>
      <c r="J18" s="126"/>
      <c r="K18" s="119"/>
    </row>
    <row r="19" spans="2:12" ht="15.75" x14ac:dyDescent="0.25">
      <c r="B19" s="127" t="s">
        <v>37</v>
      </c>
      <c r="C19" s="18"/>
      <c r="E19" s="8"/>
      <c r="F19" s="8"/>
      <c r="G19" s="15"/>
      <c r="H19" s="15"/>
      <c r="I19" s="15"/>
      <c r="J19" s="15"/>
      <c r="K19" s="119"/>
    </row>
    <row r="20" spans="2:12" x14ac:dyDescent="0.25">
      <c r="B20" s="117" t="s">
        <v>27</v>
      </c>
      <c r="C20" t="s">
        <v>38</v>
      </c>
      <c r="E20" s="82">
        <v>0.01</v>
      </c>
      <c r="F20" s="8" t="s">
        <v>75</v>
      </c>
      <c r="G20" s="8"/>
      <c r="H20" s="15"/>
      <c r="I20" s="15">
        <f>E20*'Total Capital Investment'!K56</f>
        <v>325058.14990308374</v>
      </c>
      <c r="J20" s="118"/>
      <c r="K20" s="119">
        <f>I20</f>
        <v>325058.14990308374</v>
      </c>
    </row>
    <row r="21" spans="2:12" x14ac:dyDescent="0.25">
      <c r="B21" s="117" t="s">
        <v>141</v>
      </c>
      <c r="C21" t="s">
        <v>155</v>
      </c>
      <c r="E21" s="99">
        <v>0.03</v>
      </c>
      <c r="F21" s="8" t="s">
        <v>88</v>
      </c>
      <c r="G21" s="8"/>
      <c r="H21" s="15"/>
      <c r="I21" s="15">
        <f>E21*'Total Capital Investment'!K56</f>
        <v>975174.44970925117</v>
      </c>
      <c r="J21" s="118"/>
      <c r="K21" s="119">
        <f>I21</f>
        <v>975174.44970925117</v>
      </c>
    </row>
    <row r="22" spans="2:12" x14ac:dyDescent="0.25">
      <c r="B22" s="117" t="s">
        <v>143</v>
      </c>
      <c r="C22" t="s">
        <v>82</v>
      </c>
      <c r="E22" s="122">
        <f>($E$31/100*POWER((1+($E$31/100)),$E$32))/((POWER(((1+$E$31/100)),$E$32))-1)</f>
        <v>8.467123576763981E-2</v>
      </c>
      <c r="F22" s="8"/>
      <c r="G22" s="15"/>
      <c r="H22" s="15"/>
      <c r="I22" s="15"/>
      <c r="J22" s="118"/>
      <c r="K22" s="128"/>
      <c r="L22" s="65"/>
    </row>
    <row r="23" spans="2:12" x14ac:dyDescent="0.25">
      <c r="B23" s="117" t="s">
        <v>40</v>
      </c>
      <c r="C23" t="s">
        <v>39</v>
      </c>
      <c r="G23" s="15"/>
      <c r="H23" s="129"/>
      <c r="I23" s="15"/>
      <c r="J23" s="130" t="s">
        <v>55</v>
      </c>
      <c r="K23" s="119">
        <f>E22*'Total Capital Investment'!K56</f>
        <v>2752307.5248636808</v>
      </c>
      <c r="L23" s="65"/>
    </row>
    <row r="24" spans="2:12" x14ac:dyDescent="0.25">
      <c r="B24" s="58"/>
      <c r="E24" s="8"/>
      <c r="G24" s="15"/>
      <c r="H24" s="15"/>
      <c r="I24" s="15"/>
      <c r="J24" s="15"/>
      <c r="K24" s="119"/>
    </row>
    <row r="25" spans="2:12" x14ac:dyDescent="0.25">
      <c r="B25" s="124" t="s">
        <v>41</v>
      </c>
      <c r="C25" s="83"/>
      <c r="D25" s="90"/>
      <c r="E25" s="91"/>
      <c r="F25" s="90"/>
      <c r="G25" s="88"/>
      <c r="H25" s="76"/>
      <c r="I25" s="88"/>
      <c r="J25" s="89" t="s">
        <v>57</v>
      </c>
      <c r="K25" s="125">
        <f>SUM(K20:K23)</f>
        <v>4052540.1244760156</v>
      </c>
    </row>
    <row r="26" spans="2:12" x14ac:dyDescent="0.25">
      <c r="B26" s="131"/>
      <c r="C26" s="132"/>
      <c r="E26" s="8"/>
      <c r="G26" s="15"/>
      <c r="H26" s="15"/>
      <c r="I26" s="15"/>
      <c r="J26" s="15"/>
      <c r="K26" s="119"/>
    </row>
    <row r="27" spans="2:12" ht="16.5" thickBot="1" x14ac:dyDescent="0.3">
      <c r="B27" s="133" t="s">
        <v>46</v>
      </c>
      <c r="C27" s="134"/>
      <c r="D27" s="135"/>
      <c r="E27" s="136"/>
      <c r="F27" s="135"/>
      <c r="G27" s="137"/>
      <c r="H27" s="138"/>
      <c r="I27" s="137"/>
      <c r="J27" s="139" t="s">
        <v>58</v>
      </c>
      <c r="K27" s="140">
        <f>K17+K25</f>
        <v>5757437.0804760158</v>
      </c>
    </row>
    <row r="29" spans="2:12" ht="15.75" thickBot="1" x14ac:dyDescent="0.3"/>
    <row r="30" spans="2:12" x14ac:dyDescent="0.25">
      <c r="D30" s="55" t="s">
        <v>83</v>
      </c>
      <c r="E30" s="56"/>
      <c r="F30" s="57"/>
      <c r="G30" s="12"/>
    </row>
    <row r="31" spans="2:12" x14ac:dyDescent="0.25">
      <c r="D31" s="58" t="s">
        <v>86</v>
      </c>
      <c r="E31" s="80">
        <v>7.5</v>
      </c>
      <c r="F31" s="59" t="s">
        <v>75</v>
      </c>
    </row>
    <row r="32" spans="2:12" ht="15.75" thickBot="1" x14ac:dyDescent="0.3">
      <c r="D32" s="60" t="s">
        <v>87</v>
      </c>
      <c r="E32" s="81">
        <v>30</v>
      </c>
      <c r="F32" s="61" t="s">
        <v>76</v>
      </c>
    </row>
    <row r="35" spans="2:11" x14ac:dyDescent="0.25">
      <c r="B35" s="145" t="s">
        <v>145</v>
      </c>
      <c r="C35" s="149"/>
      <c r="D35" s="146"/>
      <c r="E35" s="145" t="s">
        <v>146</v>
      </c>
      <c r="F35" s="146"/>
      <c r="G35" s="145" t="s">
        <v>147</v>
      </c>
      <c r="H35" s="149"/>
      <c r="I35" s="149"/>
      <c r="J35" s="149"/>
      <c r="K35" s="146"/>
    </row>
    <row r="36" spans="2:11" ht="62.25" customHeight="1" x14ac:dyDescent="0.25">
      <c r="B36" s="160" t="s">
        <v>137</v>
      </c>
      <c r="C36" s="161"/>
      <c r="D36" s="162"/>
      <c r="E36" s="150" t="s">
        <v>134</v>
      </c>
      <c r="F36" s="150"/>
      <c r="G36" s="154" t="s">
        <v>152</v>
      </c>
      <c r="H36" s="155"/>
      <c r="I36" s="155"/>
      <c r="J36" s="155"/>
      <c r="K36" s="156"/>
    </row>
    <row r="37" spans="2:11" ht="31.5" customHeight="1" x14ac:dyDescent="0.25">
      <c r="B37" s="160" t="s">
        <v>107</v>
      </c>
      <c r="C37" s="161"/>
      <c r="D37" s="162"/>
      <c r="E37" s="147" t="s">
        <v>108</v>
      </c>
      <c r="F37" s="147"/>
      <c r="G37" s="154" t="s">
        <v>168</v>
      </c>
      <c r="H37" s="155"/>
      <c r="I37" s="155"/>
      <c r="J37" s="155"/>
      <c r="K37" s="156"/>
    </row>
    <row r="38" spans="2:11" ht="31.5" customHeight="1" x14ac:dyDescent="0.25">
      <c r="B38" s="160" t="s">
        <v>171</v>
      </c>
      <c r="C38" s="161"/>
      <c r="D38" s="162"/>
      <c r="E38" s="147" t="s">
        <v>173</v>
      </c>
      <c r="F38" s="147"/>
      <c r="G38" s="154" t="s">
        <v>172</v>
      </c>
      <c r="H38" s="155"/>
      <c r="I38" s="155"/>
      <c r="J38" s="155"/>
      <c r="K38" s="156"/>
    </row>
    <row r="39" spans="2:11" ht="37.5" customHeight="1" x14ac:dyDescent="0.25">
      <c r="B39" s="160" t="s">
        <v>138</v>
      </c>
      <c r="C39" s="161"/>
      <c r="D39" s="162"/>
      <c r="E39" s="147" t="s">
        <v>109</v>
      </c>
      <c r="F39" s="147"/>
      <c r="G39" s="154" t="s">
        <v>153</v>
      </c>
      <c r="H39" s="155"/>
      <c r="I39" s="155"/>
      <c r="J39" s="155"/>
      <c r="K39" s="156"/>
    </row>
    <row r="40" spans="2:11" ht="37.5" customHeight="1" x14ac:dyDescent="0.25">
      <c r="B40" s="160" t="s">
        <v>139</v>
      </c>
      <c r="C40" s="161"/>
      <c r="D40" s="162"/>
      <c r="E40" s="147" t="s">
        <v>135</v>
      </c>
      <c r="F40" s="147"/>
      <c r="G40" s="154" t="s">
        <v>136</v>
      </c>
      <c r="H40" s="155"/>
      <c r="I40" s="155"/>
      <c r="J40" s="155"/>
      <c r="K40" s="156"/>
    </row>
    <row r="41" spans="2:11" ht="17.25" customHeight="1" x14ac:dyDescent="0.25">
      <c r="B41" s="160" t="s">
        <v>140</v>
      </c>
      <c r="C41" s="161"/>
      <c r="D41" s="162"/>
      <c r="E41" s="147" t="s">
        <v>38</v>
      </c>
      <c r="F41" s="147"/>
      <c r="G41" s="154" t="s">
        <v>110</v>
      </c>
      <c r="H41" s="155"/>
      <c r="I41" s="155"/>
      <c r="J41" s="155"/>
      <c r="K41" s="156"/>
    </row>
    <row r="42" spans="2:11" ht="15" customHeight="1" x14ac:dyDescent="0.25">
      <c r="B42" s="160" t="s">
        <v>142</v>
      </c>
      <c r="C42" s="161"/>
      <c r="D42" s="162"/>
      <c r="E42" s="147" t="s">
        <v>111</v>
      </c>
      <c r="F42" s="147"/>
      <c r="G42" s="154" t="s">
        <v>110</v>
      </c>
      <c r="H42" s="155"/>
      <c r="I42" s="155"/>
      <c r="J42" s="155"/>
      <c r="K42" s="156"/>
    </row>
    <row r="43" spans="2:11" ht="15" customHeight="1" x14ac:dyDescent="0.25">
      <c r="B43" s="160" t="s">
        <v>144</v>
      </c>
      <c r="C43" s="161"/>
      <c r="D43" s="162"/>
      <c r="E43" s="147" t="s">
        <v>112</v>
      </c>
      <c r="F43" s="147"/>
      <c r="G43" s="154" t="s">
        <v>113</v>
      </c>
      <c r="H43" s="155"/>
      <c r="I43" s="155"/>
      <c r="J43" s="155"/>
      <c r="K43" s="156"/>
    </row>
    <row r="44" spans="2:11" ht="15" customHeight="1" x14ac:dyDescent="0.25">
      <c r="B44" s="160" t="s">
        <v>133</v>
      </c>
      <c r="C44" s="161"/>
      <c r="D44" s="162"/>
      <c r="E44" s="147" t="s">
        <v>39</v>
      </c>
      <c r="F44" s="147"/>
      <c r="G44" s="154" t="s">
        <v>114</v>
      </c>
      <c r="H44" s="155"/>
      <c r="I44" s="155"/>
      <c r="J44" s="155"/>
      <c r="K44" s="156"/>
    </row>
    <row r="45" spans="2:11" x14ac:dyDescent="0.25">
      <c r="B45" s="160" t="s">
        <v>86</v>
      </c>
      <c r="C45" s="161"/>
      <c r="D45" s="162"/>
      <c r="E45" s="147" t="s">
        <v>115</v>
      </c>
      <c r="F45" s="147"/>
      <c r="G45" s="163" t="s">
        <v>156</v>
      </c>
      <c r="H45" s="164"/>
      <c r="I45" s="164"/>
      <c r="J45" s="164"/>
      <c r="K45" s="165"/>
    </row>
    <row r="46" spans="2:11" x14ac:dyDescent="0.25">
      <c r="B46" s="160" t="s">
        <v>87</v>
      </c>
      <c r="C46" s="161"/>
      <c r="D46" s="162"/>
      <c r="E46" s="147" t="s">
        <v>116</v>
      </c>
      <c r="F46" s="147"/>
      <c r="G46" s="163" t="s">
        <v>117</v>
      </c>
      <c r="H46" s="164"/>
      <c r="I46" s="164"/>
      <c r="J46" s="164"/>
      <c r="K46" s="165"/>
    </row>
  </sheetData>
  <mergeCells count="38">
    <mergeCell ref="B38:D38"/>
    <mergeCell ref="E38:F38"/>
    <mergeCell ref="G38:K38"/>
    <mergeCell ref="B39:D39"/>
    <mergeCell ref="B40:D40"/>
    <mergeCell ref="E39:F39"/>
    <mergeCell ref="B41:D41"/>
    <mergeCell ref="B46:D46"/>
    <mergeCell ref="B42:D42"/>
    <mergeCell ref="B43:D43"/>
    <mergeCell ref="B44:D44"/>
    <mergeCell ref="B45:D45"/>
    <mergeCell ref="E45:F45"/>
    <mergeCell ref="E46:F46"/>
    <mergeCell ref="E43:F43"/>
    <mergeCell ref="E44:F44"/>
    <mergeCell ref="G43:K43"/>
    <mergeCell ref="G44:K44"/>
    <mergeCell ref="G45:K45"/>
    <mergeCell ref="G46:K46"/>
    <mergeCell ref="E41:F41"/>
    <mergeCell ref="E42:F42"/>
    <mergeCell ref="G39:K39"/>
    <mergeCell ref="G41:K41"/>
    <mergeCell ref="G42:K42"/>
    <mergeCell ref="E40:F40"/>
    <mergeCell ref="G40:K40"/>
    <mergeCell ref="E37:F37"/>
    <mergeCell ref="G36:K36"/>
    <mergeCell ref="G37:K37"/>
    <mergeCell ref="B6:K6"/>
    <mergeCell ref="B36:D36"/>
    <mergeCell ref="B37:D37"/>
    <mergeCell ref="I1:K1"/>
    <mergeCell ref="E35:F35"/>
    <mergeCell ref="G35:K35"/>
    <mergeCell ref="B35:D35"/>
    <mergeCell ref="E36:F36"/>
  </mergeCells>
  <printOptions horizontalCentered="1"/>
  <pageMargins left="0.33" right="0.41" top="0.56000000000000005" bottom="0.52" header="0.3" footer="0.3"/>
  <pageSetup scale="57" orientation="portrait" r:id="rId1"/>
  <headerFooter>
    <oddFooter>&amp;LUniversity of Alaska Fairbanks
BACT Analysis&amp;R
December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825418-B88F-4CD2-BFF9-21480DD57352}"/>
</file>

<file path=customXml/itemProps2.xml><?xml version="1.0" encoding="utf-8"?>
<ds:datastoreItem xmlns:ds="http://schemas.openxmlformats.org/officeDocument/2006/customXml" ds:itemID="{9AE5E93F-970D-42FA-AD3F-C2C2DF990BEB}"/>
</file>

<file path=customXml/itemProps3.xml><?xml version="1.0" encoding="utf-8"?>
<ds:datastoreItem xmlns:ds="http://schemas.openxmlformats.org/officeDocument/2006/customXml" ds:itemID="{DDB1CC45-0D30-4BF7-9F05-B41A861A9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Capital Investment</vt:lpstr>
      <vt:lpstr>Cost 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2022-10-12T22:01:20Z</dcterms:created>
  <dcterms:modified xsi:type="dcterms:W3CDTF">2022-12-29T00:29:19Z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