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2" documentId="13_ncr:1_{3AEACE37-5A3C-41C7-8E10-88F66C3FD9AB}" xr6:coauthVersionLast="47" xr6:coauthVersionMax="47" xr10:uidLastSave="{693CF923-C563-414B-A464-8A874ACBE85F}"/>
  <bookViews>
    <workbookView xWindow="-120" yWindow="-120" windowWidth="20730" windowHeight="11160" activeTab="1" xr2:uid="{00000000-000D-0000-FFFF-FFFF00000000}"/>
  </bookViews>
  <sheets>
    <sheet name="Total Capital Investment" sheetId="1" r:id="rId1"/>
    <sheet name="Cost Effectivenes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 i="2" l="1"/>
  <c r="V24" i="2" s="1"/>
  <c r="K30" i="2"/>
  <c r="V30" i="2"/>
  <c r="V32" i="2" l="1"/>
  <c r="V28" i="2" s="1"/>
  <c r="V31" i="2"/>
  <c r="K32" i="2"/>
  <c r="K31" i="2"/>
  <c r="K23" i="2" l="1"/>
  <c r="G12" i="1" l="1"/>
  <c r="V20" i="2" l="1"/>
  <c r="V10" i="2"/>
  <c r="V8" i="2"/>
  <c r="V13" i="2"/>
  <c r="V11" i="2"/>
  <c r="R11" i="2"/>
  <c r="P10" i="2"/>
  <c r="P8" i="2"/>
  <c r="V9" i="2" s="1"/>
  <c r="P47" i="1"/>
  <c r="R35" i="1"/>
  <c r="V22" i="1"/>
  <c r="R11" i="1"/>
  <c r="E14" i="2"/>
  <c r="G11" i="2" l="1"/>
  <c r="I8" i="2" l="1"/>
  <c r="G18" i="1"/>
  <c r="P15" i="2"/>
  <c r="S15" i="2" s="1"/>
  <c r="V15" i="2" s="1"/>
  <c r="P14" i="2"/>
  <c r="S14" i="2" s="1"/>
  <c r="V14" i="2" s="1"/>
  <c r="S13" i="2"/>
  <c r="P13" i="2"/>
  <c r="T24" i="1"/>
  <c r="V25" i="1" s="1"/>
  <c r="R12" i="1"/>
  <c r="V13" i="1" s="1"/>
  <c r="E21" i="1"/>
  <c r="K22" i="1" s="1"/>
  <c r="K16" i="1"/>
  <c r="V19" i="1" l="1"/>
  <c r="V16" i="1"/>
  <c r="V17" i="2"/>
  <c r="G31" i="1"/>
  <c r="G30" i="1"/>
  <c r="G29" i="1"/>
  <c r="H29" i="1" s="1"/>
  <c r="G11" i="1"/>
  <c r="E13" i="2"/>
  <c r="V26" i="1" l="1"/>
  <c r="V32" i="1" s="1"/>
  <c r="E15" i="2"/>
  <c r="V33" i="1" l="1"/>
  <c r="V34" i="1"/>
  <c r="V29" i="1"/>
  <c r="V30" i="1"/>
  <c r="V35" i="1" s="1"/>
  <c r="V38" i="1" s="1"/>
  <c r="V31" i="1"/>
  <c r="K19" i="1"/>
  <c r="K13" i="1"/>
  <c r="V45" i="1" l="1"/>
  <c r="V44" i="1"/>
  <c r="V43" i="1"/>
  <c r="V42" i="1"/>
  <c r="V46" i="1"/>
  <c r="T51" i="1"/>
  <c r="V52" i="1" s="1"/>
  <c r="H30" i="1"/>
  <c r="K30" i="1" s="1"/>
  <c r="H31" i="1"/>
  <c r="K31" i="1" s="1"/>
  <c r="G32" i="1"/>
  <c r="H32" i="1" s="1"/>
  <c r="K32" i="1" s="1"/>
  <c r="V47" i="1" l="1"/>
  <c r="V55" i="1" s="1"/>
  <c r="V22" i="2"/>
  <c r="V21" i="2"/>
  <c r="V25" i="2" s="1"/>
  <c r="V27" i="2" s="1"/>
  <c r="E10" i="2"/>
  <c r="E8" i="2"/>
  <c r="I42" i="1" l="1"/>
  <c r="H15" i="2"/>
  <c r="K15" i="2" s="1"/>
  <c r="H14" i="2" l="1"/>
  <c r="I10" i="2" l="1"/>
  <c r="H11" i="2" s="1"/>
  <c r="E22" i="2"/>
  <c r="K11" i="2" l="1"/>
  <c r="K14" i="2"/>
  <c r="K10" i="2"/>
  <c r="K9" i="2"/>
  <c r="K8" i="2"/>
  <c r="H13" i="2"/>
  <c r="K13" i="2" s="1"/>
  <c r="K17" i="2" l="1"/>
  <c r="H33" i="1"/>
  <c r="K33" i="1" s="1"/>
  <c r="K29" i="1"/>
  <c r="I24" i="1"/>
  <c r="K25" i="1" s="1"/>
  <c r="K34" i="1" l="1"/>
  <c r="K26" i="1"/>
  <c r="K37" i="1" l="1"/>
  <c r="I41" i="1" l="1"/>
  <c r="K43" i="1" s="1"/>
  <c r="I47" i="1"/>
  <c r="K48" i="1" s="1"/>
  <c r="K51" i="1" l="1"/>
  <c r="I21" i="2" l="1"/>
  <c r="K21" i="2" s="1"/>
  <c r="I20" i="2"/>
  <c r="K20" i="2" s="1"/>
  <c r="K25" i="2" l="1"/>
  <c r="K27" i="2" s="1"/>
  <c r="K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1" authorId="0" shapeId="0" xr:uid="{0D848799-7301-4D33-B7D0-E0C427CA9B40}">
      <text>
        <r>
          <rPr>
            <b/>
            <sz val="9"/>
            <color indexed="81"/>
            <rFont val="Tahoma"/>
            <charset val="1"/>
          </rPr>
          <t>Author:</t>
        </r>
        <r>
          <rPr>
            <sz val="9"/>
            <color indexed="81"/>
            <rFont val="Tahoma"/>
            <charset val="1"/>
          </rPr>
          <t xml:space="preserve">
BACT Appendix E PG 72.</t>
        </r>
      </text>
    </comment>
    <comment ref="G12" authorId="0" shapeId="0" xr:uid="{F4B64CE9-3219-4E49-9D77-BFC44762D813}">
      <text>
        <r>
          <rPr>
            <b/>
            <sz val="9"/>
            <color indexed="81"/>
            <rFont val="Tahoma"/>
            <charset val="1"/>
          </rPr>
          <t>Author:</t>
        </r>
        <r>
          <rPr>
            <sz val="9"/>
            <color indexed="81"/>
            <rFont val="Tahoma"/>
            <charset val="1"/>
          </rPr>
          <t xml:space="preserve">
cost = ($425k for the fan + $142k for motor) * (950/1250) scaling from 1250 hp to 950hp.</t>
        </r>
      </text>
    </comment>
    <comment ref="G15" authorId="0" shapeId="0" xr:uid="{A6B2097F-CF0C-4D94-A88F-3EDD08B2DA4A}">
      <text>
        <r>
          <rPr>
            <b/>
            <sz val="9"/>
            <color indexed="81"/>
            <rFont val="Tahoma"/>
            <family val="2"/>
          </rPr>
          <t>Author:</t>
        </r>
        <r>
          <rPr>
            <sz val="9"/>
            <color indexed="81"/>
            <rFont val="Tahoma"/>
            <family val="2"/>
          </rPr>
          <t xml:space="preserve">
BACT Appendix H, pg 18</t>
        </r>
      </text>
    </comment>
    <comment ref="G18" authorId="0" shapeId="0" xr:uid="{897BAFCA-8BC2-473D-B6EF-FD46C42DB29C}">
      <text>
        <r>
          <rPr>
            <b/>
            <sz val="9"/>
            <color indexed="81"/>
            <rFont val="Tahoma"/>
            <family val="2"/>
          </rPr>
          <t>Author:</t>
        </r>
        <r>
          <rPr>
            <sz val="9"/>
            <color indexed="81"/>
            <rFont val="Tahoma"/>
            <family val="2"/>
          </rPr>
          <t xml:space="preserve">
BACT Appendix H, pg 22, 56k per step deck for each truck and they will need two trucks. Scaled down for 1250hp to 950hp </t>
        </r>
      </text>
    </comment>
    <comment ref="G21" authorId="0" shapeId="0" xr:uid="{9C39193E-27BE-48FE-947C-7531C681722E}">
      <text>
        <r>
          <rPr>
            <b/>
            <sz val="9"/>
            <color indexed="81"/>
            <rFont val="Tahoma"/>
            <charset val="1"/>
          </rPr>
          <t>Author:</t>
        </r>
        <r>
          <rPr>
            <sz val="9"/>
            <color indexed="81"/>
            <rFont val="Tahoma"/>
            <charset val="1"/>
          </rPr>
          <t xml:space="preserve">
Appendix H, pg 75-88. Confused on the total electric costs. Also the cost for transport of 413k doesn't match the net savings on pdf pg 85</t>
        </r>
      </text>
    </comment>
    <comment ref="G29" authorId="0" shapeId="0" xr:uid="{B241C53E-32BC-48AB-8C93-A3D9D96A5F98}">
      <text>
        <r>
          <rPr>
            <b/>
            <sz val="9"/>
            <color indexed="81"/>
            <rFont val="Tahoma"/>
            <charset val="1"/>
          </rPr>
          <t>Author:</t>
        </r>
        <r>
          <rPr>
            <sz val="9"/>
            <color indexed="81"/>
            <rFont val="Tahoma"/>
            <charset val="1"/>
          </rPr>
          <t xml:space="preserve">
BACT Appendix H pg 29. However, they have doubled the estimate of $98k.</t>
        </r>
      </text>
    </comment>
    <comment ref="G30" authorId="0" shapeId="0" xr:uid="{00F90DC7-E6DA-4E77-861E-9F37BE9B0559}">
      <text>
        <r>
          <rPr>
            <b/>
            <sz val="9"/>
            <color indexed="81"/>
            <rFont val="Tahoma"/>
            <charset val="1"/>
          </rPr>
          <t>Author:</t>
        </r>
        <r>
          <rPr>
            <sz val="9"/>
            <color indexed="81"/>
            <rFont val="Tahoma"/>
            <charset val="1"/>
          </rPr>
          <t xml:space="preserve">
BACT Appendix H, pg 31. Note quote is for $31k, which they doubled.</t>
        </r>
      </text>
    </comment>
    <comment ref="G31" authorId="0" shapeId="0" xr:uid="{B50AEF70-C2B5-432C-B0C9-F3F631FD74EB}">
      <text>
        <r>
          <rPr>
            <b/>
            <sz val="9"/>
            <color indexed="81"/>
            <rFont val="Tahoma"/>
            <charset val="1"/>
          </rPr>
          <t>Author:</t>
        </r>
        <r>
          <rPr>
            <sz val="9"/>
            <color indexed="81"/>
            <rFont val="Tahoma"/>
            <charset val="1"/>
          </rPr>
          <t xml:space="preserve">
BACT Appendix H pg 29. Note that they have halved the quote of $84k
</t>
        </r>
      </text>
    </comment>
    <comment ref="G32" authorId="0" shapeId="0" xr:uid="{22F1FBEC-6D7F-44BD-9557-2EE8E60818D1}">
      <text>
        <r>
          <rPr>
            <b/>
            <sz val="9"/>
            <color indexed="81"/>
            <rFont val="Tahoma"/>
            <charset val="1"/>
          </rPr>
          <t>Author:</t>
        </r>
        <r>
          <rPr>
            <sz val="9"/>
            <color indexed="81"/>
            <rFont val="Tahoma"/>
            <charset val="1"/>
          </rPr>
          <t xml:space="preserve">
BACT Appendix H pgs 39 and 40. </t>
        </r>
      </text>
    </comment>
    <comment ref="G33" authorId="0" shapeId="0" xr:uid="{DD9C862C-DB2E-4071-B3A3-7C28B1B4D7B6}">
      <text>
        <r>
          <rPr>
            <b/>
            <sz val="9"/>
            <color indexed="81"/>
            <rFont val="Tahoma"/>
            <charset val="1"/>
          </rPr>
          <t>Author:</t>
        </r>
        <r>
          <rPr>
            <sz val="9"/>
            <color indexed="81"/>
            <rFont val="Tahoma"/>
            <charset val="1"/>
          </rPr>
          <t xml:space="preserve">
BACT Appendix H pg 43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8" authorId="0" shapeId="0" xr:uid="{BE83C76A-54DF-494D-AB1E-647FE7EFD0B6}">
      <text>
        <r>
          <rPr>
            <b/>
            <sz val="9"/>
            <color indexed="81"/>
            <rFont val="Tahoma"/>
            <charset val="1"/>
          </rPr>
          <t>Author:</t>
        </r>
        <r>
          <rPr>
            <sz val="9"/>
            <color indexed="81"/>
            <rFont val="Tahoma"/>
            <charset val="1"/>
          </rPr>
          <t xml:space="preserve">
hourly salary from BACT Appendix H pg 71</t>
        </r>
      </text>
    </comment>
    <comment ref="G10" authorId="0" shapeId="0" xr:uid="{1B4A2752-5C87-4CDB-8689-6EB0C45FA9D9}">
      <text>
        <r>
          <rPr>
            <b/>
            <sz val="9"/>
            <color indexed="81"/>
            <rFont val="Tahoma"/>
            <charset val="1"/>
          </rPr>
          <t>Author:</t>
        </r>
        <r>
          <rPr>
            <sz val="9"/>
            <color indexed="81"/>
            <rFont val="Tahoma"/>
            <charset val="1"/>
          </rPr>
          <t xml:space="preserve">
hourly salary from BACT Appendix H pg 71</t>
        </r>
      </text>
    </comment>
    <comment ref="G13" authorId="0" shapeId="0" xr:uid="{5AF96E9B-DAE6-46EA-BAE3-E598CF9338AE}">
      <text>
        <r>
          <rPr>
            <b/>
            <sz val="9"/>
            <color indexed="81"/>
            <rFont val="Tahoma"/>
            <charset val="1"/>
          </rPr>
          <t>Author:</t>
        </r>
        <r>
          <rPr>
            <sz val="9"/>
            <color indexed="81"/>
            <rFont val="Tahoma"/>
            <charset val="1"/>
          </rPr>
          <t xml:space="preserve">
BACT Appendix H pg 57</t>
        </r>
      </text>
    </comment>
    <comment ref="G14" authorId="0" shapeId="0" xr:uid="{04883773-5900-4BCB-906A-0149B9E42F9B}">
      <text>
        <r>
          <rPr>
            <b/>
            <sz val="9"/>
            <color indexed="81"/>
            <rFont val="Tahoma"/>
            <charset val="1"/>
          </rPr>
          <t>Author:</t>
        </r>
        <r>
          <rPr>
            <sz val="9"/>
            <color indexed="81"/>
            <rFont val="Tahoma"/>
            <charset val="1"/>
          </rPr>
          <t xml:space="preserve">
Electricity cost from BACT Appendix H pg 55. Note that the cost to UAF is likely lower. https://www.gvea.com/services/rates/</t>
        </r>
      </text>
    </comment>
    <comment ref="G15" authorId="0" shapeId="0" xr:uid="{0AEF3AE5-7A5C-4F8E-9F45-E8AB2952DA07}">
      <text>
        <r>
          <rPr>
            <b/>
            <sz val="9"/>
            <color indexed="81"/>
            <rFont val="Tahoma"/>
            <charset val="1"/>
          </rPr>
          <t>Author:</t>
        </r>
        <r>
          <rPr>
            <sz val="9"/>
            <color indexed="81"/>
            <rFont val="Tahoma"/>
            <charset val="1"/>
          </rPr>
          <t xml:space="preserve">
water cost from BACT Appendix H pg 55 shows $12.17/1k gallons. Also unsure why water is needed to run DSI.</t>
        </r>
      </text>
    </comment>
  </commentList>
</comments>
</file>

<file path=xl/sharedStrings.xml><?xml version="1.0" encoding="utf-8"?>
<sst xmlns="http://schemas.openxmlformats.org/spreadsheetml/2006/main" count="442" uniqueCount="209">
  <si>
    <t>DIRECT COSTS</t>
  </si>
  <si>
    <t>Purchased equipment and material costs</t>
  </si>
  <si>
    <t>Basic equipment</t>
  </si>
  <si>
    <t>Freight</t>
  </si>
  <si>
    <t>Vendor representatives fees</t>
  </si>
  <si>
    <t>(a)</t>
  </si>
  <si>
    <t>(b)</t>
  </si>
  <si>
    <t>(c)</t>
  </si>
  <si>
    <t>(d)</t>
  </si>
  <si>
    <t>(1)</t>
  </si>
  <si>
    <t>(2)</t>
  </si>
  <si>
    <t>Direct Installation Costs</t>
  </si>
  <si>
    <t>Concrete</t>
  </si>
  <si>
    <t>Structural steel</t>
  </si>
  <si>
    <t>Electrical</t>
  </si>
  <si>
    <t>Abovegrade piping</t>
  </si>
  <si>
    <t>Total Direct Costs (TDC)</t>
  </si>
  <si>
    <t>INDIRECT COSTS</t>
  </si>
  <si>
    <t>(3)</t>
  </si>
  <si>
    <t>Engineering, Procurement &amp; Construction Support Services</t>
  </si>
  <si>
    <t>(4)</t>
  </si>
  <si>
    <t>Performance tests</t>
  </si>
  <si>
    <t>Total Indirect Costs (TIC)</t>
  </si>
  <si>
    <t>MANAGEMENT AND CONTINGENCY COSTS</t>
  </si>
  <si>
    <t>(5)</t>
  </si>
  <si>
    <t>Contingency</t>
  </si>
  <si>
    <t>(6)</t>
  </si>
  <si>
    <t>Total Management and Contingency Costs (TM&amp;CC)</t>
  </si>
  <si>
    <t>TOTAL CAPITAL INVESTMENT (TCI)</t>
  </si>
  <si>
    <t>DIRECT ANNUAL COSTS</t>
  </si>
  <si>
    <t>Operating Labor</t>
  </si>
  <si>
    <t>Supervisory Labor</t>
  </si>
  <si>
    <t>Maintenance Labor</t>
  </si>
  <si>
    <t>Utilities</t>
  </si>
  <si>
    <t>Electricity:</t>
  </si>
  <si>
    <t>Total Direct Annual Costs (TDAC)</t>
  </si>
  <si>
    <t>INDIRECT ANNUAL COSTS</t>
  </si>
  <si>
    <t>Overhead</t>
  </si>
  <si>
    <t>Capital Recovery</t>
  </si>
  <si>
    <t>(8)</t>
  </si>
  <si>
    <t>Total Indirect Annual Costs (TIAC)</t>
  </si>
  <si>
    <t>Capital Costs</t>
  </si>
  <si>
    <t>Instrumentation</t>
  </si>
  <si>
    <t>Purchased Equipment and Material Cost (PEMC)</t>
  </si>
  <si>
    <t>Annualized Costs</t>
  </si>
  <si>
    <t>TOTAL ANNUALIZED COSTS (TAC)</t>
  </si>
  <si>
    <t>Date:</t>
  </si>
  <si>
    <t>Prepared By:</t>
  </si>
  <si>
    <t>Checked By:</t>
  </si>
  <si>
    <t>Rev:</t>
  </si>
  <si>
    <t>QTY</t>
  </si>
  <si>
    <t>UNIT</t>
  </si>
  <si>
    <t>UNIT COST</t>
  </si>
  <si>
    <t xml:space="preserve">TM &amp; CC   =   </t>
  </si>
  <si>
    <t xml:space="preserve">TCI  =  (TDC)+(TIC)+(TM&amp;CC)  = </t>
  </si>
  <si>
    <t xml:space="preserve">CRF * TCI  = </t>
  </si>
  <si>
    <t xml:space="preserve"> TDAC   =</t>
  </si>
  <si>
    <t xml:space="preserve"> TIAC   =</t>
  </si>
  <si>
    <t>TAC = (TDAC) + (TIAC)  =</t>
  </si>
  <si>
    <t xml:space="preserve"> PEMC   =</t>
  </si>
  <si>
    <t xml:space="preserve"> DIC   =</t>
  </si>
  <si>
    <t>TDC = (PEMC) + (DIC)  =</t>
  </si>
  <si>
    <t>TIC   =</t>
  </si>
  <si>
    <t xml:space="preserve"> TOTAL LABOR COST</t>
  </si>
  <si>
    <t xml:space="preserve"> TOTAL MATERIALS COST</t>
  </si>
  <si>
    <t>EA</t>
  </si>
  <si>
    <t>TOTAL =</t>
  </si>
  <si>
    <t>Total Instrumentation</t>
  </si>
  <si>
    <t>Days</t>
  </si>
  <si>
    <t>TON</t>
  </si>
  <si>
    <t>LOT</t>
  </si>
  <si>
    <t>MH</t>
  </si>
  <si>
    <t>% TDC</t>
  </si>
  <si>
    <t xml:space="preserve">Project: </t>
  </si>
  <si>
    <t xml:space="preserve">Project:  </t>
  </si>
  <si>
    <t>%</t>
  </si>
  <si>
    <t>years</t>
  </si>
  <si>
    <t>Maintenance Materials</t>
  </si>
  <si>
    <t>TOTAL</t>
  </si>
  <si>
    <t>Shaded cells indicate user inputs.</t>
  </si>
  <si>
    <t>Onsite Vendor Representatives fees (enter no. of days and daily rate)</t>
  </si>
  <si>
    <t>Shaded cells indicate user inputs</t>
  </si>
  <si>
    <t>Capital Recovery Factor [see inputs below]</t>
  </si>
  <si>
    <t>Data Inputs for Capital Recovery Factor:</t>
  </si>
  <si>
    <t>(e)</t>
  </si>
  <si>
    <t>All above costs included in vendor scope.</t>
  </si>
  <si>
    <t>Excluded</t>
  </si>
  <si>
    <t xml:space="preserve">Annual Interest Rate (EPA OAQPS Control Cost Manual)  </t>
  </si>
  <si>
    <t xml:space="preserve">Project Life (EPA OAQPS Control Cost Manual) </t>
  </si>
  <si>
    <t>% total capital</t>
  </si>
  <si>
    <t>UAF - BACT Analysis</t>
  </si>
  <si>
    <t>M. Jahn</t>
  </si>
  <si>
    <t>Direct Installation Costs (DIC) - Guess at new building, foundation, piping, electrical, etc.</t>
  </si>
  <si>
    <t>Water:</t>
  </si>
  <si>
    <t xml:space="preserve">Vendor: </t>
  </si>
  <si>
    <t>Total Capital Investment - DSI (Dry Sorbent Injection)</t>
  </si>
  <si>
    <t>Total DSI System</t>
  </si>
  <si>
    <t>Hydrated Lime:</t>
  </si>
  <si>
    <t>Line Number 3</t>
  </si>
  <si>
    <t>Line Number 4</t>
  </si>
  <si>
    <t>Maintenance Material</t>
  </si>
  <si>
    <t>Hydrated Lime</t>
  </si>
  <si>
    <t>Electricity</t>
  </si>
  <si>
    <t>Admin Charges, etc</t>
  </si>
  <si>
    <t>Annual Interest Rate</t>
  </si>
  <si>
    <t>Project Life</t>
  </si>
  <si>
    <t>Calculated as percent of Total Capital Investment</t>
  </si>
  <si>
    <t>Capital Recovery Factor</t>
  </si>
  <si>
    <t>EPA calculated factor using Interest Rate and Project Life Span</t>
  </si>
  <si>
    <t>Project Life expectancy in years.</t>
  </si>
  <si>
    <t>Capital Recovery Factor times Total Capital Investment.</t>
  </si>
  <si>
    <t>DSI System</t>
  </si>
  <si>
    <t>ID Fan</t>
  </si>
  <si>
    <t>ID Fan Freight</t>
  </si>
  <si>
    <t>Site Vibro Compaction (DSI Unloading Building/Storage Silo)</t>
  </si>
  <si>
    <t>(k)Gallons</t>
  </si>
  <si>
    <t>Line Number 1 and 3</t>
  </si>
  <si>
    <t>Line Number 5b</t>
  </si>
  <si>
    <t>Line Number 5c</t>
  </si>
  <si>
    <t>Line Number 6</t>
  </si>
  <si>
    <t>Line Number 7a</t>
  </si>
  <si>
    <t>Line Number 7b</t>
  </si>
  <si>
    <t>Line Number 8</t>
  </si>
  <si>
    <t>Operating/Maintenance Labor</t>
  </si>
  <si>
    <t>Water</t>
  </si>
  <si>
    <t>Line Number 5a</t>
  </si>
  <si>
    <t>Hydrated Lime consumption rates provided by DSI vendor. Hydrated Lime costs provided by L'hoist.</t>
  </si>
  <si>
    <t>Pricing provided by UAF for published utility rates on campus. Electical consumption rate provided by DSI vendor. Additional consumption by larger ID Fan was also included.</t>
  </si>
  <si>
    <t>Pricing provided by UAF for published utility rates on campus. Water consumption rate provided by DSI vendor.</t>
  </si>
  <si>
    <t>Title</t>
  </si>
  <si>
    <t>Line Number 1a</t>
  </si>
  <si>
    <t>Line Number 1b</t>
  </si>
  <si>
    <t>Line Number 1c</t>
  </si>
  <si>
    <t>ID Fan Shipping Costs</t>
  </si>
  <si>
    <t>Direct Install Costs</t>
  </si>
  <si>
    <t>Engineering Services</t>
  </si>
  <si>
    <t>Performance Test</t>
  </si>
  <si>
    <t>Construction Contingency</t>
  </si>
  <si>
    <t>DSI price provided by OEM Vendor. Cost includes equipment supply and installation costs. Installation costs of vendor supplied equipment was assumed to be 25% of equipment cost.</t>
  </si>
  <si>
    <t>Total costs for new communication links and I/O integration into existing DCS room.</t>
  </si>
  <si>
    <t>Costs broken down into individual disciplines for balance of plant equipment, materials and labor for the DSI System. Cost estimate basis for each discipline are provided as attachments.</t>
  </si>
  <si>
    <t>Costs for a 3rd party performance testing company to validate emissions and performance guarantees by DSI vendor during operation</t>
  </si>
  <si>
    <t>Provided by UAF. Rate is burdoned rate for level of personnel operating and performing maintenance on this type of equipment. Additional FT operations person is assumed per shift. Four total shifts per week. Quarter FT maintenance persons is assumed for the new DSI system.</t>
  </si>
  <si>
    <t>Extended Outage Costs</t>
  </si>
  <si>
    <t>Administrative Charges, Insurance</t>
  </si>
  <si>
    <t>Tri-Mer</t>
  </si>
  <si>
    <t>Latest federal prime rate. https://www.federalreserve.gov/releases/h15/</t>
  </si>
  <si>
    <t>Pricing provided by Clarage for new ID Fan for CDS system. Fan pricing was scaled from 1250 HP to 950 HP. Fan shipping is provided in line number 1c.</t>
  </si>
  <si>
    <t>Costs to ship ID fan to site. CDS pricing was used and scaled from 1250 HP to 950 HP.</t>
  </si>
  <si>
    <t>Line Number/Description</t>
  </si>
  <si>
    <t>Line Number 1d</t>
  </si>
  <si>
    <t>Line Number 1e</t>
  </si>
  <si>
    <t>Vendor Representative Costs</t>
  </si>
  <si>
    <t>Costs incurred for OEM to send a Field Technician to the field to confirm installation and provide technical guidance if needed. Cost per day includes hourly burdened rate for employee daily allowances and travel expenses.</t>
  </si>
  <si>
    <t>Line Number 2a thru 2e</t>
  </si>
  <si>
    <t>kWh</t>
  </si>
  <si>
    <t>Costs for Preliminary Engineering costs to assist the University in soliciting bidders with specifications, preliminary drawings and procurement support for the AQCS system. Additional services include home office support for shop drawing review and occasional site support during construction for potential issues. Engineering is a percentage of the Total Direct Costs of the Project.</t>
  </si>
  <si>
    <t>Line Number 5</t>
  </si>
  <si>
    <t>Construction Contingency is an allottment for additonal or unexpected costs during the project. RS Means defines contingency allowances and ranges between 3-20% depending on what design stage the project is in. A 10% contingency is a project that is in Design Development, wheras a Conceptual Design phase allows for a 20% contingency. A 10% contingency for this cost estimate is considered low as the project is still in a Development phase.</t>
  </si>
  <si>
    <t>Allotment for maintenance materials. Item is equal to the maintenance labor allotment in line 3.</t>
  </si>
  <si>
    <t>(7a)</t>
  </si>
  <si>
    <t>(7b)</t>
  </si>
  <si>
    <t>Total Annualized Costs - DSI (Dry Sorbent Injection)</t>
  </si>
  <si>
    <t>C. Kimball</t>
  </si>
  <si>
    <t>Updated By:</t>
  </si>
  <si>
    <t>B</t>
  </si>
  <si>
    <t>Additional days beyond a typical 3 week outage</t>
  </si>
  <si>
    <t>UAF typically schedules for a 3 week outage on Boiler #5. A DSI outage will take 8 weeks and the University will incur 5 additional weeks of outage costs that inlcude purchasing electric power and running additional boilers for steam generation. Costs per day were provided by UAF personnel. The daily outage cost calculations are presented in the last section of Appendix H beginning on page H-74.</t>
  </si>
  <si>
    <t>Department Comments</t>
  </si>
  <si>
    <t>UAF Comment</t>
  </si>
  <si>
    <t>UAF Comments</t>
  </si>
  <si>
    <t>CCM Table 1.8</t>
  </si>
  <si>
    <t>Foundations &amp; Support</t>
  </si>
  <si>
    <t>Handling &amp; Erection</t>
  </si>
  <si>
    <t>Piping</t>
  </si>
  <si>
    <t>Insulation</t>
  </si>
  <si>
    <t>(f)</t>
  </si>
  <si>
    <t>Painting</t>
  </si>
  <si>
    <t>Engineering</t>
  </si>
  <si>
    <t>Construction and Field Exp.</t>
  </si>
  <si>
    <t>Contractor Fees</t>
  </si>
  <si>
    <t>Start-Up</t>
  </si>
  <si>
    <t>% of Operating Labor</t>
  </si>
  <si>
    <t>of total labor and material costs CCM Table 1.9</t>
  </si>
  <si>
    <t>Property Tax</t>
  </si>
  <si>
    <t>of Total Capital Investment - CCM Table 1.9</t>
  </si>
  <si>
    <t>Cost Per Ton ($/ton)</t>
  </si>
  <si>
    <t>TAC/Tons of SO2 Removed</t>
  </si>
  <si>
    <t>Assumed 0.5 hours per shift for operating and maintenance labor, and 15% of operator labor for supervisor labor per Table 1.9 of EPA CCM</t>
  </si>
  <si>
    <t>Did not include an allotment for maintenance materials</t>
  </si>
  <si>
    <t>Left unchanged from UAF's calculations</t>
  </si>
  <si>
    <t>(7)</t>
  </si>
  <si>
    <t>Calculated as 60% of total labor and material costs per Table 1.9 of EPA's CCM</t>
  </si>
  <si>
    <t>Calculated as 3% of total total capital investment (admin charges + insurance) and 1% (property tax) per Table 1.9 of EPA's CCM</t>
  </si>
  <si>
    <t>Calculated as 1% of total total capital investment per Table 1.9 of EPA's CCM</t>
  </si>
  <si>
    <t>Left life expectancy unchaged at 30 years</t>
  </si>
  <si>
    <t>The Department removed the 25% increase in cost for equipment installation which is accounted for elsewhere.</t>
  </si>
  <si>
    <t>Left unchanged from UAF's price quote and calculations</t>
  </si>
  <si>
    <t>Used EPA's Pollution Cost Control Manual Table 1.8 assumption of 10% of the cost of the equipment price.</t>
  </si>
  <si>
    <t>Used EPA's Pollution Cost Control Manual Table 1.8 assumption of 5% of the cost of the equipment price.</t>
  </si>
  <si>
    <t>The Department removed these costs for the cost calculation in order to make a conservative estimate.</t>
  </si>
  <si>
    <t>The Department removed these costs and included a cost for startup below under (3).</t>
  </si>
  <si>
    <t>Used the direct installation cost percentages from EPA's Pollution Cost Control Manual Table 1.8.</t>
  </si>
  <si>
    <t>Used the indirect installation cost percentages from EPA's Pollution Cost Control Manual Table 1.8.</t>
  </si>
  <si>
    <t>Used the 10% contingency factor from EPA's Pollution Cost Control Manual Table 1.8, Footnote c.</t>
  </si>
  <si>
    <t>Cost Per Ton ($/ton) Calculated by DEC using UAF's total annualized costs (TAC)</t>
  </si>
  <si>
    <t>Uncontrolled emissions (tpy) =</t>
  </si>
  <si>
    <t xml:space="preserve">controlled emissions (tpy) = </t>
  </si>
  <si>
    <t>Reduction (tpy)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</si>
</sst>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_(* #,##0_);_(* \(#,##0\);_(* &quot;-&quot;??_);_(@_)"/>
    <numFmt numFmtId="167" formatCode="_(* #,##0.000_);_(* \(#,##0.000\);_(* &quot;-&quot;??_);_(@_)"/>
  </numFmts>
  <fonts count="24"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color rgb="FF0070C0"/>
      <name val="Calibri"/>
      <family val="2"/>
      <scheme val="minor"/>
    </font>
    <font>
      <b/>
      <sz val="12"/>
      <color rgb="FF0070C0"/>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70C0"/>
      <name val="Calibri"/>
      <family val="2"/>
      <scheme val="minor"/>
    </font>
    <font>
      <sz val="14"/>
      <color theme="1"/>
      <name val="Calibri"/>
      <family val="2"/>
      <scheme val="minor"/>
    </font>
    <font>
      <sz val="12"/>
      <color theme="1"/>
      <name val="Calibri"/>
      <family val="2"/>
      <scheme val="minor"/>
    </font>
    <font>
      <b/>
      <sz val="12"/>
      <name val="Calibri"/>
      <family val="2"/>
      <scheme val="minor"/>
    </font>
    <font>
      <b/>
      <i/>
      <sz val="12"/>
      <color rgb="FF0070C0"/>
      <name val="Calibri"/>
      <family val="2"/>
      <scheme val="minor"/>
    </font>
    <font>
      <sz val="12"/>
      <color rgb="FF0070C0"/>
      <name val="Calibri"/>
      <family val="2"/>
      <scheme val="minor"/>
    </font>
    <font>
      <b/>
      <sz val="14"/>
      <color rgb="FF0070C0"/>
      <name val="Calibri"/>
      <family val="2"/>
      <scheme val="minor"/>
    </font>
    <font>
      <sz val="14"/>
      <color rgb="FF0070C0"/>
      <name val="Calibri"/>
      <family val="2"/>
      <scheme val="minor"/>
    </font>
    <font>
      <b/>
      <sz val="11"/>
      <color rgb="FFFF0000"/>
      <name val="Calibri"/>
      <family val="2"/>
      <scheme val="minor"/>
    </font>
    <font>
      <b/>
      <sz val="11"/>
      <color theme="8" tint="-0.249977111117893"/>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1"/>
      <color rgb="FF00206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s>
  <borders count="45">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ck">
        <color auto="1"/>
      </left>
      <right/>
      <top style="thin">
        <color auto="1"/>
      </top>
      <bottom style="thin">
        <color auto="1"/>
      </bottom>
      <diagonal/>
    </border>
    <border>
      <left style="thick">
        <color auto="1"/>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style="thick">
        <color auto="1"/>
      </right>
      <top style="thin">
        <color auto="1"/>
      </top>
      <bottom style="thin">
        <color auto="1"/>
      </bottom>
      <diagonal/>
    </border>
    <border>
      <left style="thick">
        <color auto="1"/>
      </left>
      <right/>
      <top style="double">
        <color indexed="64"/>
      </top>
      <bottom/>
      <diagonal/>
    </border>
    <border>
      <left/>
      <right/>
      <top style="double">
        <color indexed="64"/>
      </top>
      <bottom/>
      <diagonal/>
    </border>
    <border>
      <left/>
      <right style="thick">
        <color auto="1"/>
      </right>
      <top/>
      <bottom style="double">
        <color indexed="64"/>
      </bottom>
      <diagonal/>
    </border>
    <border>
      <left/>
      <right style="thick">
        <color auto="1"/>
      </right>
      <top style="double">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194">
    <xf numFmtId="0" fontId="0" fillId="0" borderId="0" xfId="0"/>
    <xf numFmtId="0" fontId="2" fillId="0" borderId="1" xfId="0" applyFont="1" applyBorder="1"/>
    <xf numFmtId="0" fontId="1" fillId="0" borderId="0" xfId="0" applyFont="1"/>
    <xf numFmtId="0" fontId="0" fillId="0" borderId="2" xfId="0" applyBorder="1"/>
    <xf numFmtId="0" fontId="0" fillId="0" borderId="1" xfId="0" applyBorder="1"/>
    <xf numFmtId="0" fontId="1" fillId="0" borderId="1" xfId="0" applyFont="1" applyBorder="1"/>
    <xf numFmtId="49" fontId="0" fillId="0" borderId="0" xfId="0" applyNumberFormat="1" applyAlignment="1">
      <alignment horizontal="center"/>
    </xf>
    <xf numFmtId="49" fontId="2" fillId="0" borderId="1" xfId="0" applyNumberFormat="1" applyFont="1" applyBorder="1"/>
    <xf numFmtId="0" fontId="0" fillId="0" borderId="0" xfId="0" applyAlignment="1">
      <alignment horizontal="center"/>
    </xf>
    <xf numFmtId="0" fontId="0" fillId="0" borderId="0" xfId="0" applyAlignment="1">
      <alignment horizontal="right"/>
    </xf>
    <xf numFmtId="42" fontId="0" fillId="0" borderId="2" xfId="0" applyNumberFormat="1" applyBorder="1"/>
    <xf numFmtId="44" fontId="0" fillId="0" borderId="2" xfId="0" applyNumberFormat="1" applyBorder="1"/>
    <xf numFmtId="0" fontId="1" fillId="0" borderId="0" xfId="0" applyFont="1" applyAlignment="1">
      <alignment horizontal="center"/>
    </xf>
    <xf numFmtId="0" fontId="7" fillId="0" borderId="0" xfId="0" applyFont="1" applyAlignment="1">
      <alignment horizontal="center"/>
    </xf>
    <xf numFmtId="44" fontId="0" fillId="0" borderId="0" xfId="0" applyNumberFormat="1"/>
    <xf numFmtId="42" fontId="0" fillId="0" borderId="0" xfId="0" applyNumberFormat="1"/>
    <xf numFmtId="49" fontId="1" fillId="0" borderId="0" xfId="0" applyNumberFormat="1" applyFont="1" applyAlignment="1">
      <alignment horizontal="right"/>
    </xf>
    <xf numFmtId="42" fontId="1" fillId="0" borderId="2" xfId="0" applyNumberFormat="1" applyFont="1" applyBorder="1"/>
    <xf numFmtId="0" fontId="2" fillId="0" borderId="0" xfId="0" applyFont="1"/>
    <xf numFmtId="9" fontId="0" fillId="0" borderId="0" xfId="1" applyFont="1" applyBorder="1"/>
    <xf numFmtId="0" fontId="1" fillId="0" borderId="2" xfId="0" applyFont="1" applyBorder="1" applyAlignment="1">
      <alignment horizontal="center"/>
    </xf>
    <xf numFmtId="0" fontId="0" fillId="0" borderId="10" xfId="0" applyBorder="1"/>
    <xf numFmtId="0" fontId="0" fillId="0" borderId="11" xfId="0" applyBorder="1"/>
    <xf numFmtId="0" fontId="3" fillId="0" borderId="13" xfId="0" applyFont="1" applyBorder="1"/>
    <xf numFmtId="0" fontId="0" fillId="0" borderId="14" xfId="0" applyBorder="1"/>
    <xf numFmtId="0" fontId="1" fillId="0" borderId="14" xfId="0" applyFont="1" applyBorder="1" applyAlignment="1">
      <alignment horizontal="center"/>
    </xf>
    <xf numFmtId="0" fontId="7" fillId="0" borderId="14" xfId="0" applyFont="1" applyBorder="1" applyAlignment="1">
      <alignment horizontal="center"/>
    </xf>
    <xf numFmtId="0" fontId="0" fillId="0" borderId="16" xfId="0" applyBorder="1"/>
    <xf numFmtId="0" fontId="11" fillId="0" borderId="0" xfId="0" applyFont="1"/>
    <xf numFmtId="0" fontId="11" fillId="0" borderId="1" xfId="0" applyFont="1" applyBorder="1"/>
    <xf numFmtId="49" fontId="11" fillId="0" borderId="1" xfId="0" applyNumberFormat="1" applyFont="1" applyBorder="1"/>
    <xf numFmtId="0" fontId="7" fillId="0" borderId="1" xfId="0" applyFont="1" applyBorder="1"/>
    <xf numFmtId="0" fontId="7" fillId="0" borderId="0" xfId="0" applyFont="1"/>
    <xf numFmtId="0" fontId="8" fillId="0" borderId="0" xfId="0" applyFont="1"/>
    <xf numFmtId="0" fontId="8" fillId="0" borderId="0" xfId="0" applyFont="1" applyAlignment="1">
      <alignment horizontal="center"/>
    </xf>
    <xf numFmtId="0" fontId="13" fillId="0" borderId="7" xfId="0" applyFont="1" applyBorder="1"/>
    <xf numFmtId="0" fontId="11" fillId="0" borderId="10" xfId="0" applyFont="1" applyBorder="1"/>
    <xf numFmtId="0" fontId="0" fillId="0" borderId="10" xfId="0" applyBorder="1" applyAlignment="1">
      <alignment horizontal="center"/>
    </xf>
    <xf numFmtId="42" fontId="1" fillId="0" borderId="12" xfId="0" applyNumberFormat="1" applyFont="1" applyBorder="1"/>
    <xf numFmtId="0" fontId="2" fillId="0" borderId="10" xfId="0" applyFont="1" applyBorder="1"/>
    <xf numFmtId="0" fontId="1" fillId="0" borderId="10" xfId="0" applyFont="1" applyBorder="1" applyAlignment="1">
      <alignment horizontal="center"/>
    </xf>
    <xf numFmtId="0" fontId="1" fillId="0" borderId="10" xfId="0" applyFont="1" applyBorder="1"/>
    <xf numFmtId="0" fontId="5" fillId="0" borderId="10" xfId="0" applyFont="1" applyBorder="1"/>
    <xf numFmtId="0" fontId="13" fillId="0" borderId="10" xfId="0" applyFont="1" applyBorder="1"/>
    <xf numFmtId="0" fontId="4" fillId="0" borderId="10" xfId="0" applyFont="1" applyBorder="1"/>
    <xf numFmtId="0" fontId="15" fillId="0" borderId="3" xfId="0" applyFont="1" applyBorder="1"/>
    <xf numFmtId="0" fontId="16" fillId="0" borderId="4" xfId="0" applyFont="1" applyBorder="1"/>
    <xf numFmtId="0" fontId="15" fillId="0" borderId="4" xfId="0" applyFont="1" applyBorder="1"/>
    <xf numFmtId="0" fontId="0" fillId="0" borderId="17" xfId="0" applyBorder="1"/>
    <xf numFmtId="0" fontId="0" fillId="0" borderId="17" xfId="0" applyBorder="1" applyAlignment="1">
      <alignment horizontal="right"/>
    </xf>
    <xf numFmtId="0" fontId="3" fillId="0" borderId="18" xfId="0" applyFont="1" applyBorder="1"/>
    <xf numFmtId="0" fontId="10" fillId="0" borderId="19" xfId="0" applyFont="1" applyBorder="1"/>
    <xf numFmtId="0" fontId="0" fillId="0" borderId="19" xfId="0" applyBorder="1"/>
    <xf numFmtId="0" fontId="0" fillId="0" borderId="20" xfId="0" applyBorder="1"/>
    <xf numFmtId="0" fontId="0" fillId="3" borderId="6" xfId="0" applyFill="1" applyBorder="1" applyAlignment="1">
      <alignment horizontal="center"/>
    </xf>
    <xf numFmtId="0" fontId="1" fillId="0" borderId="22" xfId="0" applyFont="1" applyBorder="1" applyAlignment="1">
      <alignment horizontal="left"/>
    </xf>
    <xf numFmtId="0" fontId="0" fillId="0" borderId="23" xfId="0" applyBorder="1"/>
    <xf numFmtId="0" fontId="1" fillId="0" borderId="24" xfId="0" applyFont="1" applyBorder="1" applyAlignment="1">
      <alignment horizontal="center"/>
    </xf>
    <xf numFmtId="0" fontId="0" fillId="0" borderId="25" xfId="0" applyBorder="1"/>
    <xf numFmtId="0" fontId="0" fillId="0" borderId="26" xfId="0" applyBorder="1"/>
    <xf numFmtId="0" fontId="0" fillId="0" borderId="27" xfId="0" applyBorder="1"/>
    <xf numFmtId="0" fontId="0" fillId="0" borderId="28" xfId="0" applyBorder="1"/>
    <xf numFmtId="0" fontId="2" fillId="0" borderId="23" xfId="0" applyFont="1" applyBorder="1"/>
    <xf numFmtId="0" fontId="1" fillId="0" borderId="23" xfId="0" applyFont="1" applyBorder="1" applyAlignment="1">
      <alignment horizontal="center"/>
    </xf>
    <xf numFmtId="0" fontId="7" fillId="0" borderId="23" xfId="0" applyFont="1" applyBorder="1" applyAlignment="1">
      <alignment horizontal="center"/>
    </xf>
    <xf numFmtId="0" fontId="17" fillId="0" borderId="0" xfId="0" applyFont="1"/>
    <xf numFmtId="44" fontId="0" fillId="0" borderId="0" xfId="0" applyNumberFormat="1" applyAlignment="1">
      <alignment horizontal="right"/>
    </xf>
    <xf numFmtId="44" fontId="1" fillId="0" borderId="0" xfId="0" applyNumberFormat="1" applyFont="1" applyAlignment="1">
      <alignment horizontal="right"/>
    </xf>
    <xf numFmtId="44" fontId="5" fillId="0" borderId="10" xfId="0" applyNumberFormat="1" applyFont="1" applyBorder="1" applyAlignment="1">
      <alignment horizontal="right"/>
    </xf>
    <xf numFmtId="44" fontId="1" fillId="0" borderId="10" xfId="0" applyNumberFormat="1" applyFont="1" applyBorder="1"/>
    <xf numFmtId="44" fontId="0" fillId="0" borderId="0" xfId="0" applyNumberFormat="1" applyAlignment="1">
      <alignment horizontal="center"/>
    </xf>
    <xf numFmtId="44" fontId="4" fillId="0" borderId="10" xfId="0" applyNumberFormat="1" applyFont="1" applyBorder="1"/>
    <xf numFmtId="44" fontId="16" fillId="0" borderId="4" xfId="0" applyNumberFormat="1" applyFont="1" applyBorder="1"/>
    <xf numFmtId="44" fontId="14" fillId="0" borderId="4" xfId="0" applyNumberFormat="1" applyFont="1" applyBorder="1"/>
    <xf numFmtId="44" fontId="5" fillId="0" borderId="4" xfId="0" applyNumberFormat="1" applyFont="1" applyBorder="1" applyAlignment="1">
      <alignment horizontal="right"/>
    </xf>
    <xf numFmtId="42" fontId="8" fillId="0" borderId="0" xfId="0" applyNumberFormat="1" applyFont="1"/>
    <xf numFmtId="42" fontId="0" fillId="0" borderId="10" xfId="0" applyNumberFormat="1" applyBorder="1"/>
    <xf numFmtId="42" fontId="1" fillId="0" borderId="10" xfId="0" applyNumberFormat="1" applyFont="1" applyBorder="1"/>
    <xf numFmtId="44" fontId="0" fillId="3" borderId="6" xfId="0" applyNumberFormat="1" applyFill="1" applyBorder="1"/>
    <xf numFmtId="44" fontId="0" fillId="0" borderId="2" xfId="0" applyNumberFormat="1" applyBorder="1" applyAlignment="1">
      <alignment horizontal="right"/>
    </xf>
    <xf numFmtId="2" fontId="0" fillId="3" borderId="6" xfId="0" applyNumberFormat="1" applyFill="1" applyBorder="1" applyAlignment="1">
      <alignment horizontal="center"/>
    </xf>
    <xf numFmtId="0" fontId="0" fillId="3" borderId="29" xfId="0" applyFill="1" applyBorder="1" applyAlignment="1">
      <alignment horizontal="center"/>
    </xf>
    <xf numFmtId="9" fontId="0" fillId="3" borderId="6" xfId="1" applyFont="1" applyFill="1" applyBorder="1" applyAlignment="1">
      <alignment horizontal="center"/>
    </xf>
    <xf numFmtId="49" fontId="4" fillId="0" borderId="10" xfId="0" applyNumberFormat="1" applyFont="1" applyBorder="1"/>
    <xf numFmtId="0" fontId="0" fillId="0" borderId="10" xfId="0" applyBorder="1" applyAlignment="1">
      <alignment horizontal="left"/>
    </xf>
    <xf numFmtId="164" fontId="0" fillId="0" borderId="10" xfId="0" applyNumberFormat="1" applyBorder="1" applyAlignment="1">
      <alignment horizontal="center"/>
    </xf>
    <xf numFmtId="0" fontId="0" fillId="0" borderId="10" xfId="0" applyBorder="1" applyAlignment="1">
      <alignment horizontal="right"/>
    </xf>
    <xf numFmtId="42" fontId="0" fillId="0" borderId="10" xfId="0" applyNumberFormat="1" applyBorder="1" applyAlignment="1">
      <alignment horizontal="right"/>
    </xf>
    <xf numFmtId="42" fontId="9" fillId="0" borderId="10" xfId="0" applyNumberFormat="1" applyFont="1" applyBorder="1"/>
    <xf numFmtId="42" fontId="4" fillId="0" borderId="10" xfId="0" applyNumberFormat="1" applyFont="1" applyBorder="1" applyAlignment="1">
      <alignment horizontal="right"/>
    </xf>
    <xf numFmtId="0" fontId="9" fillId="0" borderId="10" xfId="0" applyFont="1" applyBorder="1"/>
    <xf numFmtId="0" fontId="9" fillId="0" borderId="10" xfId="0" applyFont="1" applyBorder="1" applyAlignment="1">
      <alignment horizontal="center"/>
    </xf>
    <xf numFmtId="9" fontId="0" fillId="3" borderId="6" xfId="1" applyFont="1" applyFill="1" applyBorder="1"/>
    <xf numFmtId="42" fontId="4" fillId="0" borderId="12" xfId="0" applyNumberFormat="1" applyFont="1" applyBorder="1"/>
    <xf numFmtId="42" fontId="15" fillId="0" borderId="5" xfId="0" applyNumberFormat="1" applyFont="1" applyBorder="1"/>
    <xf numFmtId="0" fontId="0" fillId="0" borderId="2" xfId="0" applyBorder="1" applyAlignment="1">
      <alignment horizontal="right"/>
    </xf>
    <xf numFmtId="0" fontId="0" fillId="0" borderId="21" xfId="0" applyBorder="1" applyAlignment="1">
      <alignment horizontal="right"/>
    </xf>
    <xf numFmtId="14" fontId="0" fillId="0" borderId="2" xfId="0" applyNumberFormat="1" applyBorder="1"/>
    <xf numFmtId="3" fontId="0" fillId="3" borderId="6" xfId="0" applyNumberFormat="1" applyFill="1" applyBorder="1" applyAlignment="1">
      <alignment horizontal="center"/>
    </xf>
    <xf numFmtId="166" fontId="0" fillId="3" borderId="6" xfId="2" applyNumberFormat="1" applyFont="1" applyFill="1" applyBorder="1" applyAlignment="1">
      <alignment horizontal="center"/>
    </xf>
    <xf numFmtId="9" fontId="0" fillId="3" borderId="6" xfId="0" applyNumberFormat="1" applyFill="1" applyBorder="1" applyAlignment="1">
      <alignment horizontal="center"/>
    </xf>
    <xf numFmtId="165" fontId="0" fillId="3" borderId="6" xfId="3" applyNumberFormat="1" applyFont="1" applyFill="1" applyBorder="1" applyAlignment="1">
      <alignment horizontal="center"/>
    </xf>
    <xf numFmtId="0" fontId="18" fillId="4" borderId="6" xfId="0" applyFont="1" applyFill="1" applyBorder="1" applyAlignment="1">
      <alignment horizontal="center"/>
    </xf>
    <xf numFmtId="0" fontId="18" fillId="0" borderId="0" xfId="0" applyFont="1"/>
    <xf numFmtId="0" fontId="0" fillId="0" borderId="0" xfId="0" applyAlignment="1">
      <alignment wrapText="1"/>
    </xf>
    <xf numFmtId="0" fontId="0" fillId="0" borderId="31" xfId="0" applyBorder="1" applyAlignment="1">
      <alignment horizontal="center"/>
    </xf>
    <xf numFmtId="0" fontId="0" fillId="0" borderId="31" xfId="0" applyBorder="1"/>
    <xf numFmtId="0" fontId="0" fillId="0" borderId="31" xfId="0" applyBorder="1" applyAlignment="1">
      <alignment wrapText="1"/>
    </xf>
    <xf numFmtId="167" fontId="0" fillId="3" borderId="6" xfId="2" applyNumberFormat="1" applyFont="1" applyFill="1" applyBorder="1" applyAlignment="1">
      <alignment horizontal="center"/>
    </xf>
    <xf numFmtId="166" fontId="0" fillId="3" borderId="6" xfId="2" applyNumberFormat="1" applyFont="1" applyFill="1" applyBorder="1" applyAlignment="1">
      <alignment horizontal="right"/>
    </xf>
    <xf numFmtId="43" fontId="0" fillId="3" borderId="6" xfId="2" applyFont="1" applyFill="1" applyBorder="1" applyAlignment="1">
      <alignment horizontal="center"/>
    </xf>
    <xf numFmtId="0" fontId="0" fillId="0" borderId="6" xfId="0" applyBorder="1" applyAlignment="1">
      <alignment horizontal="center" vertical="center"/>
    </xf>
    <xf numFmtId="0" fontId="3" fillId="0" borderId="22" xfId="0" applyFont="1" applyBorder="1"/>
    <xf numFmtId="0" fontId="3" fillId="0" borderId="23" xfId="0" applyFont="1" applyBorder="1"/>
    <xf numFmtId="0" fontId="0" fillId="0" borderId="23" xfId="0" applyBorder="1" applyAlignment="1">
      <alignment horizontal="right"/>
    </xf>
    <xf numFmtId="14" fontId="0" fillId="0" borderId="24" xfId="0" applyNumberFormat="1" applyBorder="1"/>
    <xf numFmtId="0" fontId="0" fillId="0" borderId="26" xfId="0" applyBorder="1" applyAlignment="1">
      <alignment horizontal="right"/>
    </xf>
    <xf numFmtId="0" fontId="0" fillId="0" borderId="28" xfId="0" applyBorder="1" applyAlignment="1">
      <alignment horizontal="right"/>
    </xf>
    <xf numFmtId="0" fontId="2" fillId="0" borderId="22" xfId="0" applyFont="1" applyBorder="1"/>
    <xf numFmtId="49" fontId="0" fillId="0" borderId="25" xfId="0" applyNumberFormat="1" applyBorder="1"/>
    <xf numFmtId="42" fontId="0" fillId="0" borderId="0" xfId="0" applyNumberFormat="1" applyAlignment="1">
      <alignment horizontal="right"/>
    </xf>
    <xf numFmtId="42" fontId="0" fillId="0" borderId="26" xfId="0" applyNumberFormat="1" applyBorder="1"/>
    <xf numFmtId="0" fontId="0" fillId="0" borderId="25" xfId="0" applyBorder="1" applyAlignment="1">
      <alignment horizontal="left"/>
    </xf>
    <xf numFmtId="49" fontId="4" fillId="0" borderId="0" xfId="0" applyNumberFormat="1" applyFont="1"/>
    <xf numFmtId="164" fontId="0" fillId="0" borderId="0" xfId="0" applyNumberFormat="1"/>
    <xf numFmtId="42" fontId="9" fillId="0" borderId="0" xfId="0" applyNumberFormat="1" applyFont="1"/>
    <xf numFmtId="49" fontId="4" fillId="0" borderId="36" xfId="0" applyNumberFormat="1" applyFont="1" applyBorder="1"/>
    <xf numFmtId="42" fontId="0" fillId="0" borderId="37" xfId="0" applyNumberFormat="1" applyBorder="1"/>
    <xf numFmtId="42" fontId="4" fillId="0" borderId="0" xfId="0" applyNumberFormat="1" applyFont="1" applyAlignment="1">
      <alignment horizontal="right"/>
    </xf>
    <xf numFmtId="0" fontId="2" fillId="0" borderId="25" xfId="0" applyFont="1" applyBorder="1"/>
    <xf numFmtId="0" fontId="0" fillId="0" borderId="26" xfId="0" applyBorder="1" applyAlignment="1">
      <alignment horizontal="center"/>
    </xf>
    <xf numFmtId="42" fontId="4" fillId="0" borderId="0" xfId="0" applyNumberFormat="1" applyFont="1"/>
    <xf numFmtId="42" fontId="7" fillId="0" borderId="0" xfId="0" applyNumberFormat="1" applyFont="1" applyAlignment="1">
      <alignment horizontal="right"/>
    </xf>
    <xf numFmtId="49" fontId="1" fillId="0" borderId="25" xfId="0" applyNumberFormat="1" applyFont="1" applyBorder="1"/>
    <xf numFmtId="49" fontId="1" fillId="0" borderId="0" xfId="0" applyNumberFormat="1" applyFont="1"/>
    <xf numFmtId="49" fontId="12" fillId="0" borderId="38" xfId="0" applyNumberFormat="1" applyFont="1" applyBorder="1"/>
    <xf numFmtId="49" fontId="12" fillId="0" borderId="39" xfId="0" applyNumberFormat="1" applyFont="1" applyBorder="1"/>
    <xf numFmtId="0" fontId="0" fillId="0" borderId="39" xfId="0" applyBorder="1"/>
    <xf numFmtId="0" fontId="0" fillId="0" borderId="39" xfId="0" applyBorder="1" applyAlignment="1">
      <alignment horizontal="center"/>
    </xf>
    <xf numFmtId="42" fontId="0" fillId="0" borderId="39" xfId="0" applyNumberFormat="1" applyBorder="1"/>
    <xf numFmtId="42" fontId="4" fillId="0" borderId="39" xfId="0" applyNumberFormat="1" applyFont="1" applyBorder="1"/>
    <xf numFmtId="42" fontId="4" fillId="0" borderId="39" xfId="0" applyNumberFormat="1" applyFont="1" applyBorder="1" applyAlignment="1">
      <alignment horizontal="right"/>
    </xf>
    <xf numFmtId="42" fontId="0" fillId="0" borderId="40" xfId="0" applyNumberFormat="1" applyBorder="1"/>
    <xf numFmtId="0" fontId="0" fillId="0" borderId="0" xfId="0" applyAlignment="1">
      <alignment horizontal="center" wrapText="1"/>
    </xf>
    <xf numFmtId="42" fontId="1" fillId="0" borderId="26" xfId="0" applyNumberFormat="1" applyFont="1" applyBorder="1"/>
    <xf numFmtId="9" fontId="1" fillId="0" borderId="10" xfId="0" applyNumberFormat="1" applyFont="1" applyBorder="1"/>
    <xf numFmtId="49" fontId="11" fillId="0" borderId="25" xfId="0" applyNumberFormat="1" applyFont="1" applyBorder="1"/>
    <xf numFmtId="165" fontId="0" fillId="0" borderId="6" xfId="3" applyNumberFormat="1" applyFont="1" applyFill="1" applyBorder="1" applyAlignment="1">
      <alignment horizontal="center"/>
    </xf>
    <xf numFmtId="0" fontId="13" fillId="0" borderId="36" xfId="0" applyFont="1" applyBorder="1"/>
    <xf numFmtId="42" fontId="1" fillId="0" borderId="37" xfId="0" applyNumberFormat="1" applyFont="1" applyBorder="1"/>
    <xf numFmtId="0" fontId="0" fillId="0" borderId="0" xfId="0" applyAlignment="1">
      <alignment horizontal="left"/>
    </xf>
    <xf numFmtId="0" fontId="1" fillId="0" borderId="42" xfId="0" applyFont="1" applyBorder="1"/>
    <xf numFmtId="0" fontId="0" fillId="0" borderId="43" xfId="0" applyBorder="1"/>
    <xf numFmtId="44" fontId="0" fillId="0" borderId="44" xfId="0" applyNumberFormat="1" applyBorder="1"/>
    <xf numFmtId="0" fontId="0" fillId="0" borderId="41" xfId="0" applyBorder="1" applyAlignment="1">
      <alignment wrapText="1"/>
    </xf>
    <xf numFmtId="42" fontId="0" fillId="0" borderId="0" xfId="0" applyNumberFormat="1" applyAlignment="1">
      <alignment wrapText="1"/>
    </xf>
    <xf numFmtId="0" fontId="0" fillId="0" borderId="42" xfId="0" applyBorder="1"/>
    <xf numFmtId="2" fontId="0" fillId="0" borderId="0" xfId="0" applyNumberFormat="1"/>
    <xf numFmtId="165" fontId="0" fillId="0" borderId="44" xfId="0" applyNumberFormat="1" applyBorder="1"/>
    <xf numFmtId="0" fontId="0" fillId="0" borderId="41" xfId="0" applyBorder="1" applyAlignment="1">
      <alignment horizontal="center" wrapText="1"/>
    </xf>
    <xf numFmtId="0" fontId="0" fillId="0" borderId="0" xfId="0" applyAlignment="1">
      <alignment horizontal="center" wrapText="1"/>
    </xf>
    <xf numFmtId="0" fontId="0" fillId="0" borderId="41" xfId="0" applyBorder="1" applyAlignment="1">
      <alignment horizontal="center"/>
    </xf>
    <xf numFmtId="0" fontId="0" fillId="0" borderId="0" xfId="0" applyAlignment="1">
      <alignment horizontal="center"/>
    </xf>
    <xf numFmtId="0" fontId="0" fillId="0" borderId="6" xfId="0" applyBorder="1" applyAlignment="1">
      <alignment horizontal="left" vertical="center" wrapText="1"/>
    </xf>
    <xf numFmtId="0" fontId="0" fillId="0" borderId="6" xfId="0"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0" fillId="3" borderId="35" xfId="0" applyFill="1" applyBorder="1" applyAlignment="1">
      <alignment horizontal="center"/>
    </xf>
    <xf numFmtId="0" fontId="18" fillId="4" borderId="33" xfId="0" applyFont="1" applyFill="1" applyBorder="1" applyAlignment="1">
      <alignment horizontal="center"/>
    </xf>
    <xf numFmtId="0" fontId="18" fillId="4" borderId="34" xfId="0" applyFont="1" applyFill="1" applyBorder="1" applyAlignment="1">
      <alignment horizontal="center"/>
    </xf>
    <xf numFmtId="0" fontId="18" fillId="4" borderId="10" xfId="0" applyFont="1" applyFill="1" applyBorder="1" applyAlignment="1">
      <alignment horizontal="center"/>
    </xf>
    <xf numFmtId="0" fontId="23" fillId="5" borderId="41" xfId="0" applyFont="1" applyFill="1" applyBorder="1" applyAlignment="1">
      <alignment horizontal="center"/>
    </xf>
    <xf numFmtId="0" fontId="0" fillId="5" borderId="0" xfId="0" applyFill="1" applyAlignment="1">
      <alignment horizont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2" fillId="2" borderId="25" xfId="0" applyFont="1" applyFill="1" applyBorder="1" applyAlignment="1">
      <alignment horizontal="center"/>
    </xf>
    <xf numFmtId="0" fontId="2" fillId="2" borderId="0" xfId="0" applyFont="1" applyFill="1" applyAlignment="1">
      <alignment horizontal="center"/>
    </xf>
    <xf numFmtId="0" fontId="2" fillId="2" borderId="26" xfId="0" applyFont="1" applyFill="1" applyBorder="1" applyAlignment="1">
      <alignment horizontal="center"/>
    </xf>
    <xf numFmtId="0" fontId="0" fillId="0" borderId="6" xfId="0" applyBorder="1" applyAlignment="1">
      <alignment horizontal="center" wrapText="1"/>
    </xf>
    <xf numFmtId="0" fontId="0" fillId="0" borderId="33" xfId="0" applyBorder="1" applyAlignment="1">
      <alignment horizontal="left" vertical="center" wrapText="1"/>
    </xf>
    <xf numFmtId="0" fontId="0" fillId="0" borderId="10" xfId="0" applyBorder="1" applyAlignment="1">
      <alignment horizontal="left" vertical="center" wrapText="1"/>
    </xf>
    <xf numFmtId="0" fontId="0" fillId="0" borderId="34" xfId="0" applyBorder="1" applyAlignment="1">
      <alignment horizontal="left" vertical="center" wrapText="1"/>
    </xf>
    <xf numFmtId="0" fontId="0" fillId="0" borderId="33"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xf>
    <xf numFmtId="0" fontId="0" fillId="0" borderId="6" xfId="0" applyBorder="1" applyAlignment="1">
      <alignment horizontal="center" vertical="center" wrapText="1"/>
    </xf>
    <xf numFmtId="0" fontId="0" fillId="3" borderId="30" xfId="0" applyFill="1" applyBorder="1" applyAlignment="1">
      <alignment horizontal="right"/>
    </xf>
    <xf numFmtId="0" fontId="0" fillId="3" borderId="31" xfId="0" applyFill="1" applyBorder="1" applyAlignment="1">
      <alignment horizontal="right"/>
    </xf>
    <xf numFmtId="0" fontId="0" fillId="3" borderId="32" xfId="0" applyFill="1" applyBorder="1" applyAlignment="1">
      <alignment horizontal="right"/>
    </xf>
    <xf numFmtId="0" fontId="18" fillId="5" borderId="6" xfId="0" applyFont="1" applyFill="1" applyBorder="1" applyAlignment="1">
      <alignment horizontal="center"/>
    </xf>
    <xf numFmtId="0" fontId="0" fillId="0" borderId="6" xfId="0" applyBorder="1" applyAlignment="1">
      <alignment horizontal="center"/>
    </xf>
    <xf numFmtId="42" fontId="0" fillId="0" borderId="6" xfId="0" applyNumberFormat="1" applyBorder="1" applyAlignment="1">
      <alignment horizontal="center" wrapText="1"/>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B1:V76"/>
  <sheetViews>
    <sheetView topLeftCell="E27" zoomScaleNormal="100" workbookViewId="0">
      <selection activeCell="R11" sqref="R11"/>
    </sheetView>
  </sheetViews>
  <sheetFormatPr defaultRowHeight="15" x14ac:dyDescent="0.25"/>
  <cols>
    <col min="1" max="1" width="2.28515625" customWidth="1"/>
    <col min="2" max="2" width="5.28515625" customWidth="1"/>
    <col min="3" max="3" width="6" customWidth="1"/>
    <col min="4" max="4" width="59.85546875" customWidth="1"/>
    <col min="6" max="6" width="19.28515625" customWidth="1"/>
    <col min="7" max="7" width="16.140625" bestFit="1" customWidth="1"/>
    <col min="8" max="8" width="22.42578125" customWidth="1"/>
    <col min="9" max="9" width="20.42578125" customWidth="1"/>
    <col min="10" max="10" width="14.7109375" customWidth="1"/>
    <col min="11" max="11" width="17.28515625" customWidth="1"/>
    <col min="13" max="13" width="15" customWidth="1"/>
    <col min="15" max="15" width="31.28515625" customWidth="1"/>
    <col min="18" max="18" width="12.42578125" customWidth="1"/>
    <col min="19" max="19" width="11.5703125" customWidth="1"/>
    <col min="20" max="20" width="11.7109375" customWidth="1"/>
    <col min="22" max="22" width="16.42578125" customWidth="1"/>
  </cols>
  <sheetData>
    <row r="1" spans="2:22" ht="15.75" thickBot="1" x14ac:dyDescent="0.3">
      <c r="J1" s="168" t="s">
        <v>79</v>
      </c>
      <c r="K1" s="168"/>
    </row>
    <row r="2" spans="2:22" ht="19.5" thickTop="1" x14ac:dyDescent="0.3">
      <c r="B2" s="50" t="s">
        <v>95</v>
      </c>
      <c r="C2" s="51"/>
      <c r="D2" s="51"/>
      <c r="E2" s="52"/>
      <c r="F2" s="52"/>
      <c r="G2" s="52"/>
      <c r="H2" s="52"/>
      <c r="I2" s="52"/>
      <c r="J2" s="9" t="s">
        <v>46</v>
      </c>
      <c r="K2" s="97">
        <v>44923</v>
      </c>
      <c r="M2" s="50" t="s">
        <v>95</v>
      </c>
      <c r="N2" s="51"/>
      <c r="O2" s="51"/>
      <c r="P2" s="52"/>
      <c r="Q2" s="52"/>
      <c r="R2" s="52"/>
      <c r="S2" s="52"/>
      <c r="T2" s="52"/>
      <c r="U2" s="9" t="s">
        <v>46</v>
      </c>
      <c r="V2" s="97">
        <v>44923</v>
      </c>
    </row>
    <row r="3" spans="2:22" x14ac:dyDescent="0.25">
      <c r="B3" s="4" t="s">
        <v>73</v>
      </c>
      <c r="D3" s="22" t="s">
        <v>90</v>
      </c>
      <c r="J3" s="9" t="s">
        <v>47</v>
      </c>
      <c r="K3" s="95" t="s">
        <v>91</v>
      </c>
      <c r="M3" s="4" t="s">
        <v>73</v>
      </c>
      <c r="O3" s="22" t="s">
        <v>90</v>
      </c>
      <c r="U3" s="9" t="s">
        <v>47</v>
      </c>
      <c r="V3" s="95" t="s">
        <v>91</v>
      </c>
    </row>
    <row r="4" spans="2:22" x14ac:dyDescent="0.25">
      <c r="B4" s="4" t="s">
        <v>94</v>
      </c>
      <c r="D4" t="s">
        <v>145</v>
      </c>
      <c r="J4" s="9" t="s">
        <v>164</v>
      </c>
      <c r="K4" s="95" t="s">
        <v>163</v>
      </c>
      <c r="M4" s="4" t="s">
        <v>94</v>
      </c>
      <c r="O4" t="s">
        <v>145</v>
      </c>
      <c r="U4" s="9" t="s">
        <v>164</v>
      </c>
      <c r="V4" s="95" t="s">
        <v>163</v>
      </c>
    </row>
    <row r="5" spans="2:22" ht="15.75" thickBot="1" x14ac:dyDescent="0.3">
      <c r="B5" s="53"/>
      <c r="C5" s="48"/>
      <c r="D5" s="48"/>
      <c r="E5" s="48"/>
      <c r="F5" s="48"/>
      <c r="G5" s="48"/>
      <c r="H5" s="48"/>
      <c r="I5" s="48"/>
      <c r="J5" s="49" t="s">
        <v>49</v>
      </c>
      <c r="K5" s="96" t="s">
        <v>165</v>
      </c>
      <c r="M5" s="53"/>
      <c r="N5" s="48"/>
      <c r="O5" s="48"/>
      <c r="P5" s="48"/>
      <c r="Q5" s="48"/>
      <c r="R5" s="48"/>
      <c r="S5" s="48"/>
      <c r="T5" s="48"/>
      <c r="U5" s="49" t="s">
        <v>49</v>
      </c>
      <c r="V5" s="96" t="s">
        <v>165</v>
      </c>
    </row>
    <row r="6" spans="2:22" ht="36.75" customHeight="1" thickBot="1" x14ac:dyDescent="0.3">
      <c r="B6" s="165" t="s">
        <v>41</v>
      </c>
      <c r="C6" s="166"/>
      <c r="D6" s="166"/>
      <c r="E6" s="166"/>
      <c r="F6" s="166"/>
      <c r="G6" s="166"/>
      <c r="H6" s="166"/>
      <c r="I6" s="166"/>
      <c r="J6" s="166"/>
      <c r="K6" s="167"/>
      <c r="M6" s="165" t="s">
        <v>41</v>
      </c>
      <c r="N6" s="166"/>
      <c r="O6" s="166"/>
      <c r="P6" s="166"/>
      <c r="Q6" s="166"/>
      <c r="R6" s="166"/>
      <c r="S6" s="166"/>
      <c r="T6" s="166"/>
      <c r="U6" s="166"/>
      <c r="V6" s="167"/>
    </row>
    <row r="7" spans="2:22" ht="19.5" thickTop="1" x14ac:dyDescent="0.3">
      <c r="B7" s="23" t="s">
        <v>0</v>
      </c>
      <c r="C7" s="24"/>
      <c r="D7" s="24"/>
      <c r="E7" s="25" t="s">
        <v>50</v>
      </c>
      <c r="F7" s="25" t="s">
        <v>51</v>
      </c>
      <c r="G7" s="26" t="s">
        <v>52</v>
      </c>
      <c r="H7" s="25" t="s">
        <v>64</v>
      </c>
      <c r="I7" s="25" t="s">
        <v>63</v>
      </c>
      <c r="J7" s="24"/>
      <c r="K7" s="27"/>
      <c r="M7" s="23" t="s">
        <v>0</v>
      </c>
      <c r="N7" s="24"/>
      <c r="O7" s="24"/>
      <c r="P7" s="25" t="s">
        <v>50</v>
      </c>
      <c r="Q7" s="25" t="s">
        <v>51</v>
      </c>
      <c r="R7" s="26" t="s">
        <v>52</v>
      </c>
      <c r="S7" s="25" t="s">
        <v>64</v>
      </c>
      <c r="T7" s="25" t="s">
        <v>63</v>
      </c>
      <c r="U7" s="24"/>
      <c r="V7" s="27"/>
    </row>
    <row r="8" spans="2:22" ht="15.75" x14ac:dyDescent="0.25">
      <c r="B8" s="1"/>
      <c r="E8" s="12"/>
      <c r="F8" s="12"/>
      <c r="G8" s="13"/>
      <c r="H8" s="12"/>
      <c r="I8" s="12"/>
      <c r="K8" s="20"/>
      <c r="M8" s="1"/>
      <c r="P8" s="12"/>
      <c r="Q8" s="12"/>
      <c r="R8" s="13"/>
      <c r="S8" s="12"/>
      <c r="T8" s="12"/>
      <c r="V8" s="20"/>
    </row>
    <row r="9" spans="2:22" ht="15.75" x14ac:dyDescent="0.25">
      <c r="B9" s="7" t="s">
        <v>9</v>
      </c>
      <c r="C9" s="18" t="s">
        <v>1</v>
      </c>
      <c r="D9" s="18"/>
      <c r="J9" s="6"/>
      <c r="K9" s="3"/>
      <c r="M9" s="7" t="s">
        <v>9</v>
      </c>
      <c r="N9" s="18" t="s">
        <v>1</v>
      </c>
      <c r="O9" s="18"/>
      <c r="U9" s="6"/>
      <c r="V9" s="3"/>
    </row>
    <row r="10" spans="2:22" ht="15.75" x14ac:dyDescent="0.25">
      <c r="B10" s="1"/>
      <c r="C10" s="18" t="s">
        <v>5</v>
      </c>
      <c r="D10" s="18" t="s">
        <v>2</v>
      </c>
      <c r="J10" s="16"/>
      <c r="K10" s="17"/>
      <c r="M10" s="1"/>
      <c r="N10" s="18" t="s">
        <v>5</v>
      </c>
      <c r="O10" s="18" t="s">
        <v>2</v>
      </c>
      <c r="U10" s="16"/>
      <c r="V10" s="17"/>
    </row>
    <row r="11" spans="2:22" x14ac:dyDescent="0.25">
      <c r="B11" s="5"/>
      <c r="C11" s="2"/>
      <c r="D11" t="s">
        <v>111</v>
      </c>
      <c r="E11" s="54">
        <v>1</v>
      </c>
      <c r="F11" s="8" t="s">
        <v>65</v>
      </c>
      <c r="G11" s="98">
        <f>782780*1.25</f>
        <v>978475</v>
      </c>
      <c r="H11" s="15"/>
      <c r="I11" s="15"/>
      <c r="J11" s="66"/>
      <c r="K11" s="11"/>
      <c r="M11" s="5"/>
      <c r="N11" s="2"/>
      <c r="O11" t="s">
        <v>111</v>
      </c>
      <c r="P11" s="54">
        <v>1</v>
      </c>
      <c r="Q11" s="8" t="s">
        <v>65</v>
      </c>
      <c r="R11" s="98">
        <f>782780</f>
        <v>782780</v>
      </c>
      <c r="S11" s="15"/>
      <c r="T11" s="15"/>
      <c r="U11" s="66"/>
      <c r="V11" s="11"/>
    </row>
    <row r="12" spans="2:22" x14ac:dyDescent="0.25">
      <c r="B12" s="5"/>
      <c r="C12" s="2"/>
      <c r="D12" t="s">
        <v>112</v>
      </c>
      <c r="E12" s="54">
        <v>1</v>
      </c>
      <c r="F12" s="8" t="s">
        <v>65</v>
      </c>
      <c r="G12" s="98">
        <f>(425808+142071)*(950/1250)</f>
        <v>431588.04</v>
      </c>
      <c r="H12" s="15"/>
      <c r="I12" s="15"/>
      <c r="J12" s="67"/>
      <c r="K12" s="17"/>
      <c r="M12" s="5"/>
      <c r="N12" s="2"/>
      <c r="O12" t="s">
        <v>112</v>
      </c>
      <c r="P12" s="54">
        <v>1</v>
      </c>
      <c r="Q12" s="8" t="s">
        <v>65</v>
      </c>
      <c r="R12" s="98">
        <f>(425808+142071)*(950/1250)</f>
        <v>431588.04</v>
      </c>
      <c r="S12" s="15"/>
      <c r="T12" s="15"/>
      <c r="U12" s="67"/>
      <c r="V12" s="17"/>
    </row>
    <row r="13" spans="2:22" x14ac:dyDescent="0.25">
      <c r="B13" s="5"/>
      <c r="C13" s="2"/>
      <c r="D13" t="s">
        <v>96</v>
      </c>
      <c r="H13" s="15"/>
      <c r="I13" s="15"/>
      <c r="J13" s="67" t="s">
        <v>66</v>
      </c>
      <c r="K13" s="17">
        <f>E11*G11+E12*G12</f>
        <v>1410063.04</v>
      </c>
      <c r="M13" s="5"/>
      <c r="N13" s="2"/>
      <c r="O13" t="s">
        <v>96</v>
      </c>
      <c r="S13" s="15"/>
      <c r="T13" s="15"/>
      <c r="U13" s="67" t="s">
        <v>66</v>
      </c>
      <c r="V13" s="17">
        <f>P11*R11+P12*R12</f>
        <v>1214368.04</v>
      </c>
    </row>
    <row r="14" spans="2:22" ht="15.75" x14ac:dyDescent="0.25">
      <c r="B14" s="5"/>
      <c r="C14" s="18" t="s">
        <v>6</v>
      </c>
      <c r="D14" s="18" t="s">
        <v>42</v>
      </c>
      <c r="E14" s="8"/>
      <c r="F14" s="8"/>
      <c r="G14" s="14"/>
      <c r="H14" s="15"/>
      <c r="I14" s="15"/>
      <c r="J14" s="67"/>
      <c r="K14" s="10"/>
      <c r="M14" s="5"/>
      <c r="N14" s="18" t="s">
        <v>6</v>
      </c>
      <c r="O14" s="18" t="s">
        <v>42</v>
      </c>
      <c r="P14" s="8"/>
      <c r="Q14" s="8"/>
      <c r="R14" s="14"/>
      <c r="S14" s="15"/>
      <c r="T14" s="15"/>
      <c r="U14" s="67"/>
      <c r="V14" s="10"/>
    </row>
    <row r="15" spans="2:22" x14ac:dyDescent="0.25">
      <c r="B15" s="5"/>
      <c r="C15" s="2"/>
      <c r="D15" t="s">
        <v>67</v>
      </c>
      <c r="E15" s="54">
        <v>1</v>
      </c>
      <c r="F15" s="8" t="s">
        <v>65</v>
      </c>
      <c r="G15" s="99">
        <v>142000</v>
      </c>
      <c r="H15" s="15"/>
      <c r="I15" s="15"/>
      <c r="J15" s="66"/>
      <c r="K15" s="10"/>
      <c r="M15" s="5"/>
      <c r="N15" s="2"/>
      <c r="O15" t="s">
        <v>67</v>
      </c>
      <c r="P15" s="54">
        <v>1</v>
      </c>
      <c r="Q15" s="8" t="s">
        <v>65</v>
      </c>
      <c r="R15" s="82">
        <v>0.1</v>
      </c>
      <c r="S15" s="15" t="s">
        <v>171</v>
      </c>
      <c r="T15" s="15"/>
      <c r="U15" s="66"/>
      <c r="V15" s="10"/>
    </row>
    <row r="16" spans="2:22" x14ac:dyDescent="0.25">
      <c r="B16" s="31"/>
      <c r="C16" s="32"/>
      <c r="D16" s="33"/>
      <c r="E16" s="34"/>
      <c r="F16" s="34"/>
      <c r="G16" s="34"/>
      <c r="H16" s="75"/>
      <c r="I16" s="75"/>
      <c r="J16" s="67" t="s">
        <v>66</v>
      </c>
      <c r="K16" s="17">
        <f>E15*G15</f>
        <v>142000</v>
      </c>
      <c r="M16" s="31"/>
      <c r="N16" s="32"/>
      <c r="O16" s="33"/>
      <c r="P16" s="34"/>
      <c r="Q16" s="34"/>
      <c r="R16" s="34"/>
      <c r="S16" s="75"/>
      <c r="T16" s="75"/>
      <c r="U16" s="67" t="s">
        <v>66</v>
      </c>
      <c r="V16" s="144">
        <f>V13*R15</f>
        <v>121436.804</v>
      </c>
    </row>
    <row r="17" spans="2:22" ht="15.75" x14ac:dyDescent="0.25">
      <c r="B17" s="5"/>
      <c r="C17" s="18" t="s">
        <v>7</v>
      </c>
      <c r="D17" s="18" t="s">
        <v>3</v>
      </c>
      <c r="E17" s="8"/>
      <c r="F17" s="8"/>
      <c r="H17" s="15"/>
      <c r="I17" s="15"/>
      <c r="J17" s="66"/>
      <c r="K17" s="10"/>
      <c r="M17" s="5"/>
      <c r="N17" s="18" t="s">
        <v>7</v>
      </c>
      <c r="O17" s="18" t="s">
        <v>3</v>
      </c>
      <c r="P17" s="8"/>
      <c r="Q17" s="8"/>
      <c r="S17" s="15"/>
      <c r="T17" s="15"/>
      <c r="U17" s="66"/>
      <c r="V17" s="10"/>
    </row>
    <row r="18" spans="2:22" x14ac:dyDescent="0.25">
      <c r="B18" s="5"/>
      <c r="C18" s="2"/>
      <c r="D18" t="s">
        <v>113</v>
      </c>
      <c r="E18" s="54">
        <v>1</v>
      </c>
      <c r="F18" s="8" t="s">
        <v>65</v>
      </c>
      <c r="G18" s="101">
        <f>112000*(950/1250)</f>
        <v>85120</v>
      </c>
      <c r="H18" s="15"/>
      <c r="I18" s="15"/>
      <c r="J18" s="66"/>
      <c r="K18" s="10"/>
      <c r="M18" s="5"/>
      <c r="N18" s="2"/>
      <c r="O18" t="s">
        <v>113</v>
      </c>
      <c r="P18" s="54">
        <v>1</v>
      </c>
      <c r="Q18" s="8" t="s">
        <v>65</v>
      </c>
      <c r="R18" s="82">
        <v>0.05</v>
      </c>
      <c r="S18" s="15" t="s">
        <v>171</v>
      </c>
      <c r="T18" s="15"/>
      <c r="U18" s="66"/>
      <c r="V18" s="10"/>
    </row>
    <row r="19" spans="2:22" x14ac:dyDescent="0.25">
      <c r="B19" s="4"/>
      <c r="E19" s="8"/>
      <c r="F19" s="8"/>
      <c r="H19" s="15"/>
      <c r="I19" s="15"/>
      <c r="J19" s="67" t="s">
        <v>66</v>
      </c>
      <c r="K19" s="17">
        <f>E18*G18</f>
        <v>85120</v>
      </c>
      <c r="M19" s="4"/>
      <c r="P19" s="8"/>
      <c r="Q19" s="8"/>
      <c r="S19" s="15"/>
      <c r="T19" s="15"/>
      <c r="U19" s="67" t="s">
        <v>66</v>
      </c>
      <c r="V19" s="144">
        <f>V13*R18</f>
        <v>60718.402000000002</v>
      </c>
    </row>
    <row r="20" spans="2:22" ht="15.75" x14ac:dyDescent="0.25">
      <c r="B20" s="5"/>
      <c r="C20" s="18" t="s">
        <v>8</v>
      </c>
      <c r="D20" s="18" t="s">
        <v>143</v>
      </c>
      <c r="E20" s="8"/>
      <c r="F20" s="8"/>
      <c r="H20" s="15"/>
      <c r="I20" s="15"/>
      <c r="J20" s="66"/>
      <c r="K20" s="10"/>
      <c r="M20" s="5"/>
      <c r="N20" s="18" t="s">
        <v>8</v>
      </c>
      <c r="O20" s="18" t="s">
        <v>143</v>
      </c>
      <c r="P20" s="8"/>
      <c r="Q20" s="8"/>
      <c r="S20" s="15"/>
      <c r="T20" s="15"/>
      <c r="U20" s="66"/>
      <c r="V20" s="10"/>
    </row>
    <row r="21" spans="2:22" x14ac:dyDescent="0.25">
      <c r="B21" s="4"/>
      <c r="D21" t="s">
        <v>166</v>
      </c>
      <c r="E21" s="54">
        <f>(8-3)*7</f>
        <v>35</v>
      </c>
      <c r="F21" s="8" t="s">
        <v>71</v>
      </c>
      <c r="G21" s="78">
        <v>48028</v>
      </c>
      <c r="H21" s="15"/>
      <c r="I21" s="15"/>
      <c r="J21" s="66"/>
      <c r="K21" s="10"/>
      <c r="M21" s="4"/>
      <c r="O21" t="s">
        <v>166</v>
      </c>
      <c r="P21" s="54"/>
      <c r="Q21" s="8" t="s">
        <v>71</v>
      </c>
      <c r="R21" s="78"/>
      <c r="S21" s="15"/>
      <c r="T21" s="15"/>
      <c r="U21" s="66"/>
      <c r="V21" s="10"/>
    </row>
    <row r="22" spans="2:22" x14ac:dyDescent="0.25">
      <c r="B22" s="4"/>
      <c r="E22" s="8"/>
      <c r="F22" s="8"/>
      <c r="H22" s="15"/>
      <c r="I22" s="15"/>
      <c r="J22" s="67" t="s">
        <v>66</v>
      </c>
      <c r="K22" s="17">
        <f>E21*G21</f>
        <v>1680980</v>
      </c>
      <c r="M22" s="4"/>
      <c r="P22" s="8"/>
      <c r="Q22" s="8"/>
      <c r="S22" s="15"/>
      <c r="T22" s="15"/>
      <c r="U22" s="67" t="s">
        <v>66</v>
      </c>
      <c r="V22" s="17">
        <f>P21*R21</f>
        <v>0</v>
      </c>
    </row>
    <row r="23" spans="2:22" ht="15.75" x14ac:dyDescent="0.25">
      <c r="B23" s="5"/>
      <c r="C23" s="18" t="s">
        <v>84</v>
      </c>
      <c r="D23" s="18" t="s">
        <v>4</v>
      </c>
      <c r="E23" s="8"/>
      <c r="F23" s="8"/>
      <c r="H23" s="15"/>
      <c r="I23" s="15"/>
      <c r="J23" s="66"/>
      <c r="K23" s="10"/>
      <c r="M23" s="5"/>
      <c r="N23" s="18" t="s">
        <v>84</v>
      </c>
      <c r="O23" s="18" t="s">
        <v>4</v>
      </c>
      <c r="P23" s="8"/>
      <c r="Q23" s="8"/>
      <c r="S23" s="15"/>
      <c r="T23" s="15"/>
      <c r="U23" s="66"/>
      <c r="V23" s="10"/>
    </row>
    <row r="24" spans="2:22" x14ac:dyDescent="0.25">
      <c r="B24" s="5"/>
      <c r="C24" s="2"/>
      <c r="D24" t="s">
        <v>80</v>
      </c>
      <c r="E24" s="54">
        <v>5</v>
      </c>
      <c r="F24" s="8" t="s">
        <v>68</v>
      </c>
      <c r="G24" s="54">
        <v>2000</v>
      </c>
      <c r="H24" s="15"/>
      <c r="I24" s="15">
        <f>G24*E24</f>
        <v>10000</v>
      </c>
      <c r="J24" s="66"/>
      <c r="K24" s="10"/>
      <c r="M24" s="5"/>
      <c r="N24" s="2"/>
      <c r="O24" t="s">
        <v>80</v>
      </c>
      <c r="P24" s="54"/>
      <c r="Q24" s="8" t="s">
        <v>68</v>
      </c>
      <c r="R24" s="54"/>
      <c r="S24" s="15"/>
      <c r="T24" s="15">
        <f>R24*P24</f>
        <v>0</v>
      </c>
      <c r="U24" s="66"/>
      <c r="V24" s="10"/>
    </row>
    <row r="25" spans="2:22" x14ac:dyDescent="0.25">
      <c r="B25" s="5"/>
      <c r="C25" s="2"/>
      <c r="D25" s="2"/>
      <c r="E25" s="8"/>
      <c r="F25" s="8"/>
      <c r="H25" s="15"/>
      <c r="I25" s="15"/>
      <c r="J25" s="67" t="s">
        <v>66</v>
      </c>
      <c r="K25" s="17">
        <f>SUM(I24:I24)</f>
        <v>10000</v>
      </c>
      <c r="M25" s="5"/>
      <c r="N25" s="2"/>
      <c r="O25" s="2"/>
      <c r="P25" s="8"/>
      <c r="Q25" s="8"/>
      <c r="S25" s="15"/>
      <c r="T25" s="15"/>
      <c r="U25" s="67" t="s">
        <v>66</v>
      </c>
      <c r="V25" s="17">
        <f>SUM(T24:T24)</f>
        <v>0</v>
      </c>
    </row>
    <row r="26" spans="2:22" ht="15.75" x14ac:dyDescent="0.25">
      <c r="B26" s="35" t="s">
        <v>43</v>
      </c>
      <c r="C26" s="36"/>
      <c r="D26" s="36"/>
      <c r="E26" s="21" t="s">
        <v>85</v>
      </c>
      <c r="F26" s="37"/>
      <c r="G26" s="21"/>
      <c r="H26" s="76"/>
      <c r="I26" s="76"/>
      <c r="J26" s="68" t="s">
        <v>59</v>
      </c>
      <c r="K26" s="38">
        <f>K13+K16+K19+K22+K25</f>
        <v>3328163.04</v>
      </c>
      <c r="M26" s="35" t="s">
        <v>43</v>
      </c>
      <c r="N26" s="36"/>
      <c r="O26" s="36"/>
      <c r="P26" s="21" t="s">
        <v>85</v>
      </c>
      <c r="Q26" s="37"/>
      <c r="R26" s="21"/>
      <c r="S26" s="76"/>
      <c r="T26" s="76"/>
      <c r="U26" s="68" t="s">
        <v>59</v>
      </c>
      <c r="V26" s="38">
        <f>V13+V16+V19+V22+V25</f>
        <v>1396523.246</v>
      </c>
    </row>
    <row r="27" spans="2:22" ht="15.75" x14ac:dyDescent="0.25">
      <c r="B27" s="29"/>
      <c r="C27" s="28"/>
      <c r="D27" s="28"/>
      <c r="E27" s="8"/>
      <c r="F27" s="8"/>
      <c r="H27" s="15"/>
      <c r="I27" s="15"/>
      <c r="J27" s="14"/>
      <c r="K27" s="10"/>
      <c r="M27" s="29"/>
      <c r="N27" s="28"/>
      <c r="O27" s="28"/>
      <c r="P27" s="8"/>
      <c r="Q27" s="8"/>
      <c r="S27" s="15"/>
      <c r="T27" s="15"/>
      <c r="U27" s="14"/>
      <c r="V27" s="10"/>
    </row>
    <row r="28" spans="2:22" ht="15.75" x14ac:dyDescent="0.25">
      <c r="B28" s="7" t="s">
        <v>10</v>
      </c>
      <c r="C28" s="18" t="s">
        <v>11</v>
      </c>
      <c r="D28" s="18"/>
      <c r="E28" s="8"/>
      <c r="F28" s="8"/>
      <c r="H28" s="15"/>
      <c r="I28" s="15"/>
      <c r="J28" s="14"/>
      <c r="K28" s="10"/>
      <c r="M28" s="7" t="s">
        <v>10</v>
      </c>
      <c r="N28" s="18" t="s">
        <v>11</v>
      </c>
      <c r="O28" s="18"/>
      <c r="P28" s="8"/>
      <c r="Q28" s="8"/>
      <c r="S28" s="15"/>
      <c r="T28" s="15"/>
      <c r="U28" s="14"/>
      <c r="V28" s="10"/>
    </row>
    <row r="29" spans="2:22" ht="15.75" x14ac:dyDescent="0.25">
      <c r="B29" s="1"/>
      <c r="C29" s="18" t="s">
        <v>5</v>
      </c>
      <c r="D29" s="18" t="s">
        <v>12</v>
      </c>
      <c r="E29" s="54">
        <v>1</v>
      </c>
      <c r="F29" s="8" t="s">
        <v>70</v>
      </c>
      <c r="G29" s="101">
        <f>2*98000</f>
        <v>196000</v>
      </c>
      <c r="H29" s="15">
        <f>E29*G29</f>
        <v>196000</v>
      </c>
      <c r="I29" s="15"/>
      <c r="J29" s="66"/>
      <c r="K29" s="10">
        <f>H29+I29</f>
        <v>196000</v>
      </c>
      <c r="M29" s="1"/>
      <c r="N29" s="18" t="s">
        <v>5</v>
      </c>
      <c r="O29" s="18" t="s">
        <v>172</v>
      </c>
      <c r="P29" s="54">
        <v>1</v>
      </c>
      <c r="Q29" s="8" t="s">
        <v>70</v>
      </c>
      <c r="R29" s="82">
        <v>0.12</v>
      </c>
      <c r="S29" s="15" t="s">
        <v>171</v>
      </c>
      <c r="T29" s="15"/>
      <c r="U29" s="66"/>
      <c r="V29" s="121">
        <f>$V$26*R29</f>
        <v>167582.78951999999</v>
      </c>
    </row>
    <row r="30" spans="2:22" ht="15.75" x14ac:dyDescent="0.25">
      <c r="B30" s="1"/>
      <c r="C30" s="18" t="s">
        <v>6</v>
      </c>
      <c r="D30" s="18" t="s">
        <v>114</v>
      </c>
      <c r="E30" s="54">
        <v>1</v>
      </c>
      <c r="F30" s="8" t="s">
        <v>70</v>
      </c>
      <c r="G30" s="101">
        <f>2*31000</f>
        <v>62000</v>
      </c>
      <c r="H30" s="15">
        <f>E30*G30</f>
        <v>62000</v>
      </c>
      <c r="I30" s="15"/>
      <c r="J30" s="66"/>
      <c r="K30" s="10">
        <f t="shared" ref="K30:K32" si="0">H30+I30</f>
        <v>62000</v>
      </c>
      <c r="M30" s="1"/>
      <c r="N30" s="18" t="s">
        <v>6</v>
      </c>
      <c r="O30" s="18" t="s">
        <v>173</v>
      </c>
      <c r="P30" s="54">
        <v>1</v>
      </c>
      <c r="Q30" s="8" t="s">
        <v>70</v>
      </c>
      <c r="R30" s="82">
        <v>0.4</v>
      </c>
      <c r="S30" s="15" t="s">
        <v>171</v>
      </c>
      <c r="T30" s="15"/>
      <c r="U30" s="66"/>
      <c r="V30" s="121">
        <f t="shared" ref="V30:V34" si="1">$V$26*R30</f>
        <v>558609.29840000009</v>
      </c>
    </row>
    <row r="31" spans="2:22" ht="15.75" x14ac:dyDescent="0.25">
      <c r="B31" s="1"/>
      <c r="C31" s="18" t="s">
        <v>7</v>
      </c>
      <c r="D31" s="18" t="s">
        <v>13</v>
      </c>
      <c r="E31" s="54">
        <v>1</v>
      </c>
      <c r="F31" s="8" t="s">
        <v>70</v>
      </c>
      <c r="G31" s="101">
        <f>84000*0.5</f>
        <v>42000</v>
      </c>
      <c r="H31" s="15">
        <f>E31*G31</f>
        <v>42000</v>
      </c>
      <c r="I31" s="15"/>
      <c r="J31" s="66"/>
      <c r="K31" s="10">
        <f t="shared" si="0"/>
        <v>42000</v>
      </c>
      <c r="M31" s="1"/>
      <c r="N31" s="18" t="s">
        <v>7</v>
      </c>
      <c r="O31" s="18" t="s">
        <v>14</v>
      </c>
      <c r="P31" s="54">
        <v>1</v>
      </c>
      <c r="Q31" s="8" t="s">
        <v>70</v>
      </c>
      <c r="R31" s="82">
        <v>0.01</v>
      </c>
      <c r="S31" s="15" t="s">
        <v>171</v>
      </c>
      <c r="T31" s="15"/>
      <c r="U31" s="66"/>
      <c r="V31" s="121">
        <f t="shared" si="1"/>
        <v>13965.232460000001</v>
      </c>
    </row>
    <row r="32" spans="2:22" ht="15.75" x14ac:dyDescent="0.25">
      <c r="B32" s="1"/>
      <c r="C32" s="18" t="s">
        <v>8</v>
      </c>
      <c r="D32" s="18" t="s">
        <v>14</v>
      </c>
      <c r="E32" s="54">
        <v>1</v>
      </c>
      <c r="F32" s="8" t="s">
        <v>70</v>
      </c>
      <c r="G32" s="101">
        <f>241000+530000</f>
        <v>771000</v>
      </c>
      <c r="H32" s="15">
        <f>E32*G32</f>
        <v>771000</v>
      </c>
      <c r="I32" s="15"/>
      <c r="J32" s="66"/>
      <c r="K32" s="10">
        <f t="shared" si="0"/>
        <v>771000</v>
      </c>
      <c r="M32" s="1"/>
      <c r="N32" s="18" t="s">
        <v>8</v>
      </c>
      <c r="O32" s="18" t="s">
        <v>174</v>
      </c>
      <c r="P32" s="54">
        <v>1</v>
      </c>
      <c r="Q32" s="8" t="s">
        <v>70</v>
      </c>
      <c r="R32" s="82">
        <v>0.3</v>
      </c>
      <c r="S32" s="15" t="s">
        <v>171</v>
      </c>
      <c r="T32" s="15"/>
      <c r="U32" s="66"/>
      <c r="V32" s="121">
        <f t="shared" si="1"/>
        <v>418956.97379999998</v>
      </c>
    </row>
    <row r="33" spans="2:22" ht="15.75" x14ac:dyDescent="0.25">
      <c r="B33" s="1"/>
      <c r="C33" s="18" t="s">
        <v>84</v>
      </c>
      <c r="D33" s="18" t="s">
        <v>15</v>
      </c>
      <c r="E33" s="54">
        <v>1</v>
      </c>
      <c r="F33" s="8" t="s">
        <v>70</v>
      </c>
      <c r="G33" s="101">
        <v>367000</v>
      </c>
      <c r="H33" s="15">
        <f>E33*G33</f>
        <v>367000</v>
      </c>
      <c r="I33" s="15"/>
      <c r="J33" s="66"/>
      <c r="K33" s="10">
        <f t="shared" ref="K33" si="2">H33+I33</f>
        <v>367000</v>
      </c>
      <c r="M33" s="1"/>
      <c r="N33" s="18" t="s">
        <v>84</v>
      </c>
      <c r="O33" s="18" t="s">
        <v>175</v>
      </c>
      <c r="P33" s="54">
        <v>1</v>
      </c>
      <c r="Q33" s="8"/>
      <c r="R33" s="82">
        <v>0.01</v>
      </c>
      <c r="S33" s="15" t="s">
        <v>171</v>
      </c>
      <c r="T33" s="15"/>
      <c r="U33" s="66"/>
      <c r="V33" s="121">
        <f t="shared" si="1"/>
        <v>13965.232460000001</v>
      </c>
    </row>
    <row r="34" spans="2:22" ht="15.75" x14ac:dyDescent="0.25">
      <c r="B34" s="35" t="s">
        <v>92</v>
      </c>
      <c r="C34" s="39"/>
      <c r="D34" s="39"/>
      <c r="E34" s="40"/>
      <c r="F34" s="40"/>
      <c r="G34" s="41"/>
      <c r="H34" s="77"/>
      <c r="I34" s="77"/>
      <c r="J34" s="68" t="s">
        <v>60</v>
      </c>
      <c r="K34" s="38">
        <f>K29+K30+K31+K32+K33</f>
        <v>1438000</v>
      </c>
      <c r="M34" s="1"/>
      <c r="N34" s="18" t="s">
        <v>176</v>
      </c>
      <c r="O34" s="18" t="s">
        <v>177</v>
      </c>
      <c r="P34" s="54">
        <v>1</v>
      </c>
      <c r="Q34" s="8" t="s">
        <v>70</v>
      </c>
      <c r="R34" s="82">
        <v>0.01</v>
      </c>
      <c r="S34" s="15" t="s">
        <v>171</v>
      </c>
      <c r="T34" s="15"/>
      <c r="U34" s="66"/>
      <c r="V34" s="121">
        <f t="shared" si="1"/>
        <v>13965.232460000001</v>
      </c>
    </row>
    <row r="35" spans="2:22" ht="15.75" x14ac:dyDescent="0.25">
      <c r="B35" s="29"/>
      <c r="C35" s="28"/>
      <c r="D35" s="28"/>
      <c r="H35" s="14"/>
      <c r="I35" s="14"/>
      <c r="J35" s="14"/>
      <c r="K35" s="10"/>
      <c r="M35" s="35" t="s">
        <v>92</v>
      </c>
      <c r="N35" s="39"/>
      <c r="O35" s="39"/>
      <c r="P35" s="40"/>
      <c r="Q35" s="40"/>
      <c r="R35" s="145">
        <f>SUM(R29:R34)</f>
        <v>0.85000000000000009</v>
      </c>
      <c r="S35" s="77"/>
      <c r="T35" s="77"/>
      <c r="U35" s="68" t="s">
        <v>60</v>
      </c>
      <c r="V35" s="38">
        <f>V29+V30+V31+V32+V33+V34</f>
        <v>1187044.7591000001</v>
      </c>
    </row>
    <row r="36" spans="2:22" ht="15.75" x14ac:dyDescent="0.25">
      <c r="B36" s="29"/>
      <c r="C36" s="28"/>
      <c r="D36" s="28"/>
      <c r="H36" s="14"/>
      <c r="I36" s="14"/>
      <c r="J36" s="14"/>
      <c r="K36" s="10"/>
      <c r="M36" s="29"/>
      <c r="N36" s="28"/>
      <c r="O36" s="28"/>
      <c r="S36" s="14"/>
      <c r="T36" s="14"/>
      <c r="U36" s="14"/>
      <c r="V36" s="10"/>
    </row>
    <row r="37" spans="2:22" ht="15.75" x14ac:dyDescent="0.25">
      <c r="B37" s="35" t="s">
        <v>16</v>
      </c>
      <c r="C37" s="43"/>
      <c r="D37" s="43"/>
      <c r="E37" s="41"/>
      <c r="F37" s="41"/>
      <c r="G37" s="41"/>
      <c r="H37" s="69"/>
      <c r="I37" s="69"/>
      <c r="J37" s="68" t="s">
        <v>61</v>
      </c>
      <c r="K37" s="38">
        <f>+K26+K34</f>
        <v>4766163.04</v>
      </c>
      <c r="M37" s="29"/>
      <c r="N37" s="28"/>
      <c r="O37" s="28"/>
      <c r="S37" s="14"/>
      <c r="T37" s="14"/>
      <c r="U37" s="14"/>
      <c r="V37" s="10"/>
    </row>
    <row r="38" spans="2:22" ht="15.75" x14ac:dyDescent="0.25">
      <c r="B38" s="1"/>
      <c r="C38" s="28"/>
      <c r="D38" s="28"/>
      <c r="G38" s="2"/>
      <c r="H38" s="14"/>
      <c r="I38" s="14"/>
      <c r="J38" s="14"/>
      <c r="K38" s="11"/>
      <c r="M38" s="35" t="s">
        <v>16</v>
      </c>
      <c r="N38" s="43"/>
      <c r="O38" s="43"/>
      <c r="P38" s="41"/>
      <c r="Q38" s="41"/>
      <c r="R38" s="41"/>
      <c r="S38" s="69"/>
      <c r="T38" s="69"/>
      <c r="U38" s="68" t="s">
        <v>61</v>
      </c>
      <c r="V38" s="38">
        <f>+V26+V35</f>
        <v>2583568.0051000002</v>
      </c>
    </row>
    <row r="39" spans="2:22" ht="15.75" x14ac:dyDescent="0.25">
      <c r="B39" s="29"/>
      <c r="C39" s="28"/>
      <c r="D39" s="28"/>
      <c r="H39" s="14"/>
      <c r="I39" s="14"/>
      <c r="J39" s="14"/>
      <c r="K39" s="11"/>
      <c r="M39" s="1"/>
      <c r="N39" s="28"/>
      <c r="O39" s="28"/>
      <c r="R39" s="2"/>
      <c r="S39" s="14"/>
      <c r="T39" s="14"/>
      <c r="U39" s="14"/>
      <c r="V39" s="11"/>
    </row>
    <row r="40" spans="2:22" ht="15.75" x14ac:dyDescent="0.25">
      <c r="B40" s="1" t="s">
        <v>17</v>
      </c>
      <c r="C40" s="28"/>
      <c r="D40" s="28"/>
      <c r="H40" s="14"/>
      <c r="I40" s="14"/>
      <c r="J40" s="14"/>
      <c r="K40" s="11"/>
      <c r="M40" s="29"/>
      <c r="N40" s="28"/>
      <c r="O40" s="28"/>
      <c r="S40" s="14"/>
      <c r="T40" s="14"/>
      <c r="U40" s="14"/>
      <c r="V40" s="11"/>
    </row>
    <row r="41" spans="2:22" ht="15.75" x14ac:dyDescent="0.25">
      <c r="B41" s="30" t="s">
        <v>18</v>
      </c>
      <c r="C41" s="28" t="s">
        <v>19</v>
      </c>
      <c r="D41" s="28"/>
      <c r="E41" s="82">
        <v>0.1</v>
      </c>
      <c r="F41" s="8" t="s">
        <v>72</v>
      </c>
      <c r="G41" s="19"/>
      <c r="H41" s="14"/>
      <c r="I41" s="15">
        <f>E41*K37</f>
        <v>476616.304</v>
      </c>
      <c r="J41" s="66"/>
      <c r="K41" s="11"/>
      <c r="M41" s="1" t="s">
        <v>17</v>
      </c>
      <c r="N41" s="28"/>
      <c r="O41" s="28"/>
      <c r="S41" s="14"/>
      <c r="T41" s="14"/>
      <c r="U41" s="14"/>
      <c r="V41" s="11"/>
    </row>
    <row r="42" spans="2:22" ht="15.75" x14ac:dyDescent="0.25">
      <c r="B42" s="30" t="s">
        <v>20</v>
      </c>
      <c r="C42" s="28" t="s">
        <v>21</v>
      </c>
      <c r="D42" s="28"/>
      <c r="E42" s="54">
        <v>1</v>
      </c>
      <c r="F42" s="8" t="s">
        <v>65</v>
      </c>
      <c r="G42" s="101">
        <v>75000</v>
      </c>
      <c r="H42" s="14"/>
      <c r="I42" s="15">
        <f>G42*E42</f>
        <v>75000</v>
      </c>
      <c r="J42" s="66"/>
      <c r="K42" s="79"/>
      <c r="M42" s="146" t="s">
        <v>18</v>
      </c>
      <c r="N42" s="28" t="s">
        <v>178</v>
      </c>
      <c r="O42" s="28"/>
      <c r="P42" s="82">
        <v>0.1</v>
      </c>
      <c r="Q42" s="15" t="s">
        <v>171</v>
      </c>
      <c r="R42" s="19"/>
      <c r="S42" s="14"/>
      <c r="T42" s="15"/>
      <c r="U42" s="66"/>
      <c r="V42" s="121">
        <f>$V$38*P42</f>
        <v>258356.80051000003</v>
      </c>
    </row>
    <row r="43" spans="2:22" ht="15.75" x14ac:dyDescent="0.25">
      <c r="B43" s="35" t="s">
        <v>22</v>
      </c>
      <c r="C43" s="43"/>
      <c r="D43" s="43"/>
      <c r="E43" s="41"/>
      <c r="F43" s="40"/>
      <c r="G43" s="41"/>
      <c r="H43" s="69"/>
      <c r="I43" s="77"/>
      <c r="J43" s="68" t="s">
        <v>62</v>
      </c>
      <c r="K43" s="38">
        <f>SUM(I41:I42)</f>
        <v>551616.304</v>
      </c>
      <c r="M43" s="146"/>
      <c r="N43" s="28" t="s">
        <v>179</v>
      </c>
      <c r="O43" s="28"/>
      <c r="P43" s="82">
        <v>0.1</v>
      </c>
      <c r="Q43" s="15" t="s">
        <v>171</v>
      </c>
      <c r="R43" s="19"/>
      <c r="S43" s="14"/>
      <c r="T43" s="15"/>
      <c r="U43" s="66"/>
      <c r="V43" s="121">
        <f t="shared" ref="V43:V46" si="3">$V$38*P43</f>
        <v>258356.80051000003</v>
      </c>
    </row>
    <row r="44" spans="2:22" ht="15.75" x14ac:dyDescent="0.25">
      <c r="B44" s="1"/>
      <c r="C44" s="28"/>
      <c r="D44" s="28"/>
      <c r="F44" s="8"/>
      <c r="H44" s="14"/>
      <c r="I44" s="15"/>
      <c r="J44" s="70"/>
      <c r="K44" s="11"/>
      <c r="M44" s="146"/>
      <c r="N44" s="28" t="s">
        <v>180</v>
      </c>
      <c r="O44" s="28"/>
      <c r="P44" s="82">
        <v>0.1</v>
      </c>
      <c r="Q44" s="15" t="s">
        <v>171</v>
      </c>
      <c r="R44" s="19"/>
      <c r="S44" s="14"/>
      <c r="T44" s="15"/>
      <c r="U44" s="66"/>
      <c r="V44" s="121">
        <f t="shared" si="3"/>
        <v>258356.80051000003</v>
      </c>
    </row>
    <row r="45" spans="2:22" ht="15.75" x14ac:dyDescent="0.25">
      <c r="B45" s="29"/>
      <c r="C45" s="28"/>
      <c r="D45" s="28"/>
      <c r="F45" s="8"/>
      <c r="H45" s="14"/>
      <c r="I45" s="15"/>
      <c r="J45" s="14"/>
      <c r="K45" s="11"/>
      <c r="M45" s="146"/>
      <c r="N45" s="28" t="s">
        <v>181</v>
      </c>
      <c r="O45" s="28"/>
      <c r="P45" s="82">
        <v>0.01</v>
      </c>
      <c r="Q45" s="15" t="s">
        <v>171</v>
      </c>
      <c r="R45" s="19"/>
      <c r="S45" s="14"/>
      <c r="T45" s="15"/>
      <c r="U45" s="66"/>
      <c r="V45" s="121">
        <f t="shared" si="3"/>
        <v>25835.680051000003</v>
      </c>
    </row>
    <row r="46" spans="2:22" ht="15.75" x14ac:dyDescent="0.25">
      <c r="B46" s="1" t="s">
        <v>23</v>
      </c>
      <c r="C46" s="28"/>
      <c r="D46" s="28"/>
      <c r="F46" s="8"/>
      <c r="H46" s="14"/>
      <c r="I46" s="15"/>
      <c r="J46" s="14"/>
      <c r="K46" s="11"/>
      <c r="M46" s="146" t="s">
        <v>20</v>
      </c>
      <c r="N46" s="28" t="s">
        <v>21</v>
      </c>
      <c r="O46" s="28"/>
      <c r="P46" s="82">
        <v>0.01</v>
      </c>
      <c r="Q46" s="15" t="s">
        <v>171</v>
      </c>
      <c r="R46" s="147"/>
      <c r="S46" s="14"/>
      <c r="T46" s="15"/>
      <c r="U46" s="66"/>
      <c r="V46" s="121">
        <f t="shared" si="3"/>
        <v>25835.680051000003</v>
      </c>
    </row>
    <row r="47" spans="2:22" ht="15.75" x14ac:dyDescent="0.25">
      <c r="B47" s="30" t="s">
        <v>24</v>
      </c>
      <c r="C47" s="28" t="s">
        <v>25</v>
      </c>
      <c r="D47" s="28"/>
      <c r="E47" s="92">
        <v>0.1</v>
      </c>
      <c r="F47" s="8" t="s">
        <v>72</v>
      </c>
      <c r="G47" s="19"/>
      <c r="H47" s="14"/>
      <c r="I47" s="15">
        <f>E47*K37</f>
        <v>476616.304</v>
      </c>
      <c r="J47" s="66"/>
      <c r="K47" s="11"/>
      <c r="M47" s="148" t="s">
        <v>22</v>
      </c>
      <c r="N47" s="43"/>
      <c r="O47" s="43"/>
      <c r="P47" s="145">
        <f>SUM(P42:P46)</f>
        <v>0.32000000000000006</v>
      </c>
      <c r="Q47" s="40"/>
      <c r="R47" s="41"/>
      <c r="S47" s="69"/>
      <c r="T47" s="77"/>
      <c r="U47" s="68" t="s">
        <v>62</v>
      </c>
      <c r="V47" s="149">
        <f>SUM(V42:V46)</f>
        <v>826741.7616320001</v>
      </c>
    </row>
    <row r="48" spans="2:22" ht="15.75" x14ac:dyDescent="0.25">
      <c r="B48" s="35" t="s">
        <v>27</v>
      </c>
      <c r="C48" s="42"/>
      <c r="D48" s="42"/>
      <c r="E48" s="44"/>
      <c r="F48" s="44"/>
      <c r="G48" s="44"/>
      <c r="H48" s="71"/>
      <c r="I48" s="71"/>
      <c r="J48" s="68" t="s">
        <v>53</v>
      </c>
      <c r="K48" s="93">
        <f>SUM(I47:I47)</f>
        <v>476616.304</v>
      </c>
      <c r="M48" s="1"/>
      <c r="N48" s="28"/>
      <c r="O48" s="28"/>
      <c r="Q48" s="8"/>
      <c r="S48" s="14"/>
      <c r="T48" s="15"/>
      <c r="U48" s="70"/>
      <c r="V48" s="11"/>
    </row>
    <row r="49" spans="2:22" ht="15.75" x14ac:dyDescent="0.25">
      <c r="B49" s="1"/>
      <c r="C49" s="28"/>
      <c r="D49" s="28"/>
      <c r="H49" s="14"/>
      <c r="I49" s="14"/>
      <c r="J49" s="70"/>
      <c r="K49" s="11"/>
      <c r="M49" s="29"/>
      <c r="N49" s="28"/>
      <c r="O49" s="28"/>
      <c r="Q49" s="8"/>
      <c r="S49" s="14"/>
      <c r="T49" s="15"/>
      <c r="U49" s="14"/>
      <c r="V49" s="11"/>
    </row>
    <row r="50" spans="2:22" ht="15.75" x14ac:dyDescent="0.25">
      <c r="B50" s="29"/>
      <c r="C50" s="28"/>
      <c r="D50" s="28"/>
      <c r="H50" s="14"/>
      <c r="I50" s="14"/>
      <c r="J50" s="14"/>
      <c r="K50" s="11"/>
      <c r="M50" s="1" t="s">
        <v>23</v>
      </c>
      <c r="N50" s="28"/>
      <c r="O50" s="28"/>
      <c r="Q50" s="8"/>
      <c r="S50" s="14"/>
      <c r="T50" s="15"/>
      <c r="U50" s="14"/>
      <c r="V50" s="11"/>
    </row>
    <row r="51" spans="2:22" ht="34.5" customHeight="1" thickBot="1" x14ac:dyDescent="0.35">
      <c r="B51" s="45" t="s">
        <v>28</v>
      </c>
      <c r="C51" s="46"/>
      <c r="D51" s="46"/>
      <c r="E51" s="46"/>
      <c r="F51" s="46"/>
      <c r="G51" s="47"/>
      <c r="H51" s="72"/>
      <c r="I51" s="73"/>
      <c r="J51" s="74" t="s">
        <v>54</v>
      </c>
      <c r="K51" s="94">
        <f>K37+K43+K48</f>
        <v>5794395.648</v>
      </c>
      <c r="M51" s="30" t="s">
        <v>24</v>
      </c>
      <c r="N51" s="28" t="s">
        <v>25</v>
      </c>
      <c r="O51" s="28"/>
      <c r="P51" s="92">
        <v>0.1</v>
      </c>
      <c r="Q51" s="8" t="s">
        <v>72</v>
      </c>
      <c r="R51" s="19"/>
      <c r="S51" s="14"/>
      <c r="T51" s="15">
        <f>P51*V38</f>
        <v>258356.80051000003</v>
      </c>
      <c r="U51" s="66"/>
      <c r="V51" s="11"/>
    </row>
    <row r="52" spans="2:22" ht="16.5" thickTop="1" x14ac:dyDescent="0.25">
      <c r="M52" s="35" t="s">
        <v>27</v>
      </c>
      <c r="N52" s="42"/>
      <c r="O52" s="42"/>
      <c r="P52" s="44"/>
      <c r="Q52" s="44"/>
      <c r="R52" s="44"/>
      <c r="S52" s="71"/>
      <c r="T52" s="71"/>
      <c r="U52" s="68" t="s">
        <v>53</v>
      </c>
      <c r="V52" s="93">
        <f>SUM(T51:T51)</f>
        <v>258356.80051000003</v>
      </c>
    </row>
    <row r="53" spans="2:22" ht="15.75" x14ac:dyDescent="0.25">
      <c r="M53" s="1"/>
      <c r="N53" s="28"/>
      <c r="O53" s="28"/>
      <c r="S53" s="14"/>
      <c r="T53" s="14"/>
      <c r="U53" s="70"/>
      <c r="V53" s="11"/>
    </row>
    <row r="54" spans="2:22" ht="15.75" x14ac:dyDescent="0.25">
      <c r="M54" s="29"/>
      <c r="N54" s="28"/>
      <c r="O54" s="28"/>
      <c r="S54" s="14"/>
      <c r="T54" s="14"/>
      <c r="U54" s="14"/>
      <c r="V54" s="11"/>
    </row>
    <row r="55" spans="2:22" ht="19.5" thickBot="1" x14ac:dyDescent="0.35">
      <c r="M55" s="45" t="s">
        <v>28</v>
      </c>
      <c r="N55" s="46"/>
      <c r="O55" s="46"/>
      <c r="P55" s="46"/>
      <c r="Q55" s="46"/>
      <c r="R55" s="47"/>
      <c r="S55" s="72"/>
      <c r="T55" s="73"/>
      <c r="U55" s="74" t="s">
        <v>54</v>
      </c>
      <c r="V55" s="94">
        <f>V38+V47+V52</f>
        <v>3668666.5672420003</v>
      </c>
    </row>
    <row r="56" spans="2:22" ht="63.75" customHeight="1" thickTop="1" x14ac:dyDescent="0.25"/>
    <row r="57" spans="2:22" ht="42" customHeight="1" x14ac:dyDescent="0.25">
      <c r="D57" s="102" t="s">
        <v>149</v>
      </c>
      <c r="E57" s="169" t="s">
        <v>129</v>
      </c>
      <c r="F57" s="170"/>
      <c r="G57" s="169" t="s">
        <v>169</v>
      </c>
      <c r="H57" s="171"/>
      <c r="I57" s="171"/>
      <c r="J57" s="170"/>
      <c r="K57" s="172" t="s">
        <v>168</v>
      </c>
      <c r="L57" s="173"/>
      <c r="M57" s="173"/>
      <c r="N57" s="173"/>
      <c r="O57" s="173"/>
    </row>
    <row r="58" spans="2:22" ht="42" customHeight="1" x14ac:dyDescent="0.25">
      <c r="D58" s="111" t="s">
        <v>130</v>
      </c>
      <c r="E58" s="164" t="s">
        <v>96</v>
      </c>
      <c r="F58" s="164"/>
      <c r="G58" s="163" t="s">
        <v>138</v>
      </c>
      <c r="H58" s="163"/>
      <c r="I58" s="163"/>
      <c r="J58" s="163"/>
      <c r="K58" s="159" t="s">
        <v>196</v>
      </c>
      <c r="L58" s="160"/>
      <c r="M58" s="160"/>
      <c r="N58" s="160"/>
      <c r="O58" s="160"/>
    </row>
    <row r="59" spans="2:22" ht="34.5" customHeight="1" x14ac:dyDescent="0.25">
      <c r="D59" s="111" t="s">
        <v>130</v>
      </c>
      <c r="E59" s="164" t="s">
        <v>112</v>
      </c>
      <c r="F59" s="164"/>
      <c r="G59" s="163" t="s">
        <v>147</v>
      </c>
      <c r="H59" s="163"/>
      <c r="I59" s="163"/>
      <c r="J59" s="163"/>
      <c r="K59" s="159" t="s">
        <v>197</v>
      </c>
      <c r="L59" s="160"/>
      <c r="M59" s="160"/>
      <c r="N59" s="160"/>
      <c r="O59" s="160"/>
      <c r="P59" s="8"/>
    </row>
    <row r="60" spans="2:22" ht="55.5" customHeight="1" x14ac:dyDescent="0.25">
      <c r="D60" s="111" t="s">
        <v>131</v>
      </c>
      <c r="E60" s="164" t="s">
        <v>67</v>
      </c>
      <c r="F60" s="164"/>
      <c r="G60" s="163" t="s">
        <v>139</v>
      </c>
      <c r="H60" s="163"/>
      <c r="I60" s="163"/>
      <c r="J60" s="163"/>
      <c r="K60" s="159" t="s">
        <v>198</v>
      </c>
      <c r="L60" s="160"/>
      <c r="M60" s="160"/>
      <c r="N60" s="160"/>
      <c r="O60" s="160"/>
      <c r="P60" s="8"/>
    </row>
    <row r="61" spans="2:22" ht="43.5" customHeight="1" x14ac:dyDescent="0.25">
      <c r="D61" s="111" t="s">
        <v>132</v>
      </c>
      <c r="E61" s="164" t="s">
        <v>133</v>
      </c>
      <c r="F61" s="164"/>
      <c r="G61" s="163" t="s">
        <v>148</v>
      </c>
      <c r="H61" s="163"/>
      <c r="I61" s="163"/>
      <c r="J61" s="163"/>
      <c r="K61" s="159" t="s">
        <v>199</v>
      </c>
      <c r="L61" s="160"/>
      <c r="M61" s="160"/>
      <c r="N61" s="160"/>
      <c r="O61" s="160"/>
    </row>
    <row r="62" spans="2:22" ht="60" customHeight="1" x14ac:dyDescent="0.25">
      <c r="D62" s="111" t="s">
        <v>150</v>
      </c>
      <c r="E62" s="164" t="s">
        <v>143</v>
      </c>
      <c r="F62" s="164"/>
      <c r="G62" s="163" t="s">
        <v>167</v>
      </c>
      <c r="H62" s="163"/>
      <c r="I62" s="163"/>
      <c r="J62" s="163"/>
      <c r="K62" s="159" t="s">
        <v>200</v>
      </c>
      <c r="L62" s="160"/>
      <c r="M62" s="160"/>
      <c r="N62" s="160"/>
      <c r="O62" s="160"/>
      <c r="P62" s="8"/>
    </row>
    <row r="63" spans="2:22" ht="57.75" customHeight="1" x14ac:dyDescent="0.25">
      <c r="D63" s="111" t="s">
        <v>151</v>
      </c>
      <c r="E63" s="164" t="s">
        <v>152</v>
      </c>
      <c r="F63" s="164"/>
      <c r="G63" s="163" t="s">
        <v>153</v>
      </c>
      <c r="H63" s="163"/>
      <c r="I63" s="163"/>
      <c r="J63" s="163"/>
      <c r="K63" s="161" t="s">
        <v>201</v>
      </c>
      <c r="L63" s="162"/>
      <c r="M63" s="162"/>
      <c r="N63" s="162"/>
      <c r="O63" s="162"/>
      <c r="P63" s="8"/>
    </row>
    <row r="64" spans="2:22" ht="33.75" customHeight="1" x14ac:dyDescent="0.25">
      <c r="D64" s="111" t="s">
        <v>154</v>
      </c>
      <c r="E64" s="164" t="s">
        <v>134</v>
      </c>
      <c r="F64" s="164"/>
      <c r="G64" s="163" t="s">
        <v>140</v>
      </c>
      <c r="H64" s="163"/>
      <c r="I64" s="163"/>
      <c r="J64" s="163"/>
      <c r="K64" s="159" t="s">
        <v>202</v>
      </c>
      <c r="L64" s="160"/>
      <c r="M64" s="160"/>
      <c r="N64" s="160"/>
      <c r="O64" s="160"/>
      <c r="P64" s="143"/>
    </row>
    <row r="65" spans="4:16" ht="90.75" customHeight="1" x14ac:dyDescent="0.25">
      <c r="D65" s="111" t="s">
        <v>98</v>
      </c>
      <c r="E65" s="164" t="s">
        <v>135</v>
      </c>
      <c r="F65" s="164"/>
      <c r="G65" s="163" t="s">
        <v>156</v>
      </c>
      <c r="H65" s="163"/>
      <c r="I65" s="163"/>
      <c r="J65" s="163"/>
      <c r="K65" s="159" t="s">
        <v>203</v>
      </c>
      <c r="L65" s="160"/>
      <c r="M65" s="160"/>
      <c r="N65" s="160"/>
      <c r="O65" s="160"/>
      <c r="P65" s="8"/>
    </row>
    <row r="66" spans="4:16" ht="33" customHeight="1" x14ac:dyDescent="0.25">
      <c r="D66" s="111" t="s">
        <v>99</v>
      </c>
      <c r="E66" s="164" t="s">
        <v>136</v>
      </c>
      <c r="F66" s="164"/>
      <c r="G66" s="163" t="s">
        <v>141</v>
      </c>
      <c r="H66" s="163"/>
      <c r="I66" s="163"/>
      <c r="J66" s="163"/>
      <c r="K66" s="159"/>
      <c r="L66" s="160"/>
      <c r="M66" s="160"/>
      <c r="N66" s="160"/>
      <c r="O66" s="160"/>
      <c r="P66" s="8"/>
    </row>
    <row r="67" spans="4:16" ht="90.75" customHeight="1" x14ac:dyDescent="0.25">
      <c r="D67" s="111" t="s">
        <v>157</v>
      </c>
      <c r="E67" s="164" t="s">
        <v>137</v>
      </c>
      <c r="F67" s="164"/>
      <c r="G67" s="163" t="s">
        <v>158</v>
      </c>
      <c r="H67" s="163"/>
      <c r="I67" s="163"/>
      <c r="J67" s="163"/>
      <c r="K67" s="159" t="s">
        <v>204</v>
      </c>
      <c r="L67" s="160"/>
      <c r="M67" s="160"/>
      <c r="N67" s="160"/>
      <c r="O67" s="160"/>
      <c r="P67" s="8"/>
    </row>
    <row r="68" spans="4:16" x14ac:dyDescent="0.25">
      <c r="D68" s="105"/>
      <c r="E68" s="106"/>
      <c r="F68" s="106"/>
      <c r="G68" s="107"/>
      <c r="H68" s="107"/>
      <c r="K68" s="154"/>
      <c r="L68" s="104"/>
      <c r="M68" s="104"/>
      <c r="N68" s="104"/>
      <c r="O68" s="104"/>
      <c r="P68" s="8"/>
    </row>
    <row r="69" spans="4:16" x14ac:dyDescent="0.25">
      <c r="M69" s="8"/>
      <c r="N69" s="8"/>
      <c r="O69" s="8"/>
      <c r="P69" s="8"/>
    </row>
    <row r="70" spans="4:16" ht="15.75" x14ac:dyDescent="0.25">
      <c r="D70" s="18"/>
    </row>
    <row r="71" spans="4:16" ht="15.75" x14ac:dyDescent="0.25">
      <c r="D71" s="18"/>
    </row>
    <row r="72" spans="4:16" ht="15.75" x14ac:dyDescent="0.25">
      <c r="D72" s="18"/>
    </row>
    <row r="73" spans="4:16" ht="15.75" x14ac:dyDescent="0.25">
      <c r="D73" s="18"/>
    </row>
    <row r="74" spans="4:16" ht="15.75" x14ac:dyDescent="0.25">
      <c r="D74" s="18"/>
    </row>
    <row r="75" spans="4:16" ht="15.75" x14ac:dyDescent="0.25">
      <c r="D75" s="18"/>
    </row>
    <row r="76" spans="4:16" ht="15.75" x14ac:dyDescent="0.25">
      <c r="D76" s="18"/>
    </row>
  </sheetData>
  <mergeCells count="35">
    <mergeCell ref="G67:J67"/>
    <mergeCell ref="G62:J62"/>
    <mergeCell ref="G63:J63"/>
    <mergeCell ref="G61:J61"/>
    <mergeCell ref="G64:J64"/>
    <mergeCell ref="E67:F67"/>
    <mergeCell ref="E65:F65"/>
    <mergeCell ref="E66:F66"/>
    <mergeCell ref="E61:F61"/>
    <mergeCell ref="E64:F64"/>
    <mergeCell ref="E62:F62"/>
    <mergeCell ref="E63:F63"/>
    <mergeCell ref="G65:J65"/>
    <mergeCell ref="E59:F59"/>
    <mergeCell ref="B6:K6"/>
    <mergeCell ref="E60:F60"/>
    <mergeCell ref="J1:K1"/>
    <mergeCell ref="E57:F57"/>
    <mergeCell ref="E58:F58"/>
    <mergeCell ref="G57:J57"/>
    <mergeCell ref="G58:J58"/>
    <mergeCell ref="G59:J59"/>
    <mergeCell ref="G60:J60"/>
    <mergeCell ref="K65:O66"/>
    <mergeCell ref="G66:J66"/>
    <mergeCell ref="M6:V6"/>
    <mergeCell ref="K57:O57"/>
    <mergeCell ref="K58:O58"/>
    <mergeCell ref="K67:O67"/>
    <mergeCell ref="K59:O59"/>
    <mergeCell ref="K60:O60"/>
    <mergeCell ref="K61:O61"/>
    <mergeCell ref="K62:O62"/>
    <mergeCell ref="K63:O63"/>
    <mergeCell ref="K64:O64"/>
  </mergeCells>
  <printOptions horizontalCentered="1"/>
  <pageMargins left="0.38" right="0.4" top="0.48" bottom="0.75" header="0.3" footer="0.3"/>
  <pageSetup scale="28" orientation="portrait" r:id="rId1"/>
  <headerFooter>
    <oddFooter xml:space="preserve">&amp;LUniversity of Alaska Fairbanks
BACT Analysis&amp;R  
December 2022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B1:V46"/>
  <sheetViews>
    <sheetView tabSelected="1" topLeftCell="I18" zoomScaleNormal="100" workbookViewId="0">
      <selection activeCell="S34" sqref="S34"/>
    </sheetView>
  </sheetViews>
  <sheetFormatPr defaultRowHeight="15" x14ac:dyDescent="0.25"/>
  <cols>
    <col min="1" max="1" width="3" customWidth="1"/>
    <col min="2" max="3" width="6" customWidth="1"/>
    <col min="4" max="4" width="51.42578125" customWidth="1"/>
    <col min="5" max="5" width="13.28515625" bestFit="1" customWidth="1"/>
    <col min="6" max="6" width="13.140625" customWidth="1"/>
    <col min="7" max="7" width="15.42578125" customWidth="1"/>
    <col min="8" max="8" width="24" customWidth="1"/>
    <col min="9" max="9" width="18.7109375" customWidth="1"/>
    <col min="11" max="11" width="13.28515625" customWidth="1"/>
    <col min="14" max="14" width="21.5703125" customWidth="1"/>
    <col min="15" max="15" width="42.7109375" customWidth="1"/>
    <col min="16" max="16" width="12.140625" customWidth="1"/>
    <col min="19" max="19" width="12.7109375" customWidth="1"/>
    <col min="20" max="20" width="12.85546875" customWidth="1"/>
    <col min="22" max="22" width="17.42578125" customWidth="1"/>
  </cols>
  <sheetData>
    <row r="1" spans="2:22" ht="15.75" thickBot="1" x14ac:dyDescent="0.3">
      <c r="I1" s="188" t="s">
        <v>81</v>
      </c>
      <c r="J1" s="189"/>
      <c r="K1" s="190"/>
    </row>
    <row r="2" spans="2:22" ht="18.75" x14ac:dyDescent="0.3">
      <c r="B2" s="112" t="s">
        <v>162</v>
      </c>
      <c r="C2" s="113"/>
      <c r="D2" s="56"/>
      <c r="E2" s="56"/>
      <c r="F2" s="56"/>
      <c r="G2" s="56"/>
      <c r="H2" s="56"/>
      <c r="I2" s="56"/>
      <c r="J2" s="114" t="s">
        <v>46</v>
      </c>
      <c r="K2" s="115">
        <v>44923</v>
      </c>
      <c r="M2" s="112" t="s">
        <v>162</v>
      </c>
      <c r="N2" s="113"/>
      <c r="O2" s="56"/>
      <c r="P2" s="56"/>
      <c r="Q2" s="56"/>
      <c r="R2" s="56"/>
      <c r="S2" s="56"/>
      <c r="T2" s="56"/>
      <c r="U2" s="114" t="s">
        <v>46</v>
      </c>
      <c r="V2" s="115">
        <v>44923</v>
      </c>
    </row>
    <row r="3" spans="2:22" x14ac:dyDescent="0.25">
      <c r="B3" s="58" t="s">
        <v>74</v>
      </c>
      <c r="D3" s="22" t="s">
        <v>90</v>
      </c>
      <c r="J3" s="9" t="s">
        <v>47</v>
      </c>
      <c r="K3" s="116" t="s">
        <v>91</v>
      </c>
      <c r="M3" s="58" t="s">
        <v>74</v>
      </c>
      <c r="O3" s="22" t="s">
        <v>90</v>
      </c>
      <c r="U3" s="9" t="s">
        <v>47</v>
      </c>
      <c r="V3" s="116" t="s">
        <v>91</v>
      </c>
    </row>
    <row r="4" spans="2:22" x14ac:dyDescent="0.25">
      <c r="B4" s="58" t="s">
        <v>94</v>
      </c>
      <c r="D4" t="s">
        <v>145</v>
      </c>
      <c r="J4" s="9" t="s">
        <v>48</v>
      </c>
      <c r="K4" s="116" t="s">
        <v>163</v>
      </c>
      <c r="M4" s="58" t="s">
        <v>94</v>
      </c>
      <c r="O4" t="s">
        <v>145</v>
      </c>
      <c r="U4" s="9" t="s">
        <v>48</v>
      </c>
      <c r="V4" s="116" t="s">
        <v>163</v>
      </c>
    </row>
    <row r="5" spans="2:22" ht="15.75" thickBot="1" x14ac:dyDescent="0.3">
      <c r="B5" s="60"/>
      <c r="C5" s="48"/>
      <c r="D5" s="48"/>
      <c r="E5" s="48"/>
      <c r="F5" s="48"/>
      <c r="G5" s="48"/>
      <c r="H5" s="48"/>
      <c r="I5" s="48"/>
      <c r="J5" s="49" t="s">
        <v>49</v>
      </c>
      <c r="K5" s="117" t="s">
        <v>165</v>
      </c>
      <c r="M5" s="60"/>
      <c r="N5" s="48"/>
      <c r="O5" s="48"/>
      <c r="P5" s="48"/>
      <c r="Q5" s="48"/>
      <c r="R5" s="48"/>
      <c r="S5" s="48"/>
      <c r="T5" s="48"/>
      <c r="U5" s="49" t="s">
        <v>49</v>
      </c>
      <c r="V5" s="117" t="s">
        <v>165</v>
      </c>
    </row>
    <row r="6" spans="2:22" ht="16.5" thickBot="1" x14ac:dyDescent="0.3">
      <c r="B6" s="177" t="s">
        <v>44</v>
      </c>
      <c r="C6" s="178"/>
      <c r="D6" s="178"/>
      <c r="E6" s="178"/>
      <c r="F6" s="178"/>
      <c r="G6" s="178"/>
      <c r="H6" s="178"/>
      <c r="I6" s="178"/>
      <c r="J6" s="178"/>
      <c r="K6" s="179"/>
      <c r="M6" s="177" t="s">
        <v>44</v>
      </c>
      <c r="N6" s="178"/>
      <c r="O6" s="178"/>
      <c r="P6" s="178"/>
      <c r="Q6" s="178"/>
      <c r="R6" s="178"/>
      <c r="S6" s="178"/>
      <c r="T6" s="178"/>
      <c r="U6" s="178"/>
      <c r="V6" s="179"/>
    </row>
    <row r="7" spans="2:22" ht="15.75" x14ac:dyDescent="0.25">
      <c r="B7" s="118" t="s">
        <v>29</v>
      </c>
      <c r="C7" s="62"/>
      <c r="D7" s="56"/>
      <c r="E7" s="63" t="s">
        <v>50</v>
      </c>
      <c r="F7" s="63" t="s">
        <v>51</v>
      </c>
      <c r="G7" s="64" t="s">
        <v>52</v>
      </c>
      <c r="H7" s="63" t="s">
        <v>64</v>
      </c>
      <c r="I7" s="63" t="s">
        <v>63</v>
      </c>
      <c r="J7" s="56"/>
      <c r="K7" s="57" t="s">
        <v>78</v>
      </c>
      <c r="M7" s="118" t="s">
        <v>29</v>
      </c>
      <c r="N7" s="62"/>
      <c r="O7" s="56"/>
      <c r="P7" s="63" t="s">
        <v>50</v>
      </c>
      <c r="Q7" s="63" t="s">
        <v>51</v>
      </c>
      <c r="R7" s="64" t="s">
        <v>52</v>
      </c>
      <c r="S7" s="63" t="s">
        <v>64</v>
      </c>
      <c r="T7" s="63" t="s">
        <v>63</v>
      </c>
      <c r="U7" s="56"/>
      <c r="V7" s="57" t="s">
        <v>78</v>
      </c>
    </row>
    <row r="8" spans="2:22" x14ac:dyDescent="0.25">
      <c r="B8" s="119" t="s">
        <v>9</v>
      </c>
      <c r="C8" t="s">
        <v>30</v>
      </c>
      <c r="E8" s="99">
        <f>8760+2*52</f>
        <v>8864</v>
      </c>
      <c r="F8" s="8" t="s">
        <v>71</v>
      </c>
      <c r="G8" s="110">
        <v>49.09</v>
      </c>
      <c r="H8" s="15" t="s">
        <v>86</v>
      </c>
      <c r="I8" s="15">
        <f>E8*G8</f>
        <v>435133.76</v>
      </c>
      <c r="J8" s="120"/>
      <c r="K8" s="121">
        <f>I8</f>
        <v>435133.76</v>
      </c>
      <c r="M8" s="119" t="s">
        <v>9</v>
      </c>
      <c r="N8" t="s">
        <v>30</v>
      </c>
      <c r="P8" s="99">
        <f>(0.5*3)*365</f>
        <v>547.5</v>
      </c>
      <c r="Q8" s="8" t="s">
        <v>71</v>
      </c>
      <c r="R8" s="110">
        <v>49.09</v>
      </c>
      <c r="S8" s="15"/>
      <c r="T8" s="15"/>
      <c r="U8" s="120"/>
      <c r="V8" s="121">
        <f>P8*R8</f>
        <v>26876.775000000001</v>
      </c>
    </row>
    <row r="9" spans="2:22" x14ac:dyDescent="0.25">
      <c r="B9" s="119" t="s">
        <v>10</v>
      </c>
      <c r="C9" t="s">
        <v>31</v>
      </c>
      <c r="E9" s="99"/>
      <c r="F9" s="8" t="s">
        <v>71</v>
      </c>
      <c r="G9" s="110"/>
      <c r="H9" s="15" t="s">
        <v>86</v>
      </c>
      <c r="I9" s="15" t="s">
        <v>86</v>
      </c>
      <c r="J9" s="120"/>
      <c r="K9" s="121" t="str">
        <f t="shared" ref="K9:K10" si="0">I9</f>
        <v>Excluded</v>
      </c>
      <c r="M9" s="119" t="s">
        <v>10</v>
      </c>
      <c r="N9" t="s">
        <v>31</v>
      </c>
      <c r="P9" s="82">
        <v>0.15</v>
      </c>
      <c r="Q9" s="150" t="s">
        <v>182</v>
      </c>
      <c r="R9" s="110"/>
      <c r="S9" s="15"/>
      <c r="T9" s="15"/>
      <c r="U9" s="120"/>
      <c r="V9" s="121">
        <f>P9*V8</f>
        <v>4031.5162500000001</v>
      </c>
    </row>
    <row r="10" spans="2:22" x14ac:dyDescent="0.25">
      <c r="B10" s="119" t="s">
        <v>18</v>
      </c>
      <c r="C10" t="s">
        <v>32</v>
      </c>
      <c r="E10" s="99">
        <f>10*52</f>
        <v>520</v>
      </c>
      <c r="F10" s="8" t="s">
        <v>71</v>
      </c>
      <c r="G10" s="110">
        <v>49.09</v>
      </c>
      <c r="H10" s="15" t="s">
        <v>86</v>
      </c>
      <c r="I10" s="15">
        <f>E10*G10</f>
        <v>25526.800000000003</v>
      </c>
      <c r="J10" s="120"/>
      <c r="K10" s="121">
        <f t="shared" si="0"/>
        <v>25526.800000000003</v>
      </c>
      <c r="M10" s="119" t="s">
        <v>18</v>
      </c>
      <c r="N10" t="s">
        <v>32</v>
      </c>
      <c r="P10" s="99">
        <f>(0.5*3)*365</f>
        <v>547.5</v>
      </c>
      <c r="Q10" s="8" t="s">
        <v>71</v>
      </c>
      <c r="R10" s="110">
        <v>49.09</v>
      </c>
      <c r="S10" s="15"/>
      <c r="T10" s="15"/>
      <c r="U10" s="120"/>
      <c r="V10" s="121">
        <f>P10*R10</f>
        <v>26876.775000000001</v>
      </c>
    </row>
    <row r="11" spans="2:22" x14ac:dyDescent="0.25">
      <c r="B11" s="119" t="s">
        <v>20</v>
      </c>
      <c r="C11" t="s">
        <v>77</v>
      </c>
      <c r="E11" s="99">
        <v>1</v>
      </c>
      <c r="F11" s="8" t="s">
        <v>70</v>
      </c>
      <c r="G11" s="99">
        <f>I10</f>
        <v>25526.800000000003</v>
      </c>
      <c r="H11" s="15">
        <f>E11*G11</f>
        <v>25526.800000000003</v>
      </c>
      <c r="I11" s="15" t="s">
        <v>86</v>
      </c>
      <c r="J11" s="120"/>
      <c r="K11" s="121">
        <f>H11</f>
        <v>25526.800000000003</v>
      </c>
      <c r="M11" s="119" t="s">
        <v>20</v>
      </c>
      <c r="N11" t="s">
        <v>77</v>
      </c>
      <c r="P11" s="99"/>
      <c r="Q11" s="8" t="s">
        <v>70</v>
      </c>
      <c r="R11" s="99">
        <f>T10</f>
        <v>0</v>
      </c>
      <c r="S11" s="15"/>
      <c r="T11" s="15"/>
      <c r="U11" s="120"/>
      <c r="V11" s="121">
        <f>S11</f>
        <v>0</v>
      </c>
    </row>
    <row r="12" spans="2:22" x14ac:dyDescent="0.25">
      <c r="B12" s="119" t="s">
        <v>24</v>
      </c>
      <c r="C12" t="s">
        <v>33</v>
      </c>
      <c r="E12" s="8"/>
      <c r="F12" s="8"/>
      <c r="G12" s="15"/>
      <c r="H12" s="15"/>
      <c r="I12" s="15"/>
      <c r="J12" s="120"/>
      <c r="K12" s="121"/>
      <c r="M12" s="119" t="s">
        <v>24</v>
      </c>
      <c r="N12" t="s">
        <v>33</v>
      </c>
      <c r="P12" s="8"/>
      <c r="Q12" s="8"/>
      <c r="R12" s="15"/>
      <c r="S12" s="15"/>
      <c r="T12" s="15"/>
      <c r="U12" s="120"/>
      <c r="V12" s="121"/>
    </row>
    <row r="13" spans="2:22" x14ac:dyDescent="0.25">
      <c r="B13" s="58"/>
      <c r="C13" t="s">
        <v>5</v>
      </c>
      <c r="D13" t="s">
        <v>97</v>
      </c>
      <c r="E13" s="109">
        <f>563*8760/2000</f>
        <v>2465.94</v>
      </c>
      <c r="F13" s="8" t="s">
        <v>69</v>
      </c>
      <c r="G13" s="99">
        <v>1377</v>
      </c>
      <c r="H13" s="15">
        <f>E13*G13</f>
        <v>3395599.38</v>
      </c>
      <c r="I13" s="15" t="s">
        <v>86</v>
      </c>
      <c r="J13" s="120"/>
      <c r="K13" s="121">
        <f>H13</f>
        <v>3395599.38</v>
      </c>
      <c r="M13" s="58"/>
      <c r="N13" t="s">
        <v>5</v>
      </c>
      <c r="O13" t="s">
        <v>97</v>
      </c>
      <c r="P13" s="109">
        <f>563*8760/2000</f>
        <v>2465.94</v>
      </c>
      <c r="Q13" s="8" t="s">
        <v>69</v>
      </c>
      <c r="R13" s="99">
        <v>1377</v>
      </c>
      <c r="S13" s="15">
        <f>P13*R13</f>
        <v>3395599.38</v>
      </c>
      <c r="T13" s="15" t="s">
        <v>86</v>
      </c>
      <c r="U13" s="120"/>
      <c r="V13" s="121">
        <f>S13</f>
        <v>3395599.38</v>
      </c>
    </row>
    <row r="14" spans="2:22" x14ac:dyDescent="0.25">
      <c r="B14" s="58"/>
      <c r="C14" t="s">
        <v>6</v>
      </c>
      <c r="D14" t="s">
        <v>34</v>
      </c>
      <c r="E14" s="99">
        <f>48*8760+(300*0.7457*8760)</f>
        <v>2380179.6</v>
      </c>
      <c r="F14" s="8" t="s">
        <v>155</v>
      </c>
      <c r="G14" s="108">
        <v>0.20499999999999999</v>
      </c>
      <c r="H14" s="15">
        <f>E14*G14</f>
        <v>487936.81799999997</v>
      </c>
      <c r="I14" s="15" t="s">
        <v>86</v>
      </c>
      <c r="J14" s="120"/>
      <c r="K14" s="121">
        <f>H14</f>
        <v>487936.81799999997</v>
      </c>
      <c r="M14" s="58"/>
      <c r="N14" t="s">
        <v>6</v>
      </c>
      <c r="O14" t="s">
        <v>34</v>
      </c>
      <c r="P14" s="99">
        <f>48*8760+(300*0.7457*8760)</f>
        <v>2380179.6</v>
      </c>
      <c r="Q14" s="8" t="s">
        <v>155</v>
      </c>
      <c r="R14" s="108">
        <v>0.20499999999999999</v>
      </c>
      <c r="S14" s="15">
        <f>P14*R14</f>
        <v>487936.81799999997</v>
      </c>
      <c r="T14" s="15" t="s">
        <v>86</v>
      </c>
      <c r="U14" s="120"/>
      <c r="V14" s="121">
        <f>S14</f>
        <v>487936.81799999997</v>
      </c>
    </row>
    <row r="15" spans="2:22" x14ac:dyDescent="0.25">
      <c r="B15" s="119"/>
      <c r="C15" t="s">
        <v>7</v>
      </c>
      <c r="D15" t="s">
        <v>93</v>
      </c>
      <c r="E15" s="99">
        <f>17*60*8760/1000</f>
        <v>8935.2000000000007</v>
      </c>
      <c r="F15" s="8" t="s">
        <v>115</v>
      </c>
      <c r="G15" s="110">
        <v>11.3</v>
      </c>
      <c r="H15" s="15">
        <f>E15*G15</f>
        <v>100967.76000000001</v>
      </c>
      <c r="I15" s="15" t="s">
        <v>86</v>
      </c>
      <c r="J15" s="120"/>
      <c r="K15" s="121">
        <f>H15</f>
        <v>100967.76000000001</v>
      </c>
      <c r="M15" s="119"/>
      <c r="N15" t="s">
        <v>7</v>
      </c>
      <c r="O15" t="s">
        <v>93</v>
      </c>
      <c r="P15" s="99">
        <f>17*60*8760/1000</f>
        <v>8935.2000000000007</v>
      </c>
      <c r="Q15" s="8" t="s">
        <v>115</v>
      </c>
      <c r="R15" s="110">
        <v>11.3</v>
      </c>
      <c r="S15" s="15">
        <f>P15*R15</f>
        <v>100967.76000000001</v>
      </c>
      <c r="T15" s="15" t="s">
        <v>86</v>
      </c>
      <c r="U15" s="120"/>
      <c r="V15" s="121">
        <f>S15</f>
        <v>100967.76000000001</v>
      </c>
    </row>
    <row r="16" spans="2:22" x14ac:dyDescent="0.25">
      <c r="B16" s="122"/>
      <c r="C16" s="123"/>
      <c r="E16" s="124"/>
      <c r="F16" s="9"/>
      <c r="G16" s="120"/>
      <c r="H16" s="15"/>
      <c r="I16" s="125"/>
      <c r="J16" s="15"/>
      <c r="K16" s="121"/>
      <c r="M16" s="122"/>
      <c r="N16" s="123"/>
      <c r="P16" s="124"/>
      <c r="Q16" s="9"/>
      <c r="R16" s="120"/>
      <c r="S16" s="15"/>
      <c r="T16" s="125"/>
      <c r="U16" s="15"/>
      <c r="V16" s="121"/>
    </row>
    <row r="17" spans="2:22" x14ac:dyDescent="0.25">
      <c r="B17" s="126" t="s">
        <v>35</v>
      </c>
      <c r="C17" s="83"/>
      <c r="D17" s="84"/>
      <c r="E17" s="85"/>
      <c r="F17" s="86"/>
      <c r="G17" s="87"/>
      <c r="H17" s="76"/>
      <c r="I17" s="88"/>
      <c r="J17" s="89" t="s">
        <v>56</v>
      </c>
      <c r="K17" s="127">
        <f>SUM(K8:K15)</f>
        <v>4470691.318</v>
      </c>
      <c r="M17" s="126" t="s">
        <v>35</v>
      </c>
      <c r="N17" s="83"/>
      <c r="O17" s="84"/>
      <c r="P17" s="85"/>
      <c r="Q17" s="86"/>
      <c r="R17" s="87"/>
      <c r="S17" s="76"/>
      <c r="T17" s="88"/>
      <c r="U17" s="89" t="s">
        <v>56</v>
      </c>
      <c r="V17" s="127">
        <f>SUM(V8:V15)</f>
        <v>4042289.0242499998</v>
      </c>
    </row>
    <row r="18" spans="2:22" x14ac:dyDescent="0.25">
      <c r="B18" s="58"/>
      <c r="C18" s="123"/>
      <c r="E18" s="8"/>
      <c r="G18" s="15"/>
      <c r="H18" s="15"/>
      <c r="I18" s="125"/>
      <c r="J18" s="128"/>
      <c r="K18" s="121"/>
      <c r="M18" s="58"/>
      <c r="N18" s="123"/>
      <c r="P18" s="8"/>
      <c r="R18" s="15"/>
      <c r="S18" s="15"/>
      <c r="T18" s="125"/>
      <c r="U18" s="128"/>
      <c r="V18" s="121"/>
    </row>
    <row r="19" spans="2:22" ht="15.75" x14ac:dyDescent="0.25">
      <c r="B19" s="129" t="s">
        <v>36</v>
      </c>
      <c r="C19" s="18"/>
      <c r="E19" s="8"/>
      <c r="F19" s="8"/>
      <c r="G19" s="15"/>
      <c r="H19" s="15"/>
      <c r="I19" s="15"/>
      <c r="J19" s="15"/>
      <c r="K19" s="121"/>
      <c r="M19" s="129" t="s">
        <v>36</v>
      </c>
      <c r="N19" s="18"/>
      <c r="P19" s="8"/>
      <c r="Q19" s="8"/>
      <c r="R19" s="15"/>
      <c r="S19" s="15"/>
      <c r="T19" s="15"/>
      <c r="U19" s="15"/>
      <c r="V19" s="121"/>
    </row>
    <row r="20" spans="2:22" x14ac:dyDescent="0.25">
      <c r="B20" s="119" t="s">
        <v>26</v>
      </c>
      <c r="C20" t="s">
        <v>37</v>
      </c>
      <c r="E20" s="82">
        <v>0.01</v>
      </c>
      <c r="F20" s="8" t="s">
        <v>75</v>
      </c>
      <c r="G20" s="8"/>
      <c r="H20" s="15"/>
      <c r="I20" s="15">
        <f>E20*'Total Capital Investment'!K51</f>
        <v>57943.956480000001</v>
      </c>
      <c r="J20" s="120"/>
      <c r="K20" s="121">
        <f>I20</f>
        <v>57943.956480000001</v>
      </c>
      <c r="M20" s="119" t="s">
        <v>26</v>
      </c>
      <c r="N20" t="s">
        <v>37</v>
      </c>
      <c r="P20" s="82">
        <v>0.6</v>
      </c>
      <c r="Q20" s="15" t="s">
        <v>183</v>
      </c>
      <c r="R20" s="8"/>
      <c r="S20" s="15"/>
      <c r="T20" s="15"/>
      <c r="U20" s="120"/>
      <c r="V20" s="121">
        <f>P20*(SUM(V8:V10))</f>
        <v>34671.039750000004</v>
      </c>
    </row>
    <row r="21" spans="2:22" x14ac:dyDescent="0.25">
      <c r="B21" s="119" t="s">
        <v>160</v>
      </c>
      <c r="C21" t="s">
        <v>144</v>
      </c>
      <c r="E21" s="100">
        <v>0.03</v>
      </c>
      <c r="F21" s="8" t="s">
        <v>89</v>
      </c>
      <c r="G21" s="8"/>
      <c r="H21" s="15"/>
      <c r="I21" s="15">
        <f>E21*'Total Capital Investment'!K51</f>
        <v>173831.86943999998</v>
      </c>
      <c r="J21" s="120"/>
      <c r="K21" s="121">
        <f>I21</f>
        <v>173831.86943999998</v>
      </c>
      <c r="M21" s="119" t="s">
        <v>191</v>
      </c>
      <c r="N21" t="s">
        <v>184</v>
      </c>
      <c r="P21" s="82">
        <v>0.01</v>
      </c>
      <c r="Q21" s="15" t="s">
        <v>185</v>
      </c>
      <c r="R21" s="8"/>
      <c r="S21" s="15"/>
      <c r="T21" s="15"/>
      <c r="U21" s="120"/>
      <c r="V21" s="121">
        <f>P21*'Total Capital Investment'!V55</f>
        <v>36686.66567242</v>
      </c>
    </row>
    <row r="22" spans="2:22" x14ac:dyDescent="0.25">
      <c r="B22" s="119" t="s">
        <v>161</v>
      </c>
      <c r="C22" t="s">
        <v>82</v>
      </c>
      <c r="E22" s="124">
        <f>($E$31/100*POWER((1+($E$31/100)),$E$32))/((POWER(((1+$E$31/100)),$E$32))-1)</f>
        <v>8.467123576763981E-2</v>
      </c>
      <c r="F22" s="8"/>
      <c r="G22" s="15"/>
      <c r="H22" s="15"/>
      <c r="I22" s="15"/>
      <c r="J22" s="120"/>
      <c r="K22" s="130"/>
      <c r="L22" s="65"/>
      <c r="M22" s="119" t="s">
        <v>160</v>
      </c>
      <c r="N22" t="s">
        <v>144</v>
      </c>
      <c r="P22" s="100">
        <v>0.03</v>
      </c>
      <c r="Q22" s="15" t="s">
        <v>185</v>
      </c>
      <c r="R22" s="8"/>
      <c r="S22" s="15"/>
      <c r="T22" s="15"/>
      <c r="U22" s="120"/>
      <c r="V22" s="121">
        <f>P22*'Total Capital Investment'!V55</f>
        <v>110059.99701726</v>
      </c>
    </row>
    <row r="23" spans="2:22" x14ac:dyDescent="0.25">
      <c r="B23" s="119" t="s">
        <v>39</v>
      </c>
      <c r="C23" t="s">
        <v>38</v>
      </c>
      <c r="G23" s="15"/>
      <c r="H23" s="131"/>
      <c r="I23" s="15"/>
      <c r="J23" s="132" t="s">
        <v>55</v>
      </c>
      <c r="K23" s="121">
        <f>E22*'Total Capital Investment'!K51</f>
        <v>490618.64004279405</v>
      </c>
      <c r="L23" s="65"/>
      <c r="M23" s="119" t="s">
        <v>161</v>
      </c>
      <c r="N23" t="s">
        <v>82</v>
      </c>
      <c r="P23" s="124">
        <f>($P$31/100*POWER((1+($P$31/100)),$P$32))/((POWER(((1+$P$31/100)),$P$32))-1)</f>
        <v>9.3050575311267647E-2</v>
      </c>
      <c r="Q23" s="8"/>
      <c r="R23" s="15"/>
      <c r="S23" s="15"/>
      <c r="T23" s="15"/>
      <c r="U23" s="120"/>
      <c r="V23" s="130"/>
    </row>
    <row r="24" spans="2:22" x14ac:dyDescent="0.25">
      <c r="B24" s="58"/>
      <c r="E24" s="8"/>
      <c r="G24" s="15"/>
      <c r="H24" s="15"/>
      <c r="I24" s="15"/>
      <c r="J24" s="15"/>
      <c r="K24" s="121"/>
      <c r="M24" s="119" t="s">
        <v>39</v>
      </c>
      <c r="N24" t="s">
        <v>38</v>
      </c>
      <c r="R24" s="15"/>
      <c r="S24" s="131"/>
      <c r="T24" s="15"/>
      <c r="U24" s="132" t="s">
        <v>55</v>
      </c>
      <c r="V24" s="121">
        <f>P23*'Total Capital Investment'!V55</f>
        <v>341371.5347070815</v>
      </c>
    </row>
    <row r="25" spans="2:22" x14ac:dyDescent="0.25">
      <c r="B25" s="126" t="s">
        <v>40</v>
      </c>
      <c r="C25" s="83"/>
      <c r="D25" s="90"/>
      <c r="E25" s="91"/>
      <c r="F25" s="90"/>
      <c r="G25" s="88"/>
      <c r="H25" s="76"/>
      <c r="I25" s="88"/>
      <c r="J25" s="89" t="s">
        <v>57</v>
      </c>
      <c r="K25" s="127">
        <f>SUM(K20:K23)</f>
        <v>722394.46596279403</v>
      </c>
      <c r="M25" s="126" t="s">
        <v>40</v>
      </c>
      <c r="N25" s="83"/>
      <c r="O25" s="90"/>
      <c r="P25" s="91"/>
      <c r="Q25" s="90"/>
      <c r="R25" s="88"/>
      <c r="S25" s="76"/>
      <c r="T25" s="88"/>
      <c r="U25" s="89" t="s">
        <v>57</v>
      </c>
      <c r="V25" s="127">
        <f>SUM(V20:V23)</f>
        <v>181417.70243968</v>
      </c>
    </row>
    <row r="26" spans="2:22" x14ac:dyDescent="0.25">
      <c r="B26" s="133"/>
      <c r="C26" s="134"/>
      <c r="E26" s="8"/>
      <c r="G26" s="15"/>
      <c r="H26" s="15"/>
      <c r="I26" s="15"/>
      <c r="J26" s="15"/>
      <c r="K26" s="121"/>
      <c r="M26" s="133"/>
      <c r="N26" s="134"/>
      <c r="P26" s="8"/>
      <c r="R26" s="15"/>
      <c r="S26" s="15"/>
      <c r="T26" s="15"/>
      <c r="U26" s="15"/>
      <c r="V26" s="121"/>
    </row>
    <row r="27" spans="2:22" ht="16.5" thickBot="1" x14ac:dyDescent="0.3">
      <c r="B27" s="135" t="s">
        <v>45</v>
      </c>
      <c r="C27" s="136"/>
      <c r="D27" s="137"/>
      <c r="E27" s="138"/>
      <c r="F27" s="137"/>
      <c r="G27" s="139"/>
      <c r="H27" s="140"/>
      <c r="I27" s="139"/>
      <c r="J27" s="141" t="s">
        <v>58</v>
      </c>
      <c r="K27" s="142">
        <f>K17+K25</f>
        <v>5193085.7839627936</v>
      </c>
      <c r="M27" s="135" t="s">
        <v>45</v>
      </c>
      <c r="N27" s="136"/>
      <c r="O27" s="137"/>
      <c r="P27" s="138"/>
      <c r="Q27" s="137"/>
      <c r="R27" s="139"/>
      <c r="S27" s="140"/>
      <c r="T27" s="139"/>
      <c r="U27" s="141" t="s">
        <v>58</v>
      </c>
      <c r="V27" s="142">
        <f>V17+V25</f>
        <v>4223706.7266896795</v>
      </c>
    </row>
    <row r="28" spans="2:22" ht="15.75" thickBot="1" x14ac:dyDescent="0.3">
      <c r="B28" s="156" t="s">
        <v>205</v>
      </c>
      <c r="C28" s="152"/>
      <c r="D28" s="152"/>
      <c r="E28" s="152"/>
      <c r="F28" s="152"/>
      <c r="G28" s="152"/>
      <c r="H28" s="152"/>
      <c r="I28" s="152"/>
      <c r="J28" s="152"/>
      <c r="K28" s="153">
        <f>K27/(258.9*0.9)</f>
        <v>22286.965297467035</v>
      </c>
      <c r="M28" s="151" t="s">
        <v>186</v>
      </c>
      <c r="N28" s="152"/>
      <c r="O28" s="152"/>
      <c r="P28" s="152"/>
      <c r="Q28" s="152"/>
      <c r="R28" s="152"/>
      <c r="S28" s="152" t="s">
        <v>187</v>
      </c>
      <c r="T28" s="152"/>
      <c r="U28" s="152"/>
      <c r="V28" s="158">
        <f>V27/V32</f>
        <v>40777.93488950652</v>
      </c>
    </row>
    <row r="29" spans="2:22" ht="15.75" thickBot="1" x14ac:dyDescent="0.3"/>
    <row r="30" spans="2:22" x14ac:dyDescent="0.25">
      <c r="D30" s="55" t="s">
        <v>83</v>
      </c>
      <c r="E30" s="56"/>
      <c r="F30" s="57"/>
      <c r="G30" s="12"/>
      <c r="I30" t="s">
        <v>206</v>
      </c>
      <c r="K30" s="157">
        <f>0.1*295.6*8760/2000</f>
        <v>129.47280000000001</v>
      </c>
      <c r="O30" s="55" t="s">
        <v>83</v>
      </c>
      <c r="P30" s="56"/>
      <c r="Q30" s="57"/>
      <c r="R30" s="12"/>
      <c r="T30" t="s">
        <v>206</v>
      </c>
      <c r="V30" s="157">
        <f>0.1*295.6*8760/2000</f>
        <v>129.47280000000001</v>
      </c>
    </row>
    <row r="31" spans="2:22" x14ac:dyDescent="0.25">
      <c r="D31" s="58" t="s">
        <v>87</v>
      </c>
      <c r="E31" s="80">
        <v>7.5</v>
      </c>
      <c r="F31" s="59" t="s">
        <v>75</v>
      </c>
      <c r="I31" t="s">
        <v>207</v>
      </c>
      <c r="K31" s="157">
        <f>295.6*0.02*8760/2000</f>
        <v>25.894560000000006</v>
      </c>
      <c r="O31" s="58" t="s">
        <v>87</v>
      </c>
      <c r="P31" s="80">
        <v>8.5</v>
      </c>
      <c r="Q31" s="59" t="s">
        <v>75</v>
      </c>
      <c r="T31" t="s">
        <v>207</v>
      </c>
      <c r="V31" s="157">
        <f>295.6*0.02*8760/2000</f>
        <v>25.894560000000006</v>
      </c>
    </row>
    <row r="32" spans="2:22" ht="15.75" thickBot="1" x14ac:dyDescent="0.3">
      <c r="D32" s="60" t="s">
        <v>88</v>
      </c>
      <c r="E32" s="81">
        <v>30</v>
      </c>
      <c r="F32" s="61" t="s">
        <v>76</v>
      </c>
      <c r="I32" t="s">
        <v>208</v>
      </c>
      <c r="K32" s="157">
        <f>K30-K31</f>
        <v>103.57823999999999</v>
      </c>
      <c r="O32" s="60" t="s">
        <v>88</v>
      </c>
      <c r="P32" s="81">
        <v>30</v>
      </c>
      <c r="Q32" s="61" t="s">
        <v>76</v>
      </c>
      <c r="T32" t="s">
        <v>208</v>
      </c>
      <c r="V32" s="157">
        <f>V30-V31</f>
        <v>103.57823999999999</v>
      </c>
    </row>
    <row r="35" spans="2:18" ht="30" customHeight="1" x14ac:dyDescent="0.25">
      <c r="B35" s="169" t="s">
        <v>149</v>
      </c>
      <c r="C35" s="171"/>
      <c r="D35" s="170"/>
      <c r="E35" s="169" t="s">
        <v>129</v>
      </c>
      <c r="F35" s="170"/>
      <c r="G35" s="169" t="s">
        <v>170</v>
      </c>
      <c r="H35" s="171"/>
      <c r="I35" s="171"/>
      <c r="J35" s="171"/>
      <c r="K35" s="170"/>
      <c r="L35" s="191" t="s">
        <v>168</v>
      </c>
      <c r="M35" s="191"/>
      <c r="N35" s="191"/>
      <c r="O35" s="191"/>
      <c r="P35" s="103"/>
      <c r="Q35" s="103"/>
    </row>
    <row r="36" spans="2:18" ht="79.5" customHeight="1" x14ac:dyDescent="0.25">
      <c r="B36" s="174" t="s">
        <v>116</v>
      </c>
      <c r="C36" s="175"/>
      <c r="D36" s="176"/>
      <c r="E36" s="187" t="s">
        <v>123</v>
      </c>
      <c r="F36" s="187"/>
      <c r="G36" s="181" t="s">
        <v>142</v>
      </c>
      <c r="H36" s="182"/>
      <c r="I36" s="182"/>
      <c r="J36" s="182"/>
      <c r="K36" s="183"/>
      <c r="L36" s="180" t="s">
        <v>188</v>
      </c>
      <c r="M36" s="180"/>
      <c r="N36" s="180"/>
      <c r="O36" s="180"/>
      <c r="P36" s="104"/>
      <c r="Q36" s="104"/>
    </row>
    <row r="37" spans="2:18" ht="36.75" customHeight="1" x14ac:dyDescent="0.25">
      <c r="B37" s="174" t="s">
        <v>99</v>
      </c>
      <c r="C37" s="175"/>
      <c r="D37" s="176"/>
      <c r="E37" s="164" t="s">
        <v>100</v>
      </c>
      <c r="F37" s="164"/>
      <c r="G37" s="181" t="s">
        <v>159</v>
      </c>
      <c r="H37" s="182"/>
      <c r="I37" s="182"/>
      <c r="J37" s="182"/>
      <c r="K37" s="183"/>
      <c r="L37" s="180" t="s">
        <v>189</v>
      </c>
      <c r="M37" s="180"/>
      <c r="N37" s="180"/>
      <c r="O37" s="180"/>
      <c r="P37" s="104"/>
      <c r="Q37" s="104"/>
    </row>
    <row r="38" spans="2:18" ht="37.5" customHeight="1" x14ac:dyDescent="0.25">
      <c r="B38" s="174" t="s">
        <v>125</v>
      </c>
      <c r="C38" s="175"/>
      <c r="D38" s="176"/>
      <c r="E38" s="164" t="s">
        <v>101</v>
      </c>
      <c r="F38" s="164"/>
      <c r="G38" s="181" t="s">
        <v>126</v>
      </c>
      <c r="H38" s="182"/>
      <c r="I38" s="182"/>
      <c r="J38" s="182"/>
      <c r="K38" s="183"/>
      <c r="L38" s="180" t="s">
        <v>190</v>
      </c>
      <c r="M38" s="180"/>
      <c r="N38" s="180"/>
      <c r="O38" s="180"/>
      <c r="P38" s="104"/>
      <c r="Q38" s="104"/>
    </row>
    <row r="39" spans="2:18" ht="46.5" customHeight="1" x14ac:dyDescent="0.25">
      <c r="B39" s="174" t="s">
        <v>117</v>
      </c>
      <c r="C39" s="175"/>
      <c r="D39" s="176"/>
      <c r="E39" s="164" t="s">
        <v>102</v>
      </c>
      <c r="F39" s="164"/>
      <c r="G39" s="181" t="s">
        <v>127</v>
      </c>
      <c r="H39" s="182"/>
      <c r="I39" s="182"/>
      <c r="J39" s="182"/>
      <c r="K39" s="183"/>
      <c r="L39" s="180" t="s">
        <v>190</v>
      </c>
      <c r="M39" s="180"/>
      <c r="N39" s="180"/>
      <c r="O39" s="180"/>
      <c r="P39" s="104"/>
      <c r="Q39" s="104"/>
    </row>
    <row r="40" spans="2:18" ht="36.75" customHeight="1" x14ac:dyDescent="0.25">
      <c r="B40" s="174" t="s">
        <v>118</v>
      </c>
      <c r="C40" s="175"/>
      <c r="D40" s="176"/>
      <c r="E40" s="164" t="s">
        <v>124</v>
      </c>
      <c r="F40" s="164"/>
      <c r="G40" s="181" t="s">
        <v>128</v>
      </c>
      <c r="H40" s="182"/>
      <c r="I40" s="182"/>
      <c r="J40" s="182"/>
      <c r="K40" s="183"/>
      <c r="L40" s="180" t="s">
        <v>190</v>
      </c>
      <c r="M40" s="180"/>
      <c r="N40" s="180"/>
      <c r="O40" s="180"/>
      <c r="P40" s="104"/>
      <c r="Q40" s="104"/>
    </row>
    <row r="41" spans="2:18" ht="33" customHeight="1" x14ac:dyDescent="0.25">
      <c r="B41" s="174" t="s">
        <v>119</v>
      </c>
      <c r="C41" s="175"/>
      <c r="D41" s="176"/>
      <c r="E41" s="164" t="s">
        <v>37</v>
      </c>
      <c r="F41" s="164"/>
      <c r="G41" s="181" t="s">
        <v>106</v>
      </c>
      <c r="H41" s="182"/>
      <c r="I41" s="182"/>
      <c r="J41" s="182"/>
      <c r="K41" s="183"/>
      <c r="L41" s="180" t="s">
        <v>192</v>
      </c>
      <c r="M41" s="180"/>
      <c r="N41" s="180"/>
      <c r="O41" s="180"/>
      <c r="P41" s="104"/>
      <c r="Q41" s="104"/>
    </row>
    <row r="42" spans="2:18" ht="35.25" customHeight="1" x14ac:dyDescent="0.25">
      <c r="B42" s="174" t="s">
        <v>120</v>
      </c>
      <c r="C42" s="175"/>
      <c r="D42" s="176"/>
      <c r="E42" s="164" t="s">
        <v>103</v>
      </c>
      <c r="F42" s="164"/>
      <c r="G42" s="181" t="s">
        <v>106</v>
      </c>
      <c r="H42" s="182"/>
      <c r="I42" s="182"/>
      <c r="J42" s="182"/>
      <c r="K42" s="183"/>
      <c r="L42" s="193" t="s">
        <v>193</v>
      </c>
      <c r="M42" s="193"/>
      <c r="N42" s="193"/>
      <c r="O42" s="193"/>
      <c r="P42" s="155"/>
      <c r="Q42" s="155"/>
      <c r="R42" s="155"/>
    </row>
    <row r="43" spans="2:18" ht="41.25" customHeight="1" x14ac:dyDescent="0.25">
      <c r="B43" s="174" t="s">
        <v>121</v>
      </c>
      <c r="C43" s="175"/>
      <c r="D43" s="176"/>
      <c r="E43" s="164" t="s">
        <v>107</v>
      </c>
      <c r="F43" s="164"/>
      <c r="G43" s="181" t="s">
        <v>108</v>
      </c>
      <c r="H43" s="182"/>
      <c r="I43" s="182"/>
      <c r="J43" s="182"/>
      <c r="K43" s="183"/>
      <c r="L43" s="193" t="s">
        <v>194</v>
      </c>
      <c r="M43" s="193"/>
      <c r="N43" s="193"/>
      <c r="O43" s="193"/>
      <c r="P43" s="155"/>
      <c r="Q43" s="155"/>
      <c r="R43" s="155"/>
    </row>
    <row r="44" spans="2:18" ht="41.25" customHeight="1" x14ac:dyDescent="0.25">
      <c r="B44" s="174" t="s">
        <v>122</v>
      </c>
      <c r="C44" s="175"/>
      <c r="D44" s="176"/>
      <c r="E44" s="164" t="s">
        <v>38</v>
      </c>
      <c r="F44" s="164"/>
      <c r="G44" s="181" t="s">
        <v>110</v>
      </c>
      <c r="H44" s="182"/>
      <c r="I44" s="182"/>
      <c r="J44" s="182"/>
      <c r="K44" s="183"/>
      <c r="L44" s="192"/>
      <c r="M44" s="192"/>
      <c r="N44" s="192"/>
      <c r="O44" s="192"/>
    </row>
    <row r="45" spans="2:18" x14ac:dyDescent="0.25">
      <c r="B45" s="174" t="s">
        <v>87</v>
      </c>
      <c r="C45" s="175"/>
      <c r="D45" s="176"/>
      <c r="E45" s="164" t="s">
        <v>104</v>
      </c>
      <c r="F45" s="164"/>
      <c r="G45" s="184" t="s">
        <v>146</v>
      </c>
      <c r="H45" s="185"/>
      <c r="I45" s="185"/>
      <c r="J45" s="185"/>
      <c r="K45" s="186"/>
      <c r="L45" s="192"/>
      <c r="M45" s="192"/>
      <c r="N45" s="192"/>
      <c r="O45" s="192"/>
    </row>
    <row r="46" spans="2:18" x14ac:dyDescent="0.25">
      <c r="B46" s="174" t="s">
        <v>88</v>
      </c>
      <c r="C46" s="175"/>
      <c r="D46" s="176"/>
      <c r="E46" s="164" t="s">
        <v>105</v>
      </c>
      <c r="F46" s="164"/>
      <c r="G46" s="184" t="s">
        <v>109</v>
      </c>
      <c r="H46" s="185"/>
      <c r="I46" s="185"/>
      <c r="J46" s="185"/>
      <c r="K46" s="186"/>
      <c r="L46" s="192" t="s">
        <v>195</v>
      </c>
      <c r="M46" s="192"/>
      <c r="N46" s="192"/>
      <c r="O46" s="192"/>
    </row>
  </sheetData>
  <mergeCells count="51">
    <mergeCell ref="L46:O46"/>
    <mergeCell ref="L41:O41"/>
    <mergeCell ref="L42:O42"/>
    <mergeCell ref="L43:O43"/>
    <mergeCell ref="L44:O44"/>
    <mergeCell ref="L45:O45"/>
    <mergeCell ref="I1:K1"/>
    <mergeCell ref="E35:F35"/>
    <mergeCell ref="G35:K35"/>
    <mergeCell ref="B35:D35"/>
    <mergeCell ref="L35:O35"/>
    <mergeCell ref="B45:D45"/>
    <mergeCell ref="B46:D46"/>
    <mergeCell ref="G45:K45"/>
    <mergeCell ref="G46:K46"/>
    <mergeCell ref="G36:K36"/>
    <mergeCell ref="G37:K37"/>
    <mergeCell ref="E36:F36"/>
    <mergeCell ref="E40:F40"/>
    <mergeCell ref="E41:F41"/>
    <mergeCell ref="E37:F37"/>
    <mergeCell ref="E39:F39"/>
    <mergeCell ref="E45:F45"/>
    <mergeCell ref="E46:F46"/>
    <mergeCell ref="E42:F42"/>
    <mergeCell ref="E44:F44"/>
    <mergeCell ref="E43:F43"/>
    <mergeCell ref="G44:K44"/>
    <mergeCell ref="B38:D38"/>
    <mergeCell ref="E38:F38"/>
    <mergeCell ref="G38:K38"/>
    <mergeCell ref="G39:K39"/>
    <mergeCell ref="G40:K40"/>
    <mergeCell ref="G41:K41"/>
    <mergeCell ref="G42:K42"/>
    <mergeCell ref="G43:K43"/>
    <mergeCell ref="B41:D41"/>
    <mergeCell ref="B42:D42"/>
    <mergeCell ref="B43:D43"/>
    <mergeCell ref="B44:D44"/>
    <mergeCell ref="B36:D36"/>
    <mergeCell ref="B37:D37"/>
    <mergeCell ref="B39:D39"/>
    <mergeCell ref="B40:D40"/>
    <mergeCell ref="M6:V6"/>
    <mergeCell ref="B6:K6"/>
    <mergeCell ref="L36:O36"/>
    <mergeCell ref="L37:O37"/>
    <mergeCell ref="L38:O38"/>
    <mergeCell ref="L39:O39"/>
    <mergeCell ref="L40:O40"/>
  </mergeCells>
  <printOptions horizontalCentered="1"/>
  <pageMargins left="0.33" right="0.41" top="0.56000000000000005" bottom="0.52" header="0.3" footer="0.3"/>
  <pageSetup scale="28" orientation="portrait" r:id="rId1"/>
  <headerFooter>
    <oddFooter>&amp;LUniversity of Alaska Fairbanks
BACT Analysis&amp;RDecember 2022</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801683-13b5-4471-b07d-4f526a8d92e6" xsi:nil="true"/>
    <lcf76f155ced4ddcb4097134ff3c332f xmlns="328188c1-2ee9-48af-ac1f-a2e00dbc830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16" ma:contentTypeDescription="Create a new document." ma:contentTypeScope="" ma:versionID="0f5fbe200114ef317095e8011f4b7a2d">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8f240d04f6301ac98a2c5d2ac33bf3c"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b7ffe5-37ca-40c1-9381-711a17cdd677}" ma:internalName="TaxCatchAll" ma:showField="CatchAllData" ma:web="e9801683-13b5-4471-b07d-4f526a8d9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01F99-CA01-4B79-9BDE-2834FAF0F08F}">
  <ds:schemaRefs>
    <ds:schemaRef ds:uri="http://schemas.microsoft.com/office/2006/metadata/properties"/>
    <ds:schemaRef ds:uri="http://schemas.microsoft.com/office/infopath/2007/PartnerControls"/>
    <ds:schemaRef ds:uri="http://purl.org/dc/dcmitype/"/>
    <ds:schemaRef ds:uri="e9801683-13b5-4471-b07d-4f526a8d92e6"/>
    <ds:schemaRef ds:uri="http://schemas.microsoft.com/office/2006/documentManagement/types"/>
    <ds:schemaRef ds:uri="328188c1-2ee9-48af-ac1f-a2e00dbc8300"/>
    <ds:schemaRef ds:uri="http://www.w3.org/XML/1998/namespace"/>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6952A33-FA12-49DC-BB86-0032EC3DC548}">
  <ds:schemaRefs>
    <ds:schemaRef ds:uri="http://schemas.microsoft.com/sharepoint/v3/contenttype/forms"/>
  </ds:schemaRefs>
</ds:datastoreItem>
</file>

<file path=customXml/itemProps3.xml><?xml version="1.0" encoding="utf-8"?>
<ds:datastoreItem xmlns:ds="http://schemas.openxmlformats.org/officeDocument/2006/customXml" ds:itemID="{946C287C-FC60-41DE-963F-28A59CC2F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188c1-2ee9-48af-ac1f-a2e00dbc8300"/>
    <ds:schemaRef ds:uri="e9801683-13b5-4471-b07d-4f526a8d9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Capital Investment</vt:lpstr>
      <vt:lpstr>Cost Effectiveness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2022-10-12T22:02:16Z</dcterms:created>
  <dcterms:modified xsi:type="dcterms:W3CDTF">2024-03-29T00:16:56Z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0x010100EF08C179EEC2074C94A5872F733D36B4</vt:lpwstr>
  </property>
  <property fmtid="{D5CDD505-2E9C-101B-9397-08002B2CF9AE}" pid="3" name="MediaServiceImageTags">
    <vt:lpwstr/>
  </property>
</Properties>
</file>